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GUIRDEYRE - LP T1 T2\17 933 645 Guirdeyre T1\"/>
    </mc:Choice>
  </mc:AlternateContent>
  <xr:revisionPtr revIDLastSave="0" documentId="13_ncr:1_{8E212BE7-C000-4036-8468-CA34103F7F55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0" i="1" l="1"/>
  <c r="D150" i="1" s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20" i="1"/>
  <c r="B120" i="1"/>
  <c r="D119" i="1"/>
  <c r="D118" i="1"/>
  <c r="D117" i="1"/>
  <c r="D116" i="1"/>
  <c r="D115" i="1"/>
  <c r="D114" i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EB179" i="2"/>
  <c r="EA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ED200" i="2" l="1"/>
  <c r="EA201" i="2"/>
  <c r="FS201" i="2"/>
  <c r="EB201" i="2"/>
  <c r="HI201" i="2"/>
  <c r="EX201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14" i="2" a="1"/>
  <c r="BC11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29" i="2" a="1"/>
  <c r="DN129" i="2" s="1"/>
  <c r="DN192" i="2" a="1"/>
  <c r="DN192" i="2" s="1"/>
  <c r="CS116" i="2" a="1"/>
  <c r="CS116" i="2" s="1"/>
  <c r="EI195" i="2" a="1"/>
  <c r="EI195" i="2" s="1"/>
  <c r="CS137" i="2" a="1"/>
  <c r="CS137" i="2" s="1"/>
  <c r="AH151" i="2" a="1"/>
  <c r="AH151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7" i="2" a="1"/>
  <c r="BC7" i="2" s="1"/>
  <c r="BC151" i="2" a="1"/>
  <c r="BC151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64" i="2" a="1"/>
  <c r="DN164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BC32" i="2" l="1" a="1"/>
  <c r="BC32" i="2" s="1"/>
  <c r="BC181" i="2" a="1"/>
  <c r="BC181" i="2" s="1"/>
  <c r="BC34" i="2" a="1"/>
  <c r="BC34" i="2" s="1"/>
  <c r="BC83" i="2" a="1"/>
  <c r="BC83" i="2" s="1"/>
  <c r="BC164" i="2" a="1"/>
  <c r="BC164" i="2" s="1"/>
  <c r="BC65" i="2" a="1"/>
  <c r="BC65" i="2" s="1"/>
  <c r="BC185" i="2" a="1"/>
  <c r="BC185" i="2" s="1"/>
  <c r="BC130" i="2" a="1"/>
  <c r="BC130" i="2" s="1"/>
  <c r="BC82" i="2" a="1"/>
  <c r="BC82" i="2" s="1"/>
  <c r="BC143" i="2" a="1"/>
  <c r="BC143" i="2" s="1"/>
  <c r="BC47" i="2" a="1"/>
  <c r="BC47" i="2" s="1"/>
  <c r="BC31" i="2" a="1"/>
  <c r="BC31" i="2" s="1"/>
  <c r="BC68" i="2" a="1"/>
  <c r="BC68" i="2" s="1"/>
  <c r="BC84" i="2" a="1"/>
  <c r="BC84" i="2" s="1"/>
  <c r="BC117" i="2" a="1"/>
  <c r="BC117" i="2" s="1"/>
  <c r="BC58" i="2" a="1"/>
  <c r="BC58" i="2" s="1"/>
  <c r="DN187" i="2" a="1"/>
  <c r="DN187" i="2" s="1"/>
  <c r="DN135" i="2" a="1"/>
  <c r="DN135" i="2" s="1"/>
  <c r="DN103" i="2" a="1"/>
  <c r="DN103" i="2" s="1"/>
  <c r="DN186" i="2" a="1"/>
  <c r="DN186" i="2" s="1"/>
  <c r="DN110" i="2" a="1"/>
  <c r="DN110" i="2" s="1"/>
  <c r="DN188" i="2" a="1"/>
  <c r="DN188" i="2" s="1"/>
  <c r="DN113" i="2" a="1"/>
  <c r="DN113" i="2" s="1"/>
  <c r="DN137" i="2" a="1"/>
  <c r="DN137" i="2" s="1"/>
  <c r="DN86" i="2" a="1"/>
  <c r="DN86" i="2" s="1"/>
  <c r="DN176" i="2" a="1"/>
  <c r="DN176" i="2" s="1"/>
  <c r="DN167" i="2" a="1"/>
  <c r="DN167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90" i="2" a="1"/>
  <c r="DN190" i="2" s="1"/>
  <c r="DN133" i="2" a="1"/>
  <c r="DN133" i="2" s="1"/>
  <c r="DN162" i="2" a="1"/>
  <c r="DN162" i="2" s="1"/>
  <c r="DN153" i="2" a="1"/>
  <c r="DN153" i="2" s="1"/>
  <c r="DN168" i="2" a="1"/>
  <c r="DN168" i="2" s="1"/>
  <c r="DN150" i="2" a="1"/>
  <c r="DN150" i="2" s="1"/>
  <c r="DN170" i="2" a="1"/>
  <c r="DN170" i="2" s="1"/>
  <c r="DN155" i="2" a="1"/>
  <c r="DN155" i="2" s="1"/>
  <c r="AH163" i="2" a="1"/>
  <c r="AH163" i="2" s="1"/>
  <c r="AH199" i="2" a="1"/>
  <c r="AH199" i="2" s="1"/>
  <c r="AH166" i="2" a="1"/>
  <c r="AH166" i="2" s="1"/>
  <c r="AH90" i="2" a="1"/>
  <c r="AH90" i="2" s="1"/>
  <c r="AH92" i="2" a="1"/>
  <c r="AH92" i="2" s="1"/>
  <c r="BP203" i="2"/>
  <c r="EC203" i="2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CY101" i="2" l="1"/>
  <c r="CY24" i="2"/>
  <c r="CY78" i="2"/>
  <c r="CY158" i="2"/>
  <c r="CY9" i="2"/>
  <c r="CY41" i="2"/>
  <c r="CY186" i="2"/>
  <c r="CY71" i="2"/>
  <c r="CY61" i="2"/>
  <c r="CY113" i="2"/>
  <c r="CY21" i="2"/>
  <c r="CY65" i="2"/>
  <c r="CY136" i="2"/>
  <c r="CY176" i="2"/>
  <c r="CY29" i="2"/>
  <c r="CY182" i="2"/>
  <c r="CY98" i="2"/>
  <c r="CY179" i="2"/>
  <c r="CY108" i="2"/>
  <c r="CY47" i="2"/>
  <c r="CY16" i="2"/>
  <c r="CY117" i="2"/>
  <c r="CY154" i="2"/>
  <c r="CY96" i="2"/>
  <c r="CY93" i="2"/>
  <c r="CY84" i="2"/>
  <c r="CY200" i="2"/>
  <c r="CY174" i="2"/>
  <c r="CY105" i="2"/>
  <c r="CY3" i="2"/>
  <c r="C10" i="4" s="1"/>
  <c r="E10" i="4" s="1"/>
  <c r="F10" i="4" s="1"/>
  <c r="G10" i="4" s="1"/>
  <c r="L10" i="4" s="1"/>
  <c r="CY103" i="2"/>
  <c r="CY81" i="2"/>
  <c r="CY175" i="2"/>
  <c r="CY166" i="2"/>
  <c r="CY91" i="2"/>
  <c r="CY31" i="2"/>
  <c r="CY202" i="2"/>
  <c r="CY35" i="2"/>
  <c r="CY195" i="2"/>
  <c r="CY143" i="2"/>
  <c r="CY13" i="2"/>
  <c r="CY110" i="2"/>
  <c r="CY170" i="2"/>
  <c r="CY58" i="2"/>
  <c r="CY142" i="2"/>
  <c r="CY198" i="2"/>
  <c r="CY148" i="2"/>
  <c r="CY75" i="2"/>
  <c r="CY36" i="2"/>
  <c r="CY133" i="2"/>
  <c r="CY79" i="2"/>
  <c r="CY54" i="2"/>
  <c r="CY183" i="2"/>
  <c r="CY7" i="2"/>
  <c r="CY203" i="2"/>
  <c r="CY8" i="2"/>
  <c r="CY53" i="2"/>
  <c r="CY151" i="2"/>
  <c r="CY25" i="2"/>
  <c r="CY116" i="2"/>
  <c r="CY122" i="2"/>
  <c r="CY38" i="2"/>
  <c r="CY162" i="2"/>
  <c r="CY67" i="2"/>
  <c r="CY155" i="2"/>
  <c r="CY120" i="2"/>
  <c r="CY139" i="2"/>
  <c r="CY74" i="2"/>
  <c r="CY191" i="2"/>
  <c r="CY34" i="2"/>
  <c r="CY82" i="2"/>
  <c r="CY68" i="2"/>
  <c r="CY161" i="2"/>
  <c r="CY135" i="2"/>
  <c r="CY48" i="2"/>
  <c r="CY94" i="2"/>
  <c r="CY190" i="2"/>
  <c r="CY130" i="2"/>
  <c r="CY112" i="2"/>
  <c r="CY156" i="2"/>
  <c r="CY111" i="2"/>
  <c r="CY42" i="2"/>
  <c r="CY37" i="2"/>
  <c r="CY165" i="2"/>
  <c r="CY89" i="2"/>
  <c r="CY86" i="2"/>
  <c r="CY177" i="2"/>
  <c r="CY180" i="2"/>
  <c r="CY51" i="2"/>
  <c r="CY88" i="2"/>
  <c r="CY44" i="2"/>
  <c r="CY118" i="2"/>
  <c r="CY4" i="2"/>
  <c r="CY187" i="2"/>
  <c r="CY100" i="2"/>
  <c r="CY6" i="2"/>
  <c r="CY129" i="2"/>
  <c r="CY106" i="2"/>
  <c r="CY181" i="2"/>
  <c r="CY64" i="2"/>
  <c r="CY150" i="2"/>
  <c r="CY62" i="2"/>
  <c r="CY12" i="2"/>
  <c r="CY184" i="2"/>
  <c r="CY77" i="2"/>
  <c r="CY52" i="2"/>
  <c r="CY124" i="2"/>
  <c r="CY167" i="2"/>
  <c r="CY157" i="2"/>
  <c r="CY30" i="2"/>
  <c r="CY128" i="2"/>
  <c r="CY185" i="2"/>
  <c r="CY194" i="2"/>
  <c r="CY70" i="2"/>
  <c r="CY152" i="2"/>
  <c r="CY102" i="2"/>
  <c r="CY163" i="2"/>
  <c r="CY178" i="2"/>
  <c r="CY57" i="2"/>
  <c r="CY125" i="2"/>
  <c r="CY15" i="2"/>
  <c r="CY189" i="2"/>
  <c r="CY199" i="2"/>
  <c r="CY131" i="2"/>
  <c r="CY80" i="2"/>
  <c r="CY114" i="2"/>
  <c r="CY99" i="2"/>
  <c r="CY188" i="2"/>
  <c r="CY168" i="2"/>
  <c r="CY149" i="2"/>
  <c r="CY33" i="2"/>
  <c r="CY22" i="2"/>
  <c r="CY49" i="2"/>
  <c r="CY141" i="2"/>
  <c r="CY123" i="2"/>
  <c r="CY27" i="2"/>
  <c r="CY126" i="2"/>
  <c r="CY19" i="2"/>
  <c r="CY92" i="2"/>
  <c r="CY196" i="2"/>
  <c r="CY63" i="2"/>
  <c r="CY104" i="2"/>
  <c r="CY46" i="2"/>
  <c r="CY160" i="2"/>
  <c r="CY164" i="2"/>
  <c r="CY32" i="2"/>
  <c r="CY173" i="2"/>
  <c r="CY10" i="2"/>
  <c r="CY153" i="2"/>
  <c r="CY193" i="2"/>
  <c r="CY11" i="2"/>
  <c r="CY69" i="2"/>
  <c r="CY85" i="2"/>
  <c r="CY60" i="2"/>
  <c r="CY14" i="2"/>
  <c r="CY107" i="2"/>
  <c r="CY56" i="2"/>
  <c r="CY50" i="2"/>
  <c r="CY83" i="2"/>
  <c r="CY145" i="2"/>
  <c r="CY144" i="2"/>
  <c r="CY201" i="2"/>
  <c r="CY132" i="2"/>
  <c r="CY17" i="2"/>
  <c r="CY18" i="2"/>
  <c r="CY138" i="2"/>
  <c r="CY59" i="2"/>
  <c r="CY97" i="2"/>
  <c r="CY119" i="2"/>
  <c r="CY169" i="2"/>
  <c r="CY109" i="2"/>
  <c r="CY90" i="2"/>
  <c r="CY159" i="2"/>
  <c r="CY72" i="2"/>
  <c r="CY140" i="2"/>
  <c r="CY45" i="2"/>
  <c r="CY95" i="2"/>
  <c r="CY146" i="2"/>
  <c r="CY73" i="2"/>
  <c r="CY28" i="2"/>
  <c r="CY134" i="2"/>
  <c r="CY76" i="2"/>
  <c r="CY26" i="2"/>
  <c r="CY197" i="2"/>
  <c r="CY115" i="2"/>
  <c r="CY121" i="2"/>
  <c r="CY87" i="2"/>
  <c r="CY147" i="2"/>
  <c r="CY137" i="2"/>
  <c r="CY5" i="2"/>
  <c r="CY127" i="2"/>
  <c r="CY40" i="2"/>
  <c r="CY43" i="2"/>
  <c r="CY171" i="2"/>
  <c r="CY55" i="2"/>
  <c r="CY192" i="2"/>
  <c r="CY172" i="2"/>
  <c r="CY20" i="2"/>
  <c r="CY23" i="2"/>
  <c r="CY39" i="2"/>
  <c r="CY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U3" i="2" l="1"/>
  <c r="DU76" i="2" s="1"/>
  <c r="DL23" i="2"/>
  <c r="DL73" i="2"/>
  <c r="DL43" i="2"/>
  <c r="DL53" i="2"/>
  <c r="DL63" i="2"/>
  <c r="DL33" i="2"/>
  <c r="DM23" i="2"/>
  <c r="I170" i="1"/>
  <c r="DM63" i="2"/>
  <c r="DN38" i="2" a="1"/>
  <c r="DN38" i="2" s="1"/>
  <c r="I168" i="1"/>
  <c r="DM43" i="2"/>
  <c r="DN53" i="2" a="1"/>
  <c r="DN53" i="2" s="1"/>
  <c r="I169" i="1"/>
  <c r="DM53" i="2"/>
  <c r="DN71" i="2" a="1"/>
  <c r="DN71" i="2" s="1"/>
  <c r="DM73" i="2"/>
  <c r="DN59" i="2" s="1" a="1"/>
  <c r="DN59" i="2" s="1"/>
  <c r="I167" i="1"/>
  <c r="DM33" i="2"/>
  <c r="DN14" i="2" s="1" a="1"/>
  <c r="DN14" i="2" s="1"/>
  <c r="DN74" i="2" a="1"/>
  <c r="DN74" i="2" s="1"/>
  <c r="I171" i="1"/>
  <c r="I172" i="1"/>
  <c r="DM83" i="2"/>
  <c r="DN75" i="2" s="1" a="1"/>
  <c r="DN75" i="2" s="1"/>
  <c r="DL205" i="2"/>
  <c r="I166" i="1"/>
  <c r="DU46" i="2" l="1"/>
  <c r="DU199" i="2"/>
  <c r="DU42" i="2"/>
  <c r="DU6" i="2"/>
  <c r="DU107" i="2"/>
  <c r="DU111" i="2"/>
  <c r="DU150" i="2"/>
  <c r="DU47" i="2"/>
  <c r="DU173" i="2"/>
  <c r="DU58" i="2"/>
  <c r="DU66" i="2"/>
  <c r="DU143" i="2"/>
  <c r="DU147" i="2"/>
  <c r="DU154" i="2"/>
  <c r="DU103" i="2"/>
  <c r="DU94" i="2"/>
  <c r="DU12" i="2"/>
  <c r="DU62" i="2"/>
  <c r="DU189" i="2"/>
  <c r="DU34" i="2"/>
  <c r="DU95" i="2"/>
  <c r="DU18" i="2"/>
  <c r="DU133" i="2"/>
  <c r="DU132" i="2"/>
  <c r="DU123" i="2"/>
  <c r="DU48" i="2"/>
  <c r="DU4" i="2"/>
  <c r="DU168" i="2"/>
  <c r="DU122" i="2"/>
  <c r="DU160" i="2"/>
  <c r="DU74" i="2"/>
  <c r="DU56" i="2"/>
  <c r="DU97" i="2"/>
  <c r="DU129" i="2"/>
  <c r="DU80" i="2"/>
  <c r="DU33" i="2"/>
  <c r="DU176" i="2"/>
  <c r="DU193" i="2"/>
  <c r="DU60" i="2"/>
  <c r="DU24" i="2"/>
  <c r="DU166" i="2"/>
  <c r="DU75" i="2"/>
  <c r="DU112" i="2"/>
  <c r="DU185" i="2"/>
  <c r="DU53" i="2"/>
  <c r="DU10" i="2"/>
  <c r="DU149" i="2"/>
  <c r="DU70" i="2"/>
  <c r="DU139" i="2"/>
  <c r="DU27" i="2"/>
  <c r="DU38" i="2"/>
  <c r="DU59" i="2"/>
  <c r="DU29" i="2"/>
  <c r="DU35" i="2"/>
  <c r="DU37" i="2"/>
  <c r="DU156" i="2"/>
  <c r="DU167" i="2"/>
  <c r="DU144" i="2"/>
  <c r="DU79" i="2"/>
  <c r="DU116" i="2"/>
  <c r="DU155" i="2"/>
  <c r="DU196" i="2"/>
  <c r="DU131" i="2"/>
  <c r="DU105" i="2"/>
  <c r="DU89" i="2"/>
  <c r="DU49" i="2"/>
  <c r="DU153" i="2"/>
  <c r="DU63" i="2"/>
  <c r="DU39" i="2"/>
  <c r="DU51" i="2"/>
  <c r="DU68" i="2"/>
  <c r="DU77" i="2"/>
  <c r="DU26" i="2"/>
  <c r="DU188" i="2"/>
  <c r="DU43" i="2"/>
  <c r="DU87" i="2"/>
  <c r="DU69" i="2"/>
  <c r="DU145" i="2"/>
  <c r="DU127" i="2"/>
  <c r="DU13" i="2"/>
  <c r="DU125" i="2"/>
  <c r="DU96" i="2"/>
  <c r="DU146" i="2"/>
  <c r="DU162" i="2"/>
  <c r="DU190" i="2"/>
  <c r="DU142" i="2"/>
  <c r="DU20" i="2"/>
  <c r="DU67" i="2"/>
  <c r="DU119" i="2"/>
  <c r="DU106" i="2"/>
  <c r="DU130" i="2"/>
  <c r="DU152" i="2"/>
  <c r="DU28" i="2"/>
  <c r="DU191" i="2"/>
  <c r="DU121" i="2"/>
  <c r="DU148" i="2"/>
  <c r="DU135" i="2"/>
  <c r="DU181" i="2"/>
  <c r="DU98" i="2"/>
  <c r="DU11" i="2"/>
  <c r="DU195" i="2"/>
  <c r="DU52" i="2"/>
  <c r="DU118" i="2"/>
  <c r="DU22" i="2"/>
  <c r="DU100" i="2"/>
  <c r="DU186" i="2"/>
  <c r="DU164" i="2"/>
  <c r="DU115" i="2"/>
  <c r="DU84" i="2"/>
  <c r="DU170" i="2"/>
  <c r="DU110" i="2"/>
  <c r="DU169" i="2"/>
  <c r="DU194" i="2"/>
  <c r="DU88" i="2"/>
  <c r="DU124" i="2"/>
  <c r="DU61" i="2"/>
  <c r="DU128" i="2"/>
  <c r="DU30" i="2"/>
  <c r="DU31" i="2"/>
  <c r="DU178" i="2"/>
  <c r="DU5" i="2"/>
  <c r="DU57" i="2"/>
  <c r="DU126" i="2"/>
  <c r="DU7" i="2"/>
  <c r="DU55" i="2"/>
  <c r="DU172" i="2"/>
  <c r="DU73" i="2"/>
  <c r="DU183" i="2"/>
  <c r="DU157" i="2"/>
  <c r="DU92" i="2"/>
  <c r="DU137" i="2"/>
  <c r="DU102" i="2"/>
  <c r="DU197" i="2"/>
  <c r="DU138" i="2"/>
  <c r="DU198" i="2"/>
  <c r="DU50" i="2"/>
  <c r="DU136" i="2"/>
  <c r="DU174" i="2"/>
  <c r="DU117" i="2"/>
  <c r="DU40" i="2"/>
  <c r="DU171" i="2"/>
  <c r="DU8" i="2"/>
  <c r="DU108" i="2"/>
  <c r="DU14" i="2"/>
  <c r="DU90" i="2"/>
  <c r="DU109" i="2"/>
  <c r="DU192" i="2"/>
  <c r="DU32" i="2"/>
  <c r="DU175" i="2"/>
  <c r="DU17" i="2"/>
  <c r="DU104" i="2"/>
  <c r="DU93" i="2"/>
  <c r="DU182" i="2"/>
  <c r="DU179" i="2"/>
  <c r="DU141" i="2"/>
  <c r="DU165" i="2"/>
  <c r="DU78" i="2"/>
  <c r="DU140" i="2"/>
  <c r="DU16" i="2"/>
  <c r="DU161" i="2"/>
  <c r="DU15" i="2"/>
  <c r="DU163" i="2"/>
  <c r="DU151" i="2"/>
  <c r="DU180" i="2"/>
  <c r="DU91" i="2"/>
  <c r="DU41" i="2"/>
  <c r="DU187" i="2"/>
  <c r="DU86" i="2"/>
  <c r="DU81" i="2"/>
  <c r="DU159" i="2"/>
  <c r="DU71" i="2"/>
  <c r="DU177" i="2"/>
  <c r="DU65" i="2"/>
  <c r="DU64" i="2"/>
  <c r="DU9" i="2"/>
  <c r="DU184" i="2"/>
  <c r="DU44" i="2"/>
  <c r="DU23" i="2"/>
  <c r="DU36" i="2"/>
  <c r="DU158" i="2"/>
  <c r="DU134" i="2"/>
  <c r="DU120" i="2"/>
  <c r="DU203" i="2"/>
  <c r="DU45" i="2"/>
  <c r="DU19" i="2"/>
  <c r="DU114" i="2"/>
  <c r="DU99" i="2"/>
  <c r="DU113" i="2"/>
  <c r="D11" i="4"/>
  <c r="E11" i="4" s="1"/>
  <c r="F11" i="4" s="1"/>
  <c r="G11" i="4" s="1"/>
  <c r="L11" i="4" s="1"/>
  <c r="DU72" i="2"/>
  <c r="DU25" i="2"/>
  <c r="DU83" i="2"/>
  <c r="DU54" i="2"/>
  <c r="DU21" i="2"/>
  <c r="DU101" i="2"/>
  <c r="DU201" i="2"/>
  <c r="DU82" i="2"/>
  <c r="DU202" i="2"/>
  <c r="DU200" i="2"/>
  <c r="DU85" i="2"/>
  <c r="DN31" i="2" a="1"/>
  <c r="DN31" i="2" s="1"/>
  <c r="DN27" i="2" a="1"/>
  <c r="DN27" i="2" s="1"/>
  <c r="DN24" i="2" a="1"/>
  <c r="DN24" i="2" s="1"/>
  <c r="DN15" i="2" a="1"/>
  <c r="DN15" i="2" s="1"/>
  <c r="DN30" i="2" a="1"/>
  <c r="DN30" i="2" s="1"/>
  <c r="DN33" i="2" a="1"/>
  <c r="DN33" i="2" s="1"/>
  <c r="DN29" i="2" a="1"/>
  <c r="DN29" i="2" s="1"/>
  <c r="DN26" i="2" a="1"/>
  <c r="DN26" i="2" s="1"/>
  <c r="DN32" i="2" a="1"/>
  <c r="DN32" i="2" s="1"/>
  <c r="DN25" i="2" a="1"/>
  <c r="DN25" i="2" s="1"/>
  <c r="DN28" i="2" a="1"/>
  <c r="DN28" i="2" s="1"/>
  <c r="DN17" i="2" a="1"/>
  <c r="DN17" i="2" s="1"/>
  <c r="DN4" i="2" a="1"/>
  <c r="DN4" i="2" s="1"/>
  <c r="DO4" i="2" s="1"/>
  <c r="DN12" i="2" a="1"/>
  <c r="DN12" i="2" s="1"/>
  <c r="DN20" i="2" a="1"/>
  <c r="DN20" i="2" s="1"/>
  <c r="DN82" i="2" a="1"/>
  <c r="DN82" i="2" s="1"/>
  <c r="DN72" i="2" a="1"/>
  <c r="DN72" i="2" s="1"/>
  <c r="DN44" i="2" a="1"/>
  <c r="DN44" i="2" s="1"/>
  <c r="DN76" i="2" a="1"/>
  <c r="DN76" i="2" s="1"/>
  <c r="DN67" i="2" a="1"/>
  <c r="DN67" i="2" s="1"/>
  <c r="DN48" i="2" a="1"/>
  <c r="DN48" i="2" s="1"/>
  <c r="DN81" i="2" a="1"/>
  <c r="DN81" i="2" s="1"/>
  <c r="DN66" i="2" a="1"/>
  <c r="DN66" i="2" s="1"/>
  <c r="DN50" i="2" a="1"/>
  <c r="DN50" i="2" s="1"/>
  <c r="DN83" i="2" a="1"/>
  <c r="DN83" i="2" s="1"/>
  <c r="DN80" i="2" a="1"/>
  <c r="DN80" i="2" s="1"/>
  <c r="DN55" i="2" a="1"/>
  <c r="DN55" i="2" s="1"/>
  <c r="DN62" i="2" a="1"/>
  <c r="DN62" i="2" s="1"/>
  <c r="DN57" i="2" a="1"/>
  <c r="DN57" i="2" s="1"/>
  <c r="DN36" i="2" a="1"/>
  <c r="DN36" i="2" s="1"/>
  <c r="DN40" i="2" a="1"/>
  <c r="DN40" i="2" s="1"/>
  <c r="DN49" i="2" a="1"/>
  <c r="DN49" i="2" s="1"/>
  <c r="DN68" i="2" a="1"/>
  <c r="DN68" i="2" s="1"/>
  <c r="DN60" i="2" a="1"/>
  <c r="DN60" i="2" s="1"/>
  <c r="DN58" i="2" a="1"/>
  <c r="DN58" i="2" s="1"/>
  <c r="DN41" i="2" a="1"/>
  <c r="DN41" i="2" s="1"/>
  <c r="DN39" i="2" a="1"/>
  <c r="DN39" i="2" s="1"/>
  <c r="DN34" i="2" a="1"/>
  <c r="DN34" i="2" s="1"/>
  <c r="DN45" i="2" a="1"/>
  <c r="DN45" i="2" s="1"/>
  <c r="DN52" i="2" a="1"/>
  <c r="DN52" i="2" s="1"/>
  <c r="DN56" i="2" a="1"/>
  <c r="DN56" i="2" s="1"/>
  <c r="DN61" i="2" a="1"/>
  <c r="DN61" i="2" s="1"/>
  <c r="DN54" i="2" a="1"/>
  <c r="DN54" i="2" s="1"/>
  <c r="DN43" i="2" a="1"/>
  <c r="DN43" i="2" s="1"/>
  <c r="DN42" i="2" a="1"/>
  <c r="DN42" i="2" s="1"/>
  <c r="DN46" i="2" a="1"/>
  <c r="DN46" i="2" s="1"/>
  <c r="DN51" i="2" a="1"/>
  <c r="DN51" i="2" s="1"/>
  <c r="DN47" i="2" a="1"/>
  <c r="DN47" i="2" s="1"/>
  <c r="DN70" i="2" a="1"/>
  <c r="DN70" i="2" s="1"/>
  <c r="DN35" i="2" a="1"/>
  <c r="DN35" i="2" s="1"/>
  <c r="DN63" i="2" a="1"/>
  <c r="DN63" i="2" s="1"/>
  <c r="DN78" i="2" a="1"/>
  <c r="DN78" i="2" s="1"/>
  <c r="DN69" i="2" a="1"/>
  <c r="DN69" i="2" s="1"/>
  <c r="DN65" i="2" a="1"/>
  <c r="DN65" i="2" s="1"/>
  <c r="DN77" i="2" a="1"/>
  <c r="DN77" i="2" s="1"/>
  <c r="DN73" i="2" a="1"/>
  <c r="DN73" i="2" s="1"/>
  <c r="DN5" i="2" a="1"/>
  <c r="DN5" i="2" s="1"/>
  <c r="DN79" i="2" a="1"/>
  <c r="DN79" i="2" s="1"/>
  <c r="DN64" i="2" a="1"/>
  <c r="DN64" i="2" s="1"/>
  <c r="DN37" i="2" a="1"/>
  <c r="DN37" i="2" s="1"/>
  <c r="DN23" i="2" a="1"/>
  <c r="DN23" i="2" s="1"/>
  <c r="DN19" i="2" a="1"/>
  <c r="DN19" i="2" s="1"/>
  <c r="DN21" i="2" a="1"/>
  <c r="DN21" i="2" s="1"/>
  <c r="DN13" i="2" a="1"/>
  <c r="DN13" i="2" s="1"/>
  <c r="DN6" i="2" a="1"/>
  <c r="DN6" i="2" s="1"/>
  <c r="DN9" i="2" a="1"/>
  <c r="DN9" i="2" s="1"/>
  <c r="DN22" i="2" a="1"/>
  <c r="DN22" i="2" s="1"/>
  <c r="DN8" i="2" a="1"/>
  <c r="DN8" i="2" s="1"/>
  <c r="DN11" i="2" a="1"/>
  <c r="DN11" i="2" s="1"/>
  <c r="DN16" i="2" a="1"/>
  <c r="DN16" i="2" s="1"/>
  <c r="DN18" i="2" a="1"/>
  <c r="DN18" i="2" s="1"/>
  <c r="DN10" i="2" a="1"/>
  <c r="DN10" i="2" s="1"/>
  <c r="DN7" i="2" a="1"/>
  <c r="DN7" i="2" s="1"/>
  <c r="DP4" i="2" l="1"/>
  <c r="DO5" i="2"/>
  <c r="DQ4" i="2" l="1"/>
  <c r="DR4" i="2" s="1"/>
  <c r="DS4" i="2" s="1"/>
  <c r="DP5" i="2"/>
  <c r="DO6" i="2"/>
  <c r="DQ5" i="2" l="1"/>
  <c r="DR5" i="2" s="1"/>
  <c r="DS5" i="2" s="1"/>
  <c r="DP6" i="2"/>
  <c r="DO7" i="2"/>
  <c r="DP7" i="2" l="1"/>
  <c r="DO8" i="2"/>
  <c r="DQ6" i="2"/>
  <c r="DR6" i="2" s="1"/>
  <c r="DS6" i="2" s="1"/>
  <c r="DP8" i="2" l="1"/>
  <c r="DO9" i="2"/>
  <c r="DQ7" i="2"/>
  <c r="DR7" i="2" s="1"/>
  <c r="DS7" i="2" s="1"/>
  <c r="DP9" i="2" l="1"/>
  <c r="DO10" i="2"/>
  <c r="DQ8" i="2"/>
  <c r="DR8" i="2" s="1"/>
  <c r="DS8" i="2" s="1"/>
  <c r="DO11" i="2" l="1"/>
  <c r="DP10" i="2"/>
  <c r="DQ9" i="2"/>
  <c r="DR9" i="2" s="1"/>
  <c r="DS9" i="2" s="1"/>
  <c r="DQ10" i="2" l="1"/>
  <c r="DR10" i="2" s="1"/>
  <c r="DS10" i="2" s="1"/>
  <c r="DP11" i="2"/>
  <c r="DO12" i="2"/>
  <c r="DO13" i="2" l="1"/>
  <c r="DP12" i="2"/>
  <c r="DQ11" i="2"/>
  <c r="DR11" i="2" s="1"/>
  <c r="DS11" i="2" s="1"/>
  <c r="DQ12" i="2" l="1"/>
  <c r="DR12" i="2" s="1"/>
  <c r="DS12" i="2" s="1"/>
  <c r="DP13" i="2"/>
  <c r="DO14" i="2"/>
  <c r="DQ13" i="2" l="1"/>
  <c r="DR13" i="2" s="1"/>
  <c r="DS13" i="2" s="1"/>
  <c r="DP14" i="2"/>
  <c r="DO15" i="2"/>
  <c r="DO16" i="2" l="1"/>
  <c r="DP15" i="2"/>
  <c r="DQ14" i="2"/>
  <c r="DR14" i="2" s="1"/>
  <c r="DS14" i="2" s="1"/>
  <c r="DQ15" i="2" l="1"/>
  <c r="DR15" i="2" s="1"/>
  <c r="DS15" i="2" s="1"/>
  <c r="DP16" i="2"/>
  <c r="DO17" i="2"/>
  <c r="DQ16" i="2" l="1"/>
  <c r="DR16" i="2" s="1"/>
  <c r="DS16" i="2" s="1"/>
  <c r="DP17" i="2"/>
  <c r="DO18" i="2"/>
  <c r="DO19" i="2" l="1"/>
  <c r="DP18" i="2"/>
  <c r="DQ17" i="2"/>
  <c r="DR17" i="2" s="1"/>
  <c r="DS17" i="2" s="1"/>
  <c r="DQ18" i="2" l="1"/>
  <c r="DR18" i="2" s="1"/>
  <c r="DS18" i="2" s="1"/>
  <c r="DP19" i="2"/>
  <c r="DO20" i="2"/>
  <c r="DO21" i="2" l="1"/>
  <c r="DP20" i="2"/>
  <c r="DQ19" i="2"/>
  <c r="DR19" i="2" s="1"/>
  <c r="DS19" i="2" s="1"/>
  <c r="DQ20" i="2" l="1"/>
  <c r="DR20" i="2" s="1"/>
  <c r="DS20" i="2" s="1"/>
  <c r="DO22" i="2"/>
  <c r="DP21" i="2"/>
  <c r="DQ21" i="2" l="1"/>
  <c r="DR21" i="2" s="1"/>
  <c r="DS21" i="2" s="1"/>
  <c r="DP22" i="2"/>
  <c r="DO23" i="2"/>
  <c r="DQ22" i="2" l="1"/>
  <c r="DR22" i="2" s="1"/>
  <c r="DS22" i="2" s="1"/>
  <c r="DP23" i="2"/>
  <c r="DO24" i="2"/>
  <c r="DQ23" i="2" l="1"/>
  <c r="DR23" i="2" s="1"/>
  <c r="DS23" i="2" s="1"/>
  <c r="DP24" i="2"/>
  <c r="DO25" i="2"/>
  <c r="DP25" i="2" l="1"/>
  <c r="DO26" i="2"/>
  <c r="DQ24" i="2"/>
  <c r="DR24" i="2" s="1"/>
  <c r="DS24" i="2" s="1"/>
  <c r="DO27" i="2" l="1"/>
  <c r="DP26" i="2"/>
  <c r="DQ25" i="2"/>
  <c r="DR25" i="2" s="1"/>
  <c r="DS25" i="2" s="1"/>
  <c r="DQ26" i="2" l="1"/>
  <c r="DR26" i="2" s="1"/>
  <c r="DS26" i="2" s="1"/>
  <c r="DO28" i="2"/>
  <c r="DP27" i="2"/>
  <c r="DQ27" i="2" l="1"/>
  <c r="DR27" i="2" s="1"/>
  <c r="DS27" i="2" s="1"/>
  <c r="DO29" i="2"/>
  <c r="DP28" i="2"/>
  <c r="DQ28" i="2" l="1"/>
  <c r="DR28" i="2" s="1"/>
  <c r="DS28" i="2" s="1"/>
  <c r="DO30" i="2"/>
  <c r="DP29" i="2"/>
  <c r="DQ29" i="2" l="1"/>
  <c r="DR29" i="2" s="1"/>
  <c r="DS29" i="2" s="1"/>
  <c r="DP30" i="2"/>
  <c r="DO31" i="2"/>
  <c r="DP31" i="2" l="1"/>
  <c r="DO32" i="2"/>
  <c r="DQ30" i="2"/>
  <c r="DR30" i="2" s="1"/>
  <c r="DS30" i="2" s="1"/>
  <c r="DP32" i="2" l="1"/>
  <c r="DO33" i="2"/>
  <c r="DQ31" i="2"/>
  <c r="DR31" i="2" s="1"/>
  <c r="DS31" i="2" s="1"/>
  <c r="DO34" i="2" l="1"/>
  <c r="DP33" i="2"/>
  <c r="DQ32" i="2"/>
  <c r="DR32" i="2" s="1"/>
  <c r="DS32" i="2" s="1"/>
  <c r="DQ33" i="2" l="1"/>
  <c r="DR33" i="2" s="1"/>
  <c r="DS33" i="2" s="1"/>
  <c r="DO35" i="2"/>
  <c r="DP34" i="2"/>
  <c r="DQ34" i="2" l="1"/>
  <c r="DR34" i="2" s="1"/>
  <c r="DS34" i="2" s="1"/>
  <c r="DO36" i="2"/>
  <c r="DP35" i="2"/>
  <c r="DQ35" i="2" l="1"/>
  <c r="DR35" i="2" s="1"/>
  <c r="DS35" i="2" s="1"/>
  <c r="DO37" i="2"/>
  <c r="DP36" i="2"/>
  <c r="DQ36" i="2" l="1"/>
  <c r="DR36" i="2" s="1"/>
  <c r="DS36" i="2" s="1"/>
  <c r="DO38" i="2"/>
  <c r="DP37" i="2"/>
  <c r="DQ37" i="2" l="1"/>
  <c r="DR37" i="2" s="1"/>
  <c r="DS37" i="2" s="1"/>
  <c r="DP38" i="2"/>
  <c r="DO39" i="2"/>
  <c r="DP39" i="2" l="1"/>
  <c r="DO40" i="2"/>
  <c r="DQ38" i="2"/>
  <c r="DR38" i="2" s="1"/>
  <c r="DS38" i="2" s="1"/>
  <c r="DP40" i="2" l="1"/>
  <c r="DO41" i="2"/>
  <c r="DQ39" i="2"/>
  <c r="DR39" i="2" s="1"/>
  <c r="DS39" i="2" s="1"/>
  <c r="DO42" i="2" l="1"/>
  <c r="DP41" i="2"/>
  <c r="DQ40" i="2"/>
  <c r="DR40" i="2" s="1"/>
  <c r="DS40" i="2" s="1"/>
  <c r="DQ41" i="2" l="1"/>
  <c r="DR41" i="2" s="1"/>
  <c r="DS41" i="2" s="1"/>
  <c r="DO43" i="2"/>
  <c r="DP42" i="2"/>
  <c r="DQ42" i="2" l="1"/>
  <c r="DR42" i="2" s="1"/>
  <c r="DS42" i="2" s="1"/>
  <c r="DO44" i="2"/>
  <c r="DP43" i="2"/>
  <c r="DQ43" i="2" l="1"/>
  <c r="DR43" i="2" s="1"/>
  <c r="DS43" i="2" s="1"/>
  <c r="DO45" i="2"/>
  <c r="DP44" i="2"/>
  <c r="DQ44" i="2" l="1"/>
  <c r="DR44" i="2" s="1"/>
  <c r="DS44" i="2" s="1"/>
  <c r="DO46" i="2"/>
  <c r="DP45" i="2"/>
  <c r="DQ45" i="2" l="1"/>
  <c r="DR45" i="2" s="1"/>
  <c r="DS45" i="2" s="1"/>
  <c r="DP46" i="2"/>
  <c r="DO47" i="2"/>
  <c r="DP47" i="2" l="1"/>
  <c r="DO48" i="2"/>
  <c r="DQ46" i="2"/>
  <c r="DR46" i="2" s="1"/>
  <c r="DS46" i="2" s="1"/>
  <c r="DP48" i="2" l="1"/>
  <c r="DO49" i="2"/>
  <c r="DQ47" i="2"/>
  <c r="DR47" i="2" s="1"/>
  <c r="DS47" i="2" s="1"/>
  <c r="DO50" i="2" l="1"/>
  <c r="DP49" i="2"/>
  <c r="DQ48" i="2"/>
  <c r="DR48" i="2" s="1"/>
  <c r="DS48" i="2" s="1"/>
  <c r="DQ49" i="2" l="1"/>
  <c r="DR49" i="2" s="1"/>
  <c r="DS49" i="2" s="1"/>
  <c r="DO51" i="2"/>
  <c r="DP50" i="2"/>
  <c r="DQ50" i="2" l="1"/>
  <c r="DR50" i="2" s="1"/>
  <c r="DS50" i="2" s="1"/>
  <c r="DO52" i="2"/>
  <c r="DP51" i="2"/>
  <c r="DQ51" i="2" l="1"/>
  <c r="DR51" i="2" s="1"/>
  <c r="DS51" i="2" s="1"/>
  <c r="DO53" i="2"/>
  <c r="DP52" i="2"/>
  <c r="DQ52" i="2" l="1"/>
  <c r="DR52" i="2" s="1"/>
  <c r="DS52" i="2" s="1"/>
  <c r="DO54" i="2"/>
  <c r="DP53" i="2"/>
  <c r="DQ53" i="2" l="1"/>
  <c r="DR53" i="2" s="1"/>
  <c r="DS53" i="2" s="1"/>
  <c r="DP54" i="2"/>
  <c r="DO55" i="2"/>
  <c r="DQ54" i="2" l="1"/>
  <c r="DR54" i="2" s="1"/>
  <c r="DS54" i="2" s="1"/>
  <c r="DP55" i="2"/>
  <c r="DO56" i="2"/>
  <c r="DP56" i="2" l="1"/>
  <c r="DO57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O59" i="2"/>
  <c r="DP58" i="2"/>
  <c r="DQ58" i="2" l="1"/>
  <c r="DR58" i="2" s="1"/>
  <c r="DS58" i="2" s="1"/>
  <c r="DO60" i="2"/>
  <c r="DP59" i="2"/>
  <c r="DQ59" i="2" l="1"/>
  <c r="DR59" i="2" s="1"/>
  <c r="DS59" i="2" s="1"/>
  <c r="DO61" i="2"/>
  <c r="DP60" i="2"/>
  <c r="DQ60" i="2" l="1"/>
  <c r="DR60" i="2" s="1"/>
  <c r="DS60" i="2" s="1"/>
  <c r="DO62" i="2"/>
  <c r="DP61" i="2"/>
  <c r="DQ61" i="2" l="1"/>
  <c r="DR61" i="2" s="1"/>
  <c r="DS61" i="2" s="1"/>
  <c r="DP62" i="2"/>
  <c r="DO63" i="2"/>
  <c r="DP63" i="2" l="1"/>
  <c r="DO64" i="2"/>
  <c r="DQ62" i="2"/>
  <c r="DR62" i="2" s="1"/>
  <c r="DS62" i="2" s="1"/>
  <c r="DP64" i="2" l="1"/>
  <c r="DO65" i="2"/>
  <c r="DQ63" i="2"/>
  <c r="DR63" i="2" s="1"/>
  <c r="DS63" i="2" s="1"/>
  <c r="DO66" i="2" l="1"/>
  <c r="DP65" i="2"/>
  <c r="DQ64" i="2"/>
  <c r="DR64" i="2" s="1"/>
  <c r="DS64" i="2" s="1"/>
  <c r="DQ65" i="2" l="1"/>
  <c r="DR65" i="2" s="1"/>
  <c r="DS65" i="2" s="1"/>
  <c r="DO67" i="2"/>
  <c r="DP66" i="2"/>
  <c r="DQ66" i="2" l="1"/>
  <c r="DR66" i="2" s="1"/>
  <c r="DS66" i="2" s="1"/>
  <c r="DO68" i="2"/>
  <c r="DP67" i="2"/>
  <c r="DQ67" i="2" l="1"/>
  <c r="DR67" i="2" s="1"/>
  <c r="DS67" i="2" s="1"/>
  <c r="DO69" i="2"/>
  <c r="DP68" i="2"/>
  <c r="DQ68" i="2" l="1"/>
  <c r="DR68" i="2" s="1"/>
  <c r="DS68" i="2" s="1"/>
  <c r="DP69" i="2"/>
  <c r="DO70" i="2"/>
  <c r="DQ69" i="2" l="1"/>
  <c r="DR69" i="2" s="1"/>
  <c r="DS69" i="2" s="1"/>
  <c r="DP70" i="2"/>
  <c r="DO71" i="2"/>
  <c r="DQ70" i="2" l="1"/>
  <c r="DR70" i="2" s="1"/>
  <c r="DS70" i="2" s="1"/>
  <c r="DP71" i="2"/>
  <c r="DO72" i="2"/>
  <c r="DP72" i="2" l="1"/>
  <c r="DO73" i="2"/>
  <c r="DQ71" i="2"/>
  <c r="DR71" i="2" s="1"/>
  <c r="DS71" i="2" s="1"/>
  <c r="DP73" i="2" l="1"/>
  <c r="DO74" i="2"/>
  <c r="DQ72" i="2"/>
  <c r="DR72" i="2" s="1"/>
  <c r="DS72" i="2" s="1"/>
  <c r="DO75" i="2" l="1"/>
  <c r="DP74" i="2"/>
  <c r="DQ73" i="2"/>
  <c r="DR73" i="2" s="1"/>
  <c r="DS73" i="2" s="1"/>
  <c r="DQ74" i="2" l="1"/>
  <c r="DR74" i="2" s="1"/>
  <c r="DS74" i="2" s="1"/>
  <c r="DO76" i="2"/>
  <c r="DP75" i="2"/>
  <c r="DQ75" i="2" l="1"/>
  <c r="DR75" i="2" s="1"/>
  <c r="DS75" i="2" s="1"/>
  <c r="DO77" i="2"/>
  <c r="DP76" i="2"/>
  <c r="DQ76" i="2" l="1"/>
  <c r="DR76" i="2" s="1"/>
  <c r="DS76" i="2" s="1"/>
  <c r="DO78" i="2"/>
  <c r="DP77" i="2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O83" i="2"/>
  <c r="DP82" i="2"/>
  <c r="DQ82" i="2" l="1"/>
  <c r="DR82" i="2" s="1"/>
  <c r="DS82" i="2" s="1"/>
  <c r="DO84" i="2"/>
  <c r="DP83" i="2"/>
  <c r="DO85" i="2" l="1"/>
  <c r="DP84" i="2"/>
  <c r="DQ83" i="2"/>
  <c r="DR83" i="2" s="1"/>
  <c r="DS83" i="2" s="1"/>
  <c r="DQ84" i="2" l="1"/>
  <c r="DR84" i="2" s="1"/>
  <c r="DS84" i="2" s="1"/>
  <c r="DO86" i="2"/>
  <c r="DP85" i="2"/>
  <c r="DQ85" i="2" l="1"/>
  <c r="DR85" i="2" s="1"/>
  <c r="DS85" i="2" s="1"/>
  <c r="DP86" i="2"/>
  <c r="DO87" i="2"/>
  <c r="DQ86" i="2" l="1"/>
  <c r="DR86" i="2" s="1"/>
  <c r="DS86" i="2" s="1"/>
  <c r="DP87" i="2"/>
  <c r="DO88" i="2"/>
  <c r="DP88" i="2" l="1"/>
  <c r="DO89" i="2"/>
  <c r="DQ87" i="2"/>
  <c r="DR87" i="2" s="1"/>
  <c r="DS87" i="2" s="1"/>
  <c r="DO90" i="2" l="1"/>
  <c r="DP89" i="2"/>
  <c r="DQ88" i="2"/>
  <c r="DR88" i="2" s="1"/>
  <c r="DS88" i="2" s="1"/>
  <c r="DQ89" i="2" l="1"/>
  <c r="DR89" i="2" s="1"/>
  <c r="DS89" i="2" s="1"/>
  <c r="DO91" i="2"/>
  <c r="DP90" i="2"/>
  <c r="DQ90" i="2" l="1"/>
  <c r="DR90" i="2" s="1"/>
  <c r="DS90" i="2" s="1"/>
  <c r="DO92" i="2"/>
  <c r="DP91" i="2"/>
  <c r="DQ91" i="2" l="1"/>
  <c r="DR91" i="2" s="1"/>
  <c r="DS91" i="2" s="1"/>
  <c r="DO93" i="2"/>
  <c r="DP92" i="2"/>
  <c r="DO94" i="2" l="1"/>
  <c r="DP93" i="2"/>
  <c r="DQ92" i="2"/>
  <c r="DR92" i="2" s="1"/>
  <c r="DS92" i="2" s="1"/>
  <c r="DQ93" i="2" l="1"/>
  <c r="DR93" i="2" s="1"/>
  <c r="DS93" i="2" s="1"/>
  <c r="DP94" i="2"/>
  <c r="DO95" i="2"/>
  <c r="DP95" i="2" l="1"/>
  <c r="DO96" i="2"/>
  <c r="DQ94" i="2"/>
  <c r="DR94" i="2" s="1"/>
  <c r="DS94" i="2" s="1"/>
  <c r="DP96" i="2" l="1"/>
  <c r="DO97" i="2"/>
  <c r="DQ95" i="2"/>
  <c r="DR95" i="2" s="1"/>
  <c r="DS95" i="2" s="1"/>
  <c r="DO98" i="2" l="1"/>
  <c r="DP97" i="2"/>
  <c r="DQ96" i="2"/>
  <c r="DR96" i="2" s="1"/>
  <c r="DS96" i="2" s="1"/>
  <c r="DQ97" i="2" l="1"/>
  <c r="DR97" i="2" s="1"/>
  <c r="DS97" i="2" s="1"/>
  <c r="DP98" i="2"/>
  <c r="DO99" i="2"/>
  <c r="DP99" i="2" l="1"/>
  <c r="DO100" i="2"/>
  <c r="DQ98" i="2"/>
  <c r="DR98" i="2" s="1"/>
  <c r="DS98" i="2" s="1"/>
  <c r="DP100" i="2" l="1"/>
  <c r="DO101" i="2"/>
  <c r="DQ99" i="2"/>
  <c r="DR99" i="2" s="1"/>
  <c r="DS99" i="2" s="1"/>
  <c r="DP101" i="2" l="1"/>
  <c r="DO102" i="2"/>
  <c r="DQ100" i="2"/>
  <c r="DR100" i="2" s="1"/>
  <c r="DS100" i="2" s="1"/>
  <c r="DP102" i="2" l="1"/>
  <c r="DO103" i="2"/>
  <c r="DQ101" i="2"/>
  <c r="DR101" i="2" s="1"/>
  <c r="DS101" i="2" s="1"/>
  <c r="DP103" i="2" l="1"/>
  <c r="DO104" i="2"/>
  <c r="DQ102" i="2"/>
  <c r="DR102" i="2" s="1"/>
  <c r="DS102" i="2" s="1"/>
  <c r="DP104" i="2" l="1"/>
  <c r="DO105" i="2"/>
  <c r="DQ103" i="2"/>
  <c r="DR103" i="2" s="1"/>
  <c r="DS103" i="2" s="1"/>
  <c r="DP105" i="2" l="1"/>
  <c r="DO106" i="2"/>
  <c r="DQ104" i="2"/>
  <c r="DR104" i="2" s="1"/>
  <c r="DS104" i="2" s="1"/>
  <c r="DP106" i="2" l="1"/>
  <c r="DO107" i="2"/>
  <c r="DQ105" i="2"/>
  <c r="DR105" i="2" s="1"/>
  <c r="DS105" i="2" s="1"/>
  <c r="DP107" i="2" l="1"/>
  <c r="DO108" i="2"/>
  <c r="DQ106" i="2"/>
  <c r="DR106" i="2" s="1"/>
  <c r="DS106" i="2" s="1"/>
  <c r="DP108" i="2" l="1"/>
  <c r="DO109" i="2"/>
  <c r="DQ107" i="2"/>
  <c r="DR107" i="2" s="1"/>
  <c r="DS107" i="2" s="1"/>
  <c r="DP109" i="2" l="1"/>
  <c r="DO110" i="2"/>
  <c r="DQ108" i="2"/>
  <c r="DR108" i="2" s="1"/>
  <c r="DS108" i="2" s="1"/>
  <c r="DP110" i="2" l="1"/>
  <c r="DO111" i="2"/>
  <c r="DQ109" i="2"/>
  <c r="DR109" i="2" s="1"/>
  <c r="DS109" i="2" s="1"/>
  <c r="DP111" i="2" l="1"/>
  <c r="DO112" i="2"/>
  <c r="DQ110" i="2"/>
  <c r="DR110" i="2" s="1"/>
  <c r="DS110" i="2" s="1"/>
  <c r="DP112" i="2" l="1"/>
  <c r="DO113" i="2"/>
  <c r="DQ111" i="2"/>
  <c r="DR111" i="2" s="1"/>
  <c r="DS111" i="2" s="1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P118" i="2"/>
  <c r="DO119" i="2"/>
  <c r="DP119" i="2" l="1"/>
  <c r="DO120" i="2"/>
  <c r="DQ118" i="2"/>
  <c r="DR118" i="2" s="1"/>
  <c r="DS118" i="2" s="1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P124" i="2" l="1"/>
  <c r="DO125" i="2"/>
  <c r="DQ123" i="2"/>
  <c r="DR123" i="2" s="1"/>
  <c r="DS123" i="2" s="1"/>
  <c r="DO126" i="2" l="1"/>
  <c r="DP125" i="2"/>
  <c r="DQ124" i="2"/>
  <c r="DR124" i="2" s="1"/>
  <c r="DS124" i="2" s="1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 s="1"/>
  <c r="DS128" i="2" s="1"/>
  <c r="DP129" i="2"/>
  <c r="DO130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P132" i="2" l="1"/>
  <c r="DO133" i="2"/>
  <c r="DQ131" i="2"/>
  <c r="DR131" i="2" s="1"/>
  <c r="DS131" i="2" s="1"/>
  <c r="DP133" i="2" l="1"/>
  <c r="DO134" i="2"/>
  <c r="DQ132" i="2"/>
  <c r="DR132" i="2"/>
  <c r="DS132" i="2" s="1"/>
  <c r="DP134" i="2" l="1"/>
  <c r="DO135" i="2"/>
  <c r="DQ133" i="2"/>
  <c r="DR133" i="2" s="1"/>
  <c r="DS133" i="2" s="1"/>
  <c r="DP135" i="2" l="1"/>
  <c r="DO136" i="2"/>
  <c r="DQ134" i="2"/>
  <c r="DR134" i="2" s="1"/>
  <c r="DS134" i="2" s="1"/>
  <c r="DP136" i="2" l="1"/>
  <c r="DO137" i="2"/>
  <c r="DQ135" i="2"/>
  <c r="DR135" i="2" s="1"/>
  <c r="DS135" i="2" s="1"/>
  <c r="DP137" i="2" l="1"/>
  <c r="DO138" i="2"/>
  <c r="DQ136" i="2"/>
  <c r="DR136" i="2" s="1"/>
  <c r="DS136" i="2" s="1"/>
  <c r="DP138" i="2" l="1"/>
  <c r="DO139" i="2"/>
  <c r="DQ137" i="2"/>
  <c r="DR137" i="2" s="1"/>
  <c r="DS137" i="2" s="1"/>
  <c r="DP139" i="2" l="1"/>
  <c r="DO140" i="2"/>
  <c r="DQ138" i="2"/>
  <c r="DR138" i="2" s="1"/>
  <c r="DS138" i="2" s="1"/>
  <c r="DO141" i="2" l="1"/>
  <c r="DP140" i="2"/>
  <c r="DQ139" i="2"/>
  <c r="DR139" i="2" s="1"/>
  <c r="DS139" i="2" s="1"/>
  <c r="DQ140" i="2" l="1"/>
  <c r="DR140" i="2" s="1"/>
  <c r="DS140" i="2" s="1"/>
  <c r="DP141" i="2"/>
  <c r="DO142" i="2"/>
  <c r="DQ141" i="2" l="1"/>
  <c r="DR141" i="2" s="1"/>
  <c r="DS141" i="2" s="1"/>
  <c r="DO143" i="2"/>
  <c r="DP142" i="2"/>
  <c r="DQ142" i="2" l="1"/>
  <c r="DR142" i="2" s="1"/>
  <c r="DS142" i="2" s="1"/>
  <c r="DP143" i="2"/>
  <c r="DO144" i="2"/>
  <c r="DQ143" i="2" l="1"/>
  <c r="DR143" i="2" s="1"/>
  <c r="DS143" i="2" s="1"/>
  <c r="DO145" i="2"/>
  <c r="DP144" i="2"/>
  <c r="DQ144" i="2" l="1"/>
  <c r="DR144" i="2" s="1"/>
  <c r="DS144" i="2" s="1"/>
  <c r="DP145" i="2"/>
  <c r="DO146" i="2"/>
  <c r="DP146" i="2" l="1"/>
  <c r="DO147" i="2"/>
  <c r="DQ145" i="2"/>
  <c r="DR145" i="2" s="1"/>
  <c r="DS145" i="2" s="1"/>
  <c r="DP147" i="2" l="1"/>
  <c r="DO148" i="2"/>
  <c r="DQ146" i="2"/>
  <c r="DR146" i="2" s="1"/>
  <c r="DS146" i="2" s="1"/>
  <c r="DP148" i="2" l="1"/>
  <c r="DO149" i="2"/>
  <c r="DQ147" i="2"/>
  <c r="DR147" i="2" s="1"/>
  <c r="DS147" i="2" s="1"/>
  <c r="DP149" i="2" l="1"/>
  <c r="DO150" i="2"/>
  <c r="DQ148" i="2"/>
  <c r="DR148" i="2" s="1"/>
  <c r="DS148" i="2" s="1"/>
  <c r="DP150" i="2" l="1"/>
  <c r="DO151" i="2"/>
  <c r="DQ149" i="2"/>
  <c r="DR149" i="2" s="1"/>
  <c r="DS149" i="2" s="1"/>
  <c r="DP151" i="2" l="1"/>
  <c r="DO152" i="2"/>
  <c r="DQ150" i="2"/>
  <c r="DR150" i="2" s="1"/>
  <c r="DS150" i="2" s="1"/>
  <c r="DP152" i="2" l="1"/>
  <c r="DO153" i="2"/>
  <c r="DQ151" i="2"/>
  <c r="DR151" i="2" s="1"/>
  <c r="DS151" i="2" s="1"/>
  <c r="DP153" i="2" l="1"/>
  <c r="DO154" i="2"/>
  <c r="DQ152" i="2"/>
  <c r="DR152" i="2" s="1"/>
  <c r="DS152" i="2" s="1"/>
  <c r="DP154" i="2" l="1"/>
  <c r="DO155" i="2"/>
  <c r="DQ153" i="2"/>
  <c r="DR153" i="2" s="1"/>
  <c r="DS153" i="2" s="1"/>
  <c r="DP155" i="2" l="1"/>
  <c r="DO156" i="2"/>
  <c r="DQ154" i="2"/>
  <c r="DR154" i="2" s="1"/>
  <c r="DS154" i="2" s="1"/>
  <c r="DO157" i="2" l="1"/>
  <c r="DP156" i="2"/>
  <c r="DQ155" i="2"/>
  <c r="DR155" i="2" s="1"/>
  <c r="DS155" i="2" s="1"/>
  <c r="DQ156" i="2" l="1"/>
  <c r="DR156" i="2" s="1"/>
  <c r="DS156" i="2" s="1"/>
  <c r="DP157" i="2"/>
  <c r="DO158" i="2"/>
  <c r="DO159" i="2" l="1"/>
  <c r="DP158" i="2"/>
  <c r="DQ157" i="2"/>
  <c r="DR157" i="2" s="1"/>
  <c r="DS157" i="2" s="1"/>
  <c r="DQ158" i="2" l="1"/>
  <c r="DR158" i="2" s="1"/>
  <c r="DS158" i="2" s="1"/>
  <c r="DP159" i="2"/>
  <c r="DO160" i="2"/>
  <c r="DO161" i="2" l="1"/>
  <c r="DP160" i="2"/>
  <c r="DQ159" i="2"/>
  <c r="DR159" i="2" s="1"/>
  <c r="DS159" i="2" s="1"/>
  <c r="DQ160" i="2" l="1"/>
  <c r="DR160" i="2" s="1"/>
  <c r="DS160" i="2" s="1"/>
  <c r="DP161" i="2"/>
  <c r="DO162" i="2"/>
  <c r="DP162" i="2" l="1"/>
  <c r="DO163" i="2"/>
  <c r="DQ161" i="2"/>
  <c r="DR161" i="2" s="1"/>
  <c r="DS161" i="2" s="1"/>
  <c r="DP163" i="2" l="1"/>
  <c r="DO164" i="2"/>
  <c r="DQ162" i="2"/>
  <c r="DR162" i="2" s="1"/>
  <c r="DS162" i="2" s="1"/>
  <c r="DP164" i="2" l="1"/>
  <c r="DO165" i="2"/>
  <c r="DQ163" i="2"/>
  <c r="DR163" i="2" s="1"/>
  <c r="DS163" i="2" s="1"/>
  <c r="DP165" i="2" l="1"/>
  <c r="DO166" i="2"/>
  <c r="DQ164" i="2"/>
  <c r="DR164" i="2" s="1"/>
  <c r="DS164" i="2" s="1"/>
  <c r="DP166" i="2" l="1"/>
  <c r="DO167" i="2"/>
  <c r="DQ165" i="2"/>
  <c r="DR165" i="2" s="1"/>
  <c r="DS165" i="2" s="1"/>
  <c r="DP167" i="2" l="1"/>
  <c r="DO168" i="2"/>
  <c r="DQ166" i="2"/>
  <c r="DR166" i="2"/>
  <c r="DS166" i="2" s="1"/>
  <c r="DP168" i="2" l="1"/>
  <c r="DO169" i="2"/>
  <c r="DQ167" i="2"/>
  <c r="DR167" i="2" s="1"/>
  <c r="DS167" i="2" s="1"/>
  <c r="DP169" i="2" l="1"/>
  <c r="DO170" i="2"/>
  <c r="DQ168" i="2"/>
  <c r="DR168" i="2" s="1"/>
  <c r="DS168" i="2" s="1"/>
  <c r="DP170" i="2" l="1"/>
  <c r="DO171" i="2"/>
  <c r="DQ169" i="2"/>
  <c r="DR169" i="2" s="1"/>
  <c r="DS169" i="2" s="1"/>
  <c r="DP171" i="2" l="1"/>
  <c r="DO172" i="2"/>
  <c r="DQ170" i="2"/>
  <c r="DR170" i="2" s="1"/>
  <c r="DS170" i="2" s="1"/>
  <c r="DO173" i="2" l="1"/>
  <c r="DP172" i="2"/>
  <c r="DQ171" i="2"/>
  <c r="DR171" i="2" s="1"/>
  <c r="DS171" i="2" s="1"/>
  <c r="DQ172" i="2" l="1"/>
  <c r="DR172" i="2" s="1"/>
  <c r="DS172" i="2" s="1"/>
  <c r="DP173" i="2"/>
  <c r="DO174" i="2"/>
  <c r="DQ173" i="2" l="1"/>
  <c r="DR173" i="2" s="1"/>
  <c r="DS173" i="2" s="1"/>
  <c r="DO175" i="2"/>
  <c r="DP174" i="2"/>
  <c r="DQ174" i="2" l="1"/>
  <c r="DR174" i="2" s="1"/>
  <c r="DS174" i="2" s="1"/>
  <c r="DP175" i="2"/>
  <c r="DO176" i="2"/>
  <c r="DO177" i="2" l="1"/>
  <c r="DP176" i="2"/>
  <c r="DQ175" i="2"/>
  <c r="DR175" i="2" s="1"/>
  <c r="DS175" i="2" s="1"/>
  <c r="DQ176" i="2" l="1"/>
  <c r="DR176" i="2" s="1"/>
  <c r="DS176" i="2" s="1"/>
  <c r="DP177" i="2"/>
  <c r="DO178" i="2"/>
  <c r="DP178" i="2" l="1"/>
  <c r="DO179" i="2"/>
  <c r="DQ177" i="2"/>
  <c r="DR177" i="2" s="1"/>
  <c r="DS177" i="2" s="1"/>
  <c r="DP179" i="2" l="1"/>
  <c r="DO180" i="2"/>
  <c r="DQ178" i="2"/>
  <c r="DR178" i="2" s="1"/>
  <c r="DS178" i="2" s="1"/>
  <c r="DP180" i="2" l="1"/>
  <c r="DO181" i="2"/>
  <c r="DQ179" i="2"/>
  <c r="DR179" i="2" s="1"/>
  <c r="DS179" i="2" s="1"/>
  <c r="DP181" i="2" l="1"/>
  <c r="DO182" i="2"/>
  <c r="DQ180" i="2"/>
  <c r="DR180" i="2" s="1"/>
  <c r="DS180" i="2" s="1"/>
  <c r="DP182" i="2" l="1"/>
  <c r="DO183" i="2"/>
  <c r="DQ181" i="2"/>
  <c r="DR181" i="2" s="1"/>
  <c r="DS181" i="2" s="1"/>
  <c r="DP183" i="2" l="1"/>
  <c r="DO184" i="2"/>
  <c r="DQ182" i="2"/>
  <c r="DR182" i="2" s="1"/>
  <c r="DS182" i="2" s="1"/>
  <c r="DP184" i="2" l="1"/>
  <c r="DO185" i="2"/>
  <c r="DQ183" i="2"/>
  <c r="DR183" i="2" s="1"/>
  <c r="DS183" i="2" s="1"/>
  <c r="DP185" i="2" l="1"/>
  <c r="DO186" i="2"/>
  <c r="DQ184" i="2"/>
  <c r="DR184" i="2" s="1"/>
  <c r="DS184" i="2" s="1"/>
  <c r="DP186" i="2" l="1"/>
  <c r="DO187" i="2"/>
  <c r="DQ185" i="2"/>
  <c r="DR185" i="2" s="1"/>
  <c r="DS185" i="2" s="1"/>
  <c r="DP187" i="2" l="1"/>
  <c r="DO188" i="2"/>
  <c r="DQ186" i="2"/>
  <c r="DR186" i="2" s="1"/>
  <c r="DS186" i="2" s="1"/>
  <c r="DO189" i="2" l="1"/>
  <c r="DP188" i="2"/>
  <c r="DQ187" i="2"/>
  <c r="DR187" i="2" s="1"/>
  <c r="DS187" i="2" s="1"/>
  <c r="DQ188" i="2" l="1"/>
  <c r="DR188" i="2" s="1"/>
  <c r="DS188" i="2" s="1"/>
  <c r="DP189" i="2"/>
  <c r="DO190" i="2"/>
  <c r="DO191" i="2" l="1"/>
  <c r="DP190" i="2"/>
  <c r="DQ189" i="2"/>
  <c r="DR189" i="2" s="1"/>
  <c r="DS189" i="2" s="1"/>
  <c r="DQ190" i="2" l="1"/>
  <c r="DR190" i="2" s="1"/>
  <c r="DS190" i="2" s="1"/>
  <c r="DP191" i="2"/>
  <c r="DO192" i="2"/>
  <c r="DO193" i="2" l="1"/>
  <c r="DP192" i="2"/>
  <c r="DQ191" i="2"/>
  <c r="DR191" i="2" s="1"/>
  <c r="DS191" i="2" s="1"/>
  <c r="DQ192" i="2" l="1"/>
  <c r="DR192" i="2" s="1"/>
  <c r="DS192" i="2" s="1"/>
  <c r="DP193" i="2"/>
  <c r="DO194" i="2"/>
  <c r="DP194" i="2" l="1"/>
  <c r="DO195" i="2"/>
  <c r="DQ193" i="2"/>
  <c r="DR193" i="2" s="1"/>
  <c r="DS193" i="2" s="1"/>
  <c r="DP195" i="2" l="1"/>
  <c r="DO196" i="2"/>
  <c r="DQ194" i="2"/>
  <c r="DR194" i="2" s="1"/>
  <c r="DS194" i="2" s="1"/>
  <c r="DP196" i="2" l="1"/>
  <c r="DO197" i="2"/>
  <c r="DQ195" i="2"/>
  <c r="DR195" i="2" s="1"/>
  <c r="DS195" i="2" s="1"/>
  <c r="DP197" i="2" l="1"/>
  <c r="DO198" i="2"/>
  <c r="DQ196" i="2"/>
  <c r="DR196" i="2" s="1"/>
  <c r="DS196" i="2" s="1"/>
  <c r="DP198" i="2" l="1"/>
  <c r="DO199" i="2"/>
  <c r="DQ197" i="2"/>
  <c r="DR197" i="2" s="1"/>
  <c r="DS197" i="2" s="1"/>
  <c r="DP199" i="2" l="1"/>
  <c r="DO200" i="2"/>
  <c r="DQ198" i="2"/>
  <c r="DR198" i="2" s="1"/>
  <c r="DS198" i="2" s="1"/>
  <c r="DP200" i="2" l="1"/>
  <c r="DO201" i="2"/>
  <c r="DQ199" i="2"/>
  <c r="DR199" i="2" s="1"/>
  <c r="DS199" i="2" s="1"/>
  <c r="DP201" i="2" l="1"/>
  <c r="DO202" i="2"/>
  <c r="DQ200" i="2"/>
  <c r="DR200" i="2" s="1"/>
  <c r="DS200" i="2" s="1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  <c r="AF43" i="2"/>
  <c r="AF23" i="2"/>
  <c r="AF53" i="2"/>
  <c r="AF33" i="2"/>
  <c r="I66" i="1"/>
  <c r="AG63" i="2" s="1"/>
  <c r="AF63" i="2"/>
  <c r="I65" i="1"/>
  <c r="AG53" i="2" s="1"/>
  <c r="I63" i="1"/>
  <c r="AG23" i="2" s="1"/>
  <c r="I64" i="1"/>
  <c r="AG33" i="2" s="1"/>
  <c r="AF205" i="2"/>
  <c r="AI13" i="2" s="1"/>
  <c r="I62" i="1"/>
  <c r="AG13" i="2" s="1"/>
  <c r="AG43" i="2" l="1"/>
  <c r="AI5" i="2"/>
  <c r="AJ5" i="2" s="1"/>
  <c r="AI11" i="2"/>
  <c r="AJ11" i="2" s="1"/>
  <c r="AI8" i="2"/>
  <c r="AJ8" i="2" s="1"/>
  <c r="AI4" i="2"/>
  <c r="AJ4" i="2" s="1"/>
  <c r="AI12" i="2"/>
  <c r="AJ12" i="2" s="1"/>
  <c r="AI10" i="2"/>
  <c r="AJ10" i="2" s="1"/>
  <c r="AI7" i="2"/>
  <c r="AJ7" i="2" s="1"/>
  <c r="AI6" i="2"/>
  <c r="AJ6" i="2" s="1"/>
  <c r="AI9" i="2"/>
  <c r="AJ9" i="2" s="1"/>
  <c r="AJ13" i="2"/>
  <c r="AK8" i="2" l="1"/>
  <c r="AL8" i="2" s="1"/>
  <c r="AM8" i="2" s="1"/>
  <c r="AK11" i="2"/>
  <c r="AL11" i="2" s="1"/>
  <c r="AM11" i="2" s="1"/>
  <c r="AK4" i="2"/>
  <c r="AL4" i="2" s="1"/>
  <c r="AM4" i="2" s="1"/>
  <c r="AK9" i="2"/>
  <c r="AL9" i="2" s="1"/>
  <c r="AM9" i="2" s="1"/>
  <c r="AK5" i="2"/>
  <c r="AL5" i="2" s="1"/>
  <c r="AM5" i="2" s="1"/>
  <c r="AK13" i="2"/>
  <c r="AL13" i="2" s="1"/>
  <c r="AM13" i="2" s="1"/>
  <c r="AK6" i="2"/>
  <c r="AL6" i="2" s="1"/>
  <c r="AM6" i="2" s="1"/>
  <c r="AK7" i="2"/>
  <c r="AL7" i="2" s="1"/>
  <c r="AM7" i="2" s="1"/>
  <c r="AK10" i="2"/>
  <c r="AL10" i="2" s="1"/>
  <c r="AM10" i="2" s="1"/>
  <c r="AK12" i="2"/>
  <c r="AL12" i="2" s="1"/>
  <c r="AM12" i="2" s="1"/>
  <c r="AF73" i="2"/>
  <c r="I68" i="1"/>
  <c r="AG83" i="2" s="1"/>
  <c r="I67" i="1"/>
  <c r="AG73" i="2"/>
  <c r="AH76" i="2" l="1" a="1"/>
  <c r="AH76" i="2" s="1"/>
  <c r="AH75" i="2" a="1"/>
  <c r="AH75" i="2" s="1"/>
  <c r="AH83" i="2" a="1"/>
  <c r="AH83" i="2" s="1"/>
  <c r="AH74" i="2" a="1"/>
  <c r="AH74" i="2" s="1"/>
  <c r="AH82" i="2" a="1"/>
  <c r="AH82" i="2" s="1"/>
  <c r="AH78" i="2" a="1"/>
  <c r="AH78" i="2" s="1"/>
  <c r="AH81" i="2" a="1"/>
  <c r="AH81" i="2" s="1"/>
  <c r="AH79" i="2" a="1"/>
  <c r="AH79" i="2" s="1"/>
  <c r="AH77" i="2" a="1"/>
  <c r="AH77" i="2" s="1"/>
  <c r="AH80" i="2" a="1"/>
  <c r="AH80" i="2" s="1"/>
  <c r="AH14" i="2" a="1"/>
  <c r="AH14" i="2" s="1"/>
  <c r="AI14" i="2" s="1"/>
  <c r="AJ14" i="2" s="1"/>
  <c r="AH7" i="2" a="1"/>
  <c r="AH7" i="2" s="1"/>
  <c r="AH62" i="2" a="1"/>
  <c r="AH62" i="2" s="1"/>
  <c r="AH20" i="2" a="1"/>
  <c r="AH20" i="2" s="1"/>
  <c r="AH28" i="2" a="1"/>
  <c r="AH28" i="2" s="1"/>
  <c r="AH43" i="2" a="1"/>
  <c r="AH43" i="2" s="1"/>
  <c r="AH32" i="2" a="1"/>
  <c r="AH32" i="2" s="1"/>
  <c r="AH10" i="2" a="1"/>
  <c r="AH10" i="2" s="1"/>
  <c r="AH38" i="2" a="1"/>
  <c r="AH38" i="2" s="1"/>
  <c r="AH40" i="2" a="1"/>
  <c r="AH40" i="2" s="1"/>
  <c r="AH59" i="2" a="1"/>
  <c r="AH59" i="2" s="1"/>
  <c r="AH15" i="2" a="1"/>
  <c r="AH15" i="2" s="1"/>
  <c r="AI15" i="2" s="1"/>
  <c r="AH69" i="2" a="1"/>
  <c r="AH69" i="2" s="1"/>
  <c r="AH26" i="2" a="1"/>
  <c r="AH26" i="2" s="1"/>
  <c r="AH21" i="2" a="1"/>
  <c r="AH21" i="2" s="1"/>
  <c r="AH57" i="2" a="1"/>
  <c r="AH57" i="2" s="1"/>
  <c r="AH45" i="2" a="1"/>
  <c r="AH45" i="2" s="1"/>
  <c r="AH30" i="2" a="1"/>
  <c r="AH30" i="2" s="1"/>
  <c r="AH60" i="2" a="1"/>
  <c r="AH60" i="2" s="1"/>
  <c r="AH70" i="2" a="1"/>
  <c r="AH70" i="2" s="1"/>
  <c r="AH73" i="2" a="1"/>
  <c r="AH73" i="2" s="1"/>
  <c r="AH9" i="2" a="1"/>
  <c r="AH9" i="2" s="1"/>
  <c r="AH29" i="2" a="1"/>
  <c r="AH29" i="2" s="1"/>
  <c r="AH24" i="2" a="1"/>
  <c r="AH24" i="2" s="1"/>
  <c r="AH56" i="2" a="1"/>
  <c r="AH56" i="2" s="1"/>
  <c r="AH5" i="2" a="1"/>
  <c r="AH5" i="2" s="1"/>
  <c r="AH13" i="2" a="1"/>
  <c r="AH13" i="2" s="1"/>
  <c r="AH22" i="2" a="1"/>
  <c r="AH22" i="2" s="1"/>
  <c r="AH64" i="2" a="1"/>
  <c r="AH64" i="2" s="1"/>
  <c r="AH66" i="2" a="1"/>
  <c r="AH66" i="2" s="1"/>
  <c r="AH48" i="2" a="1"/>
  <c r="AH48" i="2" s="1"/>
  <c r="AH18" i="2" a="1"/>
  <c r="AH18" i="2" s="1"/>
  <c r="AH35" i="2" a="1"/>
  <c r="AH35" i="2" s="1"/>
  <c r="AH33" i="2" a="1"/>
  <c r="AH33" i="2" s="1"/>
  <c r="AH39" i="2" a="1"/>
  <c r="AH39" i="2" s="1"/>
  <c r="AH4" i="2" a="1"/>
  <c r="AH4" i="2" s="1"/>
  <c r="AH25" i="2" a="1"/>
  <c r="AH25" i="2" s="1"/>
  <c r="AH65" i="2" a="1"/>
  <c r="AH65" i="2" s="1"/>
  <c r="AH41" i="2" a="1"/>
  <c r="AH41" i="2" s="1"/>
  <c r="AH6" i="2" a="1"/>
  <c r="AH6" i="2" s="1"/>
  <c r="AH37" i="2" a="1"/>
  <c r="AH37" i="2" s="1"/>
  <c r="AH61" i="2" a="1"/>
  <c r="AH61" i="2" s="1"/>
  <c r="AH12" i="2" a="1"/>
  <c r="AH12" i="2" s="1"/>
  <c r="AH53" i="2" a="1"/>
  <c r="AH53" i="2" s="1"/>
  <c r="AH51" i="2" a="1"/>
  <c r="AH51" i="2" s="1"/>
  <c r="AH72" i="2" a="1"/>
  <c r="AH72" i="2" s="1"/>
  <c r="AH47" i="2" a="1"/>
  <c r="AH47" i="2" s="1"/>
  <c r="AH46" i="2" a="1"/>
  <c r="AH46" i="2" s="1"/>
  <c r="AH52" i="2" a="1"/>
  <c r="AH52" i="2" s="1"/>
  <c r="AH8" i="2" a="1"/>
  <c r="AH8" i="2" s="1"/>
  <c r="AH19" i="2" a="1"/>
  <c r="AH19" i="2" s="1"/>
  <c r="AH31" i="2" a="1"/>
  <c r="AH31" i="2" s="1"/>
  <c r="AH58" i="2" a="1"/>
  <c r="AH58" i="2" s="1"/>
  <c r="AH63" i="2" a="1"/>
  <c r="AH63" i="2" s="1"/>
  <c r="AH44" i="2" a="1"/>
  <c r="AH44" i="2" s="1"/>
  <c r="AH42" i="2" a="1"/>
  <c r="AH42" i="2" s="1"/>
  <c r="AH16" i="2" a="1"/>
  <c r="AH16" i="2" s="1"/>
  <c r="AH27" i="2" a="1"/>
  <c r="AH27" i="2" s="1"/>
  <c r="AH55" i="2" a="1"/>
  <c r="AH55" i="2" s="1"/>
  <c r="AH34" i="2" a="1"/>
  <c r="AH34" i="2" s="1"/>
  <c r="AH36" i="2" a="1"/>
  <c r="AH36" i="2" s="1"/>
  <c r="AH67" i="2" a="1"/>
  <c r="AH67" i="2" s="1"/>
  <c r="AH54" i="2" a="1"/>
  <c r="AH54" i="2" s="1"/>
  <c r="AH17" i="2" a="1"/>
  <c r="AH17" i="2" s="1"/>
  <c r="AH50" i="2" a="1"/>
  <c r="AH50" i="2" s="1"/>
  <c r="AH23" i="2" a="1"/>
  <c r="AH23" i="2" s="1"/>
  <c r="AH11" i="2" a="1"/>
  <c r="AH11" i="2" s="1"/>
  <c r="AH49" i="2" a="1"/>
  <c r="AH49" i="2" s="1"/>
  <c r="AH71" i="2" a="1"/>
  <c r="AH71" i="2" s="1"/>
  <c r="AH68" i="2" a="1"/>
  <c r="AH68" i="2" s="1"/>
  <c r="AJ15" i="2" l="1"/>
  <c r="AI16" i="2"/>
  <c r="AK14" i="2"/>
  <c r="AL14" i="2" s="1"/>
  <c r="AM14" i="2" s="1"/>
  <c r="AJ16" i="2" l="1"/>
  <c r="AI17" i="2"/>
  <c r="AK15" i="2"/>
  <c r="AL15" i="2" s="1"/>
  <c r="AM15" i="2" s="1"/>
  <c r="AJ17" i="2" l="1"/>
  <c r="AI18" i="2"/>
  <c r="AK16" i="2"/>
  <c r="AL16" i="2" s="1"/>
  <c r="AM16" i="2" s="1"/>
  <c r="AI19" i="2" l="1"/>
  <c r="AJ18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I22" i="2" l="1"/>
  <c r="AJ21" i="2"/>
  <c r="AK20" i="2"/>
  <c r="AL20" i="2" s="1"/>
  <c r="AM20" i="2" s="1"/>
  <c r="AK21" i="2" l="1"/>
  <c r="AL21" i="2"/>
  <c r="AM21" i="2" s="1"/>
  <c r="AJ22" i="2"/>
  <c r="AI23" i="2"/>
  <c r="AK22" i="2" l="1"/>
  <c r="AL22" i="2" s="1"/>
  <c r="AM22" i="2" s="1"/>
  <c r="AJ23" i="2"/>
  <c r="AI24" i="2"/>
  <c r="AK23" i="2" l="1"/>
  <c r="AL23" i="2" s="1"/>
  <c r="AM23" i="2" s="1"/>
  <c r="AJ24" i="2"/>
  <c r="AI25" i="2"/>
  <c r="AJ25" i="2" l="1"/>
  <c r="AI26" i="2"/>
  <c r="AK24" i="2"/>
  <c r="AL24" i="2" s="1"/>
  <c r="AM24" i="2" s="1"/>
  <c r="AJ26" i="2" l="1"/>
  <c r="AI27" i="2"/>
  <c r="AK25" i="2"/>
  <c r="AL25" i="2" s="1"/>
  <c r="AM25" i="2" s="1"/>
  <c r="AI28" i="2" l="1"/>
  <c r="AJ27" i="2"/>
  <c r="AK26" i="2"/>
  <c r="AL26" i="2" s="1"/>
  <c r="AM26" i="2" s="1"/>
  <c r="AK27" i="2" l="1"/>
  <c r="AL27" i="2" s="1"/>
  <c r="AM27" i="2" s="1"/>
  <c r="AJ28" i="2"/>
  <c r="AI29" i="2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I34" i="2" l="1"/>
  <c r="AJ33" i="2"/>
  <c r="AK32" i="2"/>
  <c r="AL32" i="2" s="1"/>
  <c r="AM32" i="2" s="1"/>
  <c r="AK33" i="2" l="1"/>
  <c r="AL33" i="2" s="1"/>
  <c r="AM33" i="2" s="1"/>
  <c r="AO3" i="2" s="1"/>
  <c r="AJ34" i="2"/>
  <c r="AI35" i="2"/>
  <c r="AK34" i="2" l="1"/>
  <c r="AL34" i="2" s="1"/>
  <c r="AM34" i="2" s="1"/>
  <c r="AI36" i="2"/>
  <c r="AJ35" i="2"/>
  <c r="AO83" i="2"/>
  <c r="AO167" i="2"/>
  <c r="AO16" i="2"/>
  <c r="AO54" i="2"/>
  <c r="AO145" i="2"/>
  <c r="AO4" i="2"/>
  <c r="AO134" i="2"/>
  <c r="AO177" i="2"/>
  <c r="AO32" i="2"/>
  <c r="AO89" i="2"/>
  <c r="AO146" i="2"/>
  <c r="AO101" i="2"/>
  <c r="AO22" i="2"/>
  <c r="AO57" i="2"/>
  <c r="AO9" i="2"/>
  <c r="AO81" i="2"/>
  <c r="AO11" i="2"/>
  <c r="AO86" i="2"/>
  <c r="AO192" i="2"/>
  <c r="AO139" i="2"/>
  <c r="D7" i="4"/>
  <c r="AO199" i="2"/>
  <c r="AO34" i="2"/>
  <c r="AO69" i="2"/>
  <c r="AO107" i="2"/>
  <c r="AO65" i="2"/>
  <c r="AO141" i="2"/>
  <c r="AO154" i="2"/>
  <c r="AO130" i="2"/>
  <c r="AO103" i="2"/>
  <c r="AO116" i="2"/>
  <c r="AO201" i="2"/>
  <c r="AO39" i="2"/>
  <c r="AO132" i="2"/>
  <c r="AO71" i="2"/>
  <c r="AO40" i="2"/>
  <c r="AO143" i="2"/>
  <c r="AO142" i="2"/>
  <c r="AO76" i="2"/>
  <c r="AO150" i="2"/>
  <c r="AO155" i="2"/>
  <c r="AO42" i="2"/>
  <c r="AO60" i="2"/>
  <c r="AO27" i="2"/>
  <c r="AO49" i="2"/>
  <c r="AO187" i="2"/>
  <c r="AO175" i="2"/>
  <c r="AO26" i="2"/>
  <c r="AO63" i="2"/>
  <c r="AO138" i="2"/>
  <c r="AO125" i="2"/>
  <c r="AO100" i="2"/>
  <c r="AO80" i="2"/>
  <c r="AO77" i="2"/>
  <c r="AO170" i="2"/>
  <c r="AO44" i="2"/>
  <c r="AO92" i="2"/>
  <c r="AO163" i="2"/>
  <c r="AO59" i="2"/>
  <c r="AO70" i="2"/>
  <c r="AO74" i="2"/>
  <c r="AO33" i="2"/>
  <c r="AO176" i="2"/>
  <c r="AO197" i="2"/>
  <c r="AO68" i="2"/>
  <c r="AO66" i="2"/>
  <c r="AO109" i="2"/>
  <c r="AO30" i="2"/>
  <c r="AO166" i="2"/>
  <c r="AO185" i="2"/>
  <c r="AO6" i="2"/>
  <c r="AO158" i="2"/>
  <c r="AO19" i="2"/>
  <c r="AO21" i="2"/>
  <c r="AO52" i="2"/>
  <c r="AO72" i="2"/>
  <c r="AO58" i="2"/>
  <c r="AO75" i="2"/>
  <c r="AO137" i="2"/>
  <c r="AO174" i="2"/>
  <c r="AO171" i="2"/>
  <c r="AO12" i="2"/>
  <c r="AO178" i="2"/>
  <c r="AO64" i="2"/>
  <c r="AO87" i="2"/>
  <c r="AO15" i="2"/>
  <c r="AO8" i="2"/>
  <c r="AO78" i="2"/>
  <c r="AO147" i="2"/>
  <c r="AO179" i="2"/>
  <c r="AO169" i="2"/>
  <c r="AO17" i="2"/>
  <c r="AO111" i="2"/>
  <c r="AO195" i="2"/>
  <c r="AO144" i="2"/>
  <c r="AO28" i="2"/>
  <c r="AO198" i="2"/>
  <c r="AO120" i="2"/>
  <c r="AO121" i="2"/>
  <c r="AO164" i="2"/>
  <c r="AO24" i="2"/>
  <c r="AO124" i="2"/>
  <c r="AO160" i="2"/>
  <c r="AO53" i="2"/>
  <c r="AO84" i="2"/>
  <c r="AO61" i="2"/>
  <c r="AO173" i="2"/>
  <c r="AO156" i="2"/>
  <c r="AO37" i="2"/>
  <c r="AO105" i="2"/>
  <c r="AO161" i="2"/>
  <c r="AO85" i="2"/>
  <c r="AO115" i="2"/>
  <c r="AO193" i="2"/>
  <c r="AO182" i="2"/>
  <c r="AO43" i="2"/>
  <c r="AO149" i="2"/>
  <c r="AO140" i="2"/>
  <c r="AO183" i="2"/>
  <c r="AO20" i="2"/>
  <c r="AO36" i="2"/>
  <c r="AO79" i="2"/>
  <c r="AO189" i="2"/>
  <c r="AO114" i="2"/>
  <c r="AO159" i="2"/>
  <c r="AO129" i="2"/>
  <c r="AO38" i="2"/>
  <c r="AO35" i="2"/>
  <c r="AO7" i="2"/>
  <c r="AO188" i="2"/>
  <c r="AO82" i="2"/>
  <c r="AO10" i="2"/>
  <c r="AO99" i="2"/>
  <c r="AO151" i="2"/>
  <c r="AO113" i="2"/>
  <c r="AO45" i="2"/>
  <c r="AO104" i="2"/>
  <c r="AO48" i="2"/>
  <c r="AO181" i="2"/>
  <c r="AO191" i="2"/>
  <c r="AO102" i="2"/>
  <c r="AO131" i="2"/>
  <c r="AO93" i="2"/>
  <c r="AO118" i="2"/>
  <c r="AO168" i="2"/>
  <c r="AO73" i="2"/>
  <c r="AO96" i="2"/>
  <c r="AO196" i="2"/>
  <c r="AO122" i="2"/>
  <c r="AO202" i="2"/>
  <c r="AO14" i="2"/>
  <c r="AO50" i="2"/>
  <c r="AO119" i="2"/>
  <c r="AO148" i="2"/>
  <c r="AO46" i="2"/>
  <c r="AO13" i="2"/>
  <c r="AO29" i="2"/>
  <c r="AO133" i="2"/>
  <c r="AO184" i="2"/>
  <c r="AO90" i="2"/>
  <c r="AO18" i="2"/>
  <c r="AO91" i="2"/>
  <c r="AO23" i="2"/>
  <c r="AO98" i="2"/>
  <c r="AO190" i="2"/>
  <c r="AO110" i="2"/>
  <c r="AO127" i="2"/>
  <c r="AO165" i="2"/>
  <c r="AO126" i="2"/>
  <c r="AO180" i="2"/>
  <c r="AO41" i="2"/>
  <c r="AO153" i="2"/>
  <c r="AO152" i="2"/>
  <c r="AO47" i="2"/>
  <c r="AO172" i="2"/>
  <c r="AO31" i="2"/>
  <c r="AO112" i="2"/>
  <c r="AO51" i="2"/>
  <c r="AO25" i="2"/>
  <c r="AO157" i="2"/>
  <c r="AO67" i="2"/>
  <c r="AO200" i="2"/>
  <c r="AO162" i="2"/>
  <c r="AO5" i="2"/>
  <c r="AO106" i="2"/>
  <c r="AO88" i="2"/>
  <c r="AO117" i="2"/>
  <c r="AO186" i="2"/>
  <c r="AO203" i="2"/>
  <c r="AO194" i="2"/>
  <c r="AO95" i="2"/>
  <c r="AO62" i="2"/>
  <c r="AO135" i="2"/>
  <c r="AO56" i="2"/>
  <c r="AO136" i="2"/>
  <c r="AO108" i="2"/>
  <c r="AO97" i="2"/>
  <c r="AO123" i="2"/>
  <c r="AO55" i="2"/>
  <c r="AO128" i="2"/>
  <c r="AO94" i="2"/>
  <c r="AK35" i="2" l="1"/>
  <c r="AL35" i="2" s="1"/>
  <c r="AM35" i="2" s="1"/>
  <c r="AI37" i="2"/>
  <c r="AJ36" i="2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J44" i="2"/>
  <c r="AI45" i="2"/>
  <c r="AK44" i="2" l="1"/>
  <c r="AL44" i="2" s="1"/>
  <c r="AM44" i="2" s="1"/>
  <c r="AI46" i="2"/>
  <c r="AJ45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I50" i="2" l="1"/>
  <c r="AJ49" i="2"/>
  <c r="AK48" i="2"/>
  <c r="AL48" i="2" s="1"/>
  <c r="AM48" i="2" s="1"/>
  <c r="AK49" i="2" l="1"/>
  <c r="AL49" i="2" s="1"/>
  <c r="AM49" i="2" s="1"/>
  <c r="AJ50" i="2"/>
  <c r="AI51" i="2"/>
  <c r="AK50" i="2" l="1"/>
  <c r="AL50" i="2" s="1"/>
  <c r="AM50" i="2" s="1"/>
  <c r="AJ51" i="2"/>
  <c r="AI52" i="2"/>
  <c r="AJ52" i="2" l="1"/>
  <c r="AI53" i="2"/>
  <c r="AK51" i="2"/>
  <c r="AL51" i="2" s="1"/>
  <c r="AM51" i="2" s="1"/>
  <c r="AI54" i="2" l="1"/>
  <c r="AJ53" i="2"/>
  <c r="AK52" i="2"/>
  <c r="AL52" i="2" s="1"/>
  <c r="AM52" i="2" s="1"/>
  <c r="AK53" i="2" l="1"/>
  <c r="AL53" i="2" s="1"/>
  <c r="AM53" i="2" s="1"/>
  <c r="AJ54" i="2"/>
  <c r="AI55" i="2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I62" i="2" l="1"/>
  <c r="AJ61" i="2"/>
  <c r="AK60" i="2"/>
  <c r="AL60" i="2" s="1"/>
  <c r="AM60" i="2" s="1"/>
  <c r="AK61" i="2" l="1"/>
  <c r="AL61" i="2" s="1"/>
  <c r="AM61" i="2" s="1"/>
  <c r="AI63" i="2"/>
  <c r="AJ62" i="2"/>
  <c r="AK62" i="2" l="1"/>
  <c r="AL62" i="2" s="1"/>
  <c r="AM62" i="2" s="1"/>
  <c r="AJ63" i="2"/>
  <c r="AI64" i="2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I71" i="2" l="1"/>
  <c r="AJ70" i="2"/>
  <c r="AK69" i="2"/>
  <c r="AL69" i="2" s="1"/>
  <c r="AM69" i="2" s="1"/>
  <c r="AK70" i="2" l="1"/>
  <c r="AL70" i="2" s="1"/>
  <c r="AM70" i="2" s="1"/>
  <c r="AJ71" i="2"/>
  <c r="AI72" i="2"/>
  <c r="AK71" i="2" l="1"/>
  <c r="AL71" i="2" s="1"/>
  <c r="AM71" i="2" s="1"/>
  <c r="AJ72" i="2"/>
  <c r="AI73" i="2"/>
  <c r="AI74" i="2" l="1"/>
  <c r="AJ73" i="2"/>
  <c r="AK72" i="2"/>
  <c r="AL72" i="2" s="1"/>
  <c r="AM72" i="2" s="1"/>
  <c r="AK73" i="2" l="1"/>
  <c r="AL73" i="2" s="1"/>
  <c r="AM73" i="2" s="1"/>
  <c r="AJ74" i="2"/>
  <c r="AI75" i="2"/>
  <c r="AK74" i="2" l="1"/>
  <c r="AL74" i="2" s="1"/>
  <c r="AM74" i="2" s="1"/>
  <c r="AJ75" i="2"/>
  <c r="AI76" i="2"/>
  <c r="AK75" i="2" l="1"/>
  <c r="AL75" i="2" s="1"/>
  <c r="AM75" i="2" s="1"/>
  <c r="AI77" i="2"/>
  <c r="AJ76" i="2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3" i="2" l="1"/>
  <c r="C7" i="4" s="1"/>
  <c r="E7" i="4" s="1"/>
  <c r="F7" i="4" s="1"/>
  <c r="AN170" i="2"/>
  <c r="AN164" i="2"/>
  <c r="AN17" i="2"/>
  <c r="AN27" i="2"/>
  <c r="AN26" i="2"/>
  <c r="AN178" i="2"/>
  <c r="AN97" i="2"/>
  <c r="AN176" i="2"/>
  <c r="AN186" i="2"/>
  <c r="AN137" i="2"/>
  <c r="AN22" i="2"/>
  <c r="AN29" i="2"/>
  <c r="AN135" i="2"/>
  <c r="AN106" i="2"/>
  <c r="AN116" i="2"/>
  <c r="AN198" i="2"/>
  <c r="AN11" i="2"/>
  <c r="AN81" i="2"/>
  <c r="AN163" i="2"/>
  <c r="AN118" i="2"/>
  <c r="AN88" i="2"/>
  <c r="AN203" i="2"/>
  <c r="AN12" i="2"/>
  <c r="AN177" i="2"/>
  <c r="AN199" i="2"/>
  <c r="AN136" i="2"/>
  <c r="AN80" i="2"/>
  <c r="AN87" i="2"/>
  <c r="AN52" i="2"/>
  <c r="AN157" i="2"/>
  <c r="AN95" i="2"/>
  <c r="AN111" i="2"/>
  <c r="AN196" i="2"/>
  <c r="AN63" i="2"/>
  <c r="AN20" i="2"/>
  <c r="AN152" i="2"/>
  <c r="AN57" i="2"/>
  <c r="AN187" i="2"/>
  <c r="AN101" i="2"/>
  <c r="AN127" i="2"/>
  <c r="AN33" i="2"/>
  <c r="AN119" i="2"/>
  <c r="AN173" i="2"/>
  <c r="AN55" i="2"/>
  <c r="AN188" i="2"/>
  <c r="AN19" i="2"/>
  <c r="AN98" i="2"/>
  <c r="AN168" i="2"/>
  <c r="AN56" i="2"/>
  <c r="AN37" i="2"/>
  <c r="AN48" i="2"/>
  <c r="AN115" i="2"/>
  <c r="AN24" i="2"/>
  <c r="AN184" i="2"/>
  <c r="AN172" i="2"/>
  <c r="AN79" i="2"/>
  <c r="AN9" i="2"/>
  <c r="AN195" i="2"/>
  <c r="AN72" i="2"/>
  <c r="AN31" i="2"/>
  <c r="AN113" i="2"/>
  <c r="AN34" i="2"/>
  <c r="AN67" i="2"/>
  <c r="AN7" i="2"/>
  <c r="AN153" i="2"/>
  <c r="AN131" i="2"/>
  <c r="AN141" i="2"/>
  <c r="AN13" i="2"/>
  <c r="AN126" i="2"/>
  <c r="AN104" i="2"/>
  <c r="AN96" i="2"/>
  <c r="AN30" i="2"/>
  <c r="AN105" i="2"/>
  <c r="AN78" i="2"/>
  <c r="AN159" i="2"/>
  <c r="AN38" i="2"/>
  <c r="AN193" i="2"/>
  <c r="AN194" i="2"/>
  <c r="AN36" i="2"/>
  <c r="AN14" i="2"/>
  <c r="AN165" i="2"/>
  <c r="AN62" i="2"/>
  <c r="AN102" i="2"/>
  <c r="AN25" i="2"/>
  <c r="AN174" i="2"/>
  <c r="AN60" i="2"/>
  <c r="AN46" i="2"/>
  <c r="AN197" i="2"/>
  <c r="AN43" i="2"/>
  <c r="AN122" i="2"/>
  <c r="AN5" i="2"/>
  <c r="AN93" i="2"/>
  <c r="AN151" i="2"/>
  <c r="AN109" i="2"/>
  <c r="AN99" i="2"/>
  <c r="AN71" i="2"/>
  <c r="AN202" i="2"/>
  <c r="AN82" i="2"/>
  <c r="AN114" i="2"/>
  <c r="AN146" i="2"/>
  <c r="AN124" i="2"/>
  <c r="AN158" i="2"/>
  <c r="AN144" i="2"/>
  <c r="AN145" i="2"/>
  <c r="AN83" i="2"/>
  <c r="AN68" i="2"/>
  <c r="AN91" i="2"/>
  <c r="AN42" i="2"/>
  <c r="AN171" i="2"/>
  <c r="AN181" i="2"/>
  <c r="AN107" i="2"/>
  <c r="AN185" i="2"/>
  <c r="AN94" i="2"/>
  <c r="AN50" i="2"/>
  <c r="AN70" i="2"/>
  <c r="AN77" i="2"/>
  <c r="AN85" i="2"/>
  <c r="AN147" i="2"/>
  <c r="AN121" i="2"/>
  <c r="AN133" i="2"/>
  <c r="AN167" i="2"/>
  <c r="AN142" i="2"/>
  <c r="AN130" i="2"/>
  <c r="AN139" i="2"/>
  <c r="AN10" i="2"/>
  <c r="AN21" i="2"/>
  <c r="AN49" i="2"/>
  <c r="AN201" i="2"/>
  <c r="AN108" i="2"/>
  <c r="AN200" i="2"/>
  <c r="AN59" i="2"/>
  <c r="AN75" i="2"/>
  <c r="AN41" i="2"/>
  <c r="AN53" i="2"/>
  <c r="AN175" i="2"/>
  <c r="AN182" i="2"/>
  <c r="AN4" i="2"/>
  <c r="AN155" i="2"/>
  <c r="AN73" i="2"/>
  <c r="AN125" i="2"/>
  <c r="AN120" i="2"/>
  <c r="AN35" i="2"/>
  <c r="AN128" i="2"/>
  <c r="AN154" i="2"/>
  <c r="AN92" i="2"/>
  <c r="AN66" i="2"/>
  <c r="AN132" i="2"/>
  <c r="AN190" i="2"/>
  <c r="AN64" i="2"/>
  <c r="AN180" i="2"/>
  <c r="AN162" i="2"/>
  <c r="AN39" i="2"/>
  <c r="AN28" i="2"/>
  <c r="AN189" i="2"/>
  <c r="AN44" i="2"/>
  <c r="AN86" i="2"/>
  <c r="AN54" i="2"/>
  <c r="AN161" i="2"/>
  <c r="AN23" i="2"/>
  <c r="AN58" i="2"/>
  <c r="AN51" i="2"/>
  <c r="AN183" i="2"/>
  <c r="AN110" i="2"/>
  <c r="AN112" i="2"/>
  <c r="AN169" i="2"/>
  <c r="AN191" i="2"/>
  <c r="AN138" i="2"/>
  <c r="AN89" i="2"/>
  <c r="AN192" i="2"/>
  <c r="AN143" i="2"/>
  <c r="AN40" i="2"/>
  <c r="AN100" i="2"/>
  <c r="AN149" i="2"/>
  <c r="AN166" i="2"/>
  <c r="AN160" i="2"/>
  <c r="AN47" i="2"/>
  <c r="AN129" i="2"/>
  <c r="AN84" i="2"/>
  <c r="AN8" i="2"/>
  <c r="AN140" i="2"/>
  <c r="AN15" i="2"/>
  <c r="AN103" i="2"/>
  <c r="AN90" i="2"/>
  <c r="AN18" i="2"/>
  <c r="AN74" i="2"/>
  <c r="AN179" i="2"/>
  <c r="AN117" i="2"/>
  <c r="AN32" i="2"/>
  <c r="AN156" i="2"/>
  <c r="AN65" i="2"/>
  <c r="AN69" i="2"/>
  <c r="AN61" i="2"/>
  <c r="AN148" i="2"/>
  <c r="AN123" i="2"/>
  <c r="AN150" i="2"/>
  <c r="AN45" i="2"/>
  <c r="AN134" i="2"/>
  <c r="AN16" i="2"/>
  <c r="AN6" i="2"/>
  <c r="AN76" i="2"/>
  <c r="AI86" i="2"/>
  <c r="AJ85" i="2"/>
  <c r="AK84" i="2"/>
  <c r="AL84" i="2" s="1"/>
  <c r="AM84" i="2" s="1"/>
  <c r="AK85" i="2" l="1"/>
  <c r="AL85" i="2" s="1"/>
  <c r="AM85" i="2" s="1"/>
  <c r="AJ86" i="2"/>
  <c r="AI87" i="2"/>
  <c r="F16" i="4"/>
  <c r="G7" i="4"/>
  <c r="L7" i="4" l="1"/>
  <c r="L16" i="4" s="1"/>
  <c r="G16" i="4"/>
  <c r="AK86" i="2"/>
  <c r="AL86" i="2" s="1"/>
  <c r="AM86" i="2" s="1"/>
  <c r="AJ87" i="2"/>
  <c r="AI88" i="2"/>
  <c r="AK87" i="2" l="1"/>
  <c r="AL87" i="2" s="1"/>
  <c r="AM87" i="2" s="1"/>
  <c r="AJ88" i="2"/>
  <c r="AI89" i="2"/>
  <c r="AK88" i="2" l="1"/>
  <c r="AL88" i="2" s="1"/>
  <c r="AM88" i="2" s="1"/>
  <c r="AJ89" i="2"/>
  <c r="AI90" i="2"/>
  <c r="AK89" i="2" l="1"/>
  <c r="AL89" i="2" s="1"/>
  <c r="AM89" i="2" s="1"/>
  <c r="AJ90" i="2"/>
  <c r="AI91" i="2"/>
  <c r="AK90" i="2" l="1"/>
  <c r="AL90" i="2" s="1"/>
  <c r="AM90" i="2" s="1"/>
  <c r="AJ91" i="2"/>
  <c r="AI92" i="2"/>
  <c r="AK91" i="2" l="1"/>
  <c r="AL91" i="2" s="1"/>
  <c r="AM91" i="2" s="1"/>
  <c r="AJ92" i="2"/>
  <c r="AI93" i="2"/>
  <c r="AK92" i="2" l="1"/>
  <c r="AL92" i="2" s="1"/>
  <c r="AM92" i="2" s="1"/>
  <c r="AI94" i="2"/>
  <c r="AJ93" i="2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I101" i="2" l="1"/>
  <c r="AJ100" i="2"/>
  <c r="AK99" i="2"/>
  <c r="AL99" i="2" s="1"/>
  <c r="AM99" i="2" s="1"/>
  <c r="AK100" i="2" l="1"/>
  <c r="AL100" i="2" s="1"/>
  <c r="AM100" i="2" s="1"/>
  <c r="AJ101" i="2"/>
  <c r="AI102" i="2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I113" i="2" l="1"/>
  <c r="AJ112" i="2"/>
  <c r="AK111" i="2"/>
  <c r="AL111" i="2" s="1"/>
  <c r="AM111" i="2" s="1"/>
  <c r="AK112" i="2" l="1"/>
  <c r="AL112" i="2" s="1"/>
  <c r="AM112" i="2" s="1"/>
  <c r="AJ113" i="2"/>
  <c r="AI114" i="2"/>
  <c r="AJ114" i="2" l="1"/>
  <c r="AI115" i="2"/>
  <c r="AK113" i="2"/>
  <c r="AL113" i="2" s="1"/>
  <c r="AM113" i="2" s="1"/>
  <c r="AI116" i="2" l="1"/>
  <c r="AJ115" i="2"/>
  <c r="AK114" i="2"/>
  <c r="AL114" i="2" s="1"/>
  <c r="AM114" i="2" s="1"/>
  <c r="AK115" i="2" l="1"/>
  <c r="AL115" i="2" s="1"/>
  <c r="AM115" i="2" s="1"/>
  <c r="AJ116" i="2"/>
  <c r="AI117" i="2"/>
  <c r="AJ117" i="2" l="1"/>
  <c r="AI118" i="2"/>
  <c r="AK116" i="2"/>
  <c r="AL116" i="2" s="1"/>
  <c r="AM116" i="2" s="1"/>
  <c r="AJ118" i="2" l="1"/>
  <c r="AI119" i="2"/>
  <c r="AK117" i="2"/>
  <c r="AL117" i="2" s="1"/>
  <c r="AM117" i="2" s="1"/>
  <c r="AI120" i="2" l="1"/>
  <c r="AJ119" i="2"/>
  <c r="AK118" i="2"/>
  <c r="AL118" i="2" s="1"/>
  <c r="AM118" i="2" s="1"/>
  <c r="AK119" i="2" l="1"/>
  <c r="AL119" i="2" s="1"/>
  <c r="AM119" i="2" s="1"/>
  <c r="AJ120" i="2"/>
  <c r="AI121" i="2"/>
  <c r="AJ121" i="2" l="1"/>
  <c r="AI122" i="2"/>
  <c r="AK120" i="2"/>
  <c r="AL120" i="2" s="1"/>
  <c r="AM120" i="2" s="1"/>
  <c r="AJ122" i="2" l="1"/>
  <c r="AI123" i="2"/>
  <c r="AK121" i="2"/>
  <c r="AL121" i="2" s="1"/>
  <c r="AM121" i="2" s="1"/>
  <c r="AI124" i="2" l="1"/>
  <c r="AJ123" i="2"/>
  <c r="AK122" i="2"/>
  <c r="AL122" i="2" s="1"/>
  <c r="AM122" i="2" s="1"/>
  <c r="AK123" i="2" l="1"/>
  <c r="AL123" i="2" s="1"/>
  <c r="AM123" i="2" s="1"/>
  <c r="AJ124" i="2"/>
  <c r="AI125" i="2"/>
  <c r="AK124" i="2" l="1"/>
  <c r="AL124" i="2" s="1"/>
  <c r="AM124" i="2" s="1"/>
  <c r="AI126" i="2"/>
  <c r="AJ125" i="2"/>
  <c r="AK125" i="2" l="1"/>
  <c r="AL125" i="2" s="1"/>
  <c r="AM125" i="2" s="1"/>
  <c r="AJ126" i="2"/>
  <c r="AI127" i="2"/>
  <c r="AK126" i="2" l="1"/>
  <c r="AL126" i="2" s="1"/>
  <c r="AM126" i="2" s="1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I134" i="2" l="1"/>
  <c r="AJ133" i="2"/>
  <c r="AK132" i="2"/>
  <c r="AL132" i="2" s="1"/>
  <c r="AM132" i="2" s="1"/>
  <c r="AK133" i="2" l="1"/>
  <c r="AL133" i="2" s="1"/>
  <c r="AM133" i="2" s="1"/>
  <c r="AJ134" i="2"/>
  <c r="AI135" i="2"/>
  <c r="AJ135" i="2" l="1"/>
  <c r="AI136" i="2"/>
  <c r="AK134" i="2"/>
  <c r="AL134" i="2" s="1"/>
  <c r="AM134" i="2" s="1"/>
  <c r="AJ136" i="2" l="1"/>
  <c r="AI137" i="2"/>
  <c r="AK135" i="2"/>
  <c r="AL135" i="2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I140" i="2" l="1"/>
  <c r="AJ139" i="2"/>
  <c r="AK138" i="2"/>
  <c r="AL138" i="2" s="1"/>
  <c r="AM138" i="2" s="1"/>
  <c r="AK139" i="2" l="1"/>
  <c r="AL139" i="2" s="1"/>
  <c r="AM139" i="2" s="1"/>
  <c r="AI141" i="2"/>
  <c r="AJ140" i="2"/>
  <c r="AK140" i="2" l="1"/>
  <c r="AL140" i="2" s="1"/>
  <c r="AM140" i="2" s="1"/>
  <c r="AJ141" i="2"/>
  <c r="AI142" i="2"/>
  <c r="AI143" i="2" l="1"/>
  <c r="AJ142" i="2"/>
  <c r="AK141" i="2"/>
  <c r="AL141" i="2" s="1"/>
  <c r="AM141" i="2" s="1"/>
  <c r="AK142" i="2" l="1"/>
  <c r="AL142" i="2" s="1"/>
  <c r="AM142" i="2" s="1"/>
  <c r="AJ143" i="2"/>
  <c r="AI144" i="2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I151" i="2" l="1"/>
  <c r="AJ150" i="2"/>
  <c r="AK149" i="2"/>
  <c r="AL149" i="2" s="1"/>
  <c r="AM149" i="2" s="1"/>
  <c r="AK150" i="2" l="1"/>
  <c r="AL150" i="2" s="1"/>
  <c r="AM150" i="2" s="1"/>
  <c r="AJ151" i="2"/>
  <c r="AI152" i="2"/>
  <c r="AK151" i="2" l="1"/>
  <c r="AL151" i="2" s="1"/>
  <c r="AM151" i="2" s="1"/>
  <c r="AJ152" i="2"/>
  <c r="AI153" i="2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I160" i="2" l="1"/>
  <c r="AJ159" i="2"/>
  <c r="AK158" i="2"/>
  <c r="AL158" i="2" s="1"/>
  <c r="AM158" i="2" s="1"/>
  <c r="AK159" i="2" l="1"/>
  <c r="AL159" i="2" s="1"/>
  <c r="AM159" i="2" s="1"/>
  <c r="AJ160" i="2"/>
  <c r="AI161" i="2"/>
  <c r="AI162" i="2" l="1"/>
  <c r="AJ161" i="2"/>
  <c r="AK160" i="2"/>
  <c r="AL160" i="2" s="1"/>
  <c r="AM160" i="2" s="1"/>
  <c r="AK161" i="2" l="1"/>
  <c r="AL161" i="2" s="1"/>
  <c r="AM161" i="2" s="1"/>
  <c r="AJ162" i="2"/>
  <c r="AI163" i="2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I167" i="2" l="1"/>
  <c r="AJ166" i="2"/>
  <c r="AK165" i="2"/>
  <c r="AL165" i="2" s="1"/>
  <c r="AM165" i="2" s="1"/>
  <c r="AK166" i="2" l="1"/>
  <c r="AL166" i="2" s="1"/>
  <c r="AM166" i="2" s="1"/>
  <c r="AI168" i="2"/>
  <c r="AJ167" i="2"/>
  <c r="AK167" i="2" l="1"/>
  <c r="AL167" i="2" s="1"/>
  <c r="AM167" i="2" s="1"/>
  <c r="AI169" i="2"/>
  <c r="AJ168" i="2"/>
  <c r="AK168" i="2" l="1"/>
  <c r="AL168" i="2" s="1"/>
  <c r="AM168" i="2" s="1"/>
  <c r="AJ169" i="2"/>
  <c r="AI170" i="2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I188" i="2" l="1"/>
  <c r="AJ187" i="2"/>
  <c r="AK186" i="2"/>
  <c r="AL186" i="2" s="1"/>
  <c r="AM186" i="2" s="1"/>
  <c r="AK187" i="2" l="1"/>
  <c r="AL187" i="2" s="1"/>
  <c r="AM187" i="2" s="1"/>
  <c r="AJ188" i="2"/>
  <c r="AI189" i="2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I193" i="2" l="1"/>
  <c r="AJ192" i="2"/>
  <c r="AK191" i="2"/>
  <c r="AL191" i="2" s="1"/>
  <c r="AM191" i="2" s="1"/>
  <c r="AK192" i="2" l="1"/>
  <c r="AL192" i="2" s="1"/>
  <c r="AM192" i="2" s="1"/>
  <c r="AJ193" i="2"/>
  <c r="AI194" i="2"/>
  <c r="AJ194" i="2" l="1"/>
  <c r="AI195" i="2"/>
  <c r="AK193" i="2"/>
  <c r="AL193" i="2" s="1"/>
  <c r="AM193" i="2" s="1"/>
  <c r="AJ195" i="2" l="1"/>
  <c r="AI196" i="2"/>
  <c r="AK194" i="2"/>
  <c r="AL194" i="2" s="1"/>
  <c r="AM194" i="2" s="1"/>
  <c r="AI197" i="2" l="1"/>
  <c r="AJ196" i="2"/>
  <c r="AK195" i="2"/>
  <c r="AL195" i="2" s="1"/>
  <c r="AM195" i="2" s="1"/>
  <c r="AK196" i="2" l="1"/>
  <c r="AL196" i="2" s="1"/>
  <c r="AM196" i="2" s="1"/>
  <c r="AJ197" i="2"/>
  <c r="AI198" i="2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I203" i="2" l="1"/>
  <c r="AJ203" i="2" s="1"/>
  <c r="AJ202" i="2"/>
  <c r="AK201" i="2"/>
  <c r="AL201" i="2" s="1"/>
  <c r="AM201" i="2" s="1"/>
  <c r="AK202" i="2" l="1"/>
  <c r="AL202" i="2" s="1"/>
  <c r="AM202" i="2" s="1"/>
  <c r="AK203" i="2"/>
  <c r="AL203" i="2" s="1"/>
  <c r="AM203" i="2" s="1"/>
</calcChain>
</file>

<file path=xl/sharedStrings.xml><?xml version="1.0" encoding="utf-8"?>
<sst xmlns="http://schemas.openxmlformats.org/spreadsheetml/2006/main" count="1187" uniqueCount="334">
  <si>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</si>
  <si>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</si>
  <si>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</si>
  <si>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</si>
  <si>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</si>
  <si>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</si>
  <si>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</si>
  <si>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</si>
  <si>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</si>
  <si>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</si>
  <si>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</si>
  <si>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</si>
  <si>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</si>
  <si>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</si>
  <si>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</si>
  <si>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</si>
  <si>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</si>
  <si>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</si>
  <si>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</si>
  <si>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</si>
  <si>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</si>
  <si>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</si>
  <si>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</si>
  <si>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</si>
  <si>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</si>
  <si>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</si>
  <si>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</si>
  <si>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</si>
  <si>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</si>
  <si>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</si>
  <si>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</si>
  <si>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</si>
  <si>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</si>
  <si>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</si>
  <si>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</si>
  <si>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</si>
  <si>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</si>
  <si>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</si>
  <si>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</si>
  <si>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</si>
  <si>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</si>
  <si>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</si>
  <si>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</si>
  <si>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</si>
  <si>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</si>
  <si>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</si>
  <si>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</si>
  <si>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</si>
  <si>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</si>
  <si>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</si>
  <si>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</si>
  <si>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</si>
  <si>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</si>
  <si>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</si>
  <si>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</si>
  <si>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</si>
  <si>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</si>
  <si>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</si>
  <si>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</si>
  <si>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</si>
  <si>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</si>
  <si>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</si>
  <si>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</si>
  <si>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</si>
  <si>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</si>
  <si>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</si>
  <si>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</si>
  <si>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</si>
  <si>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</si>
  <si>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</si>
  <si>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</si>
  <si>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</si>
  <si>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</si>
  <si>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</si>
  <si>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</si>
  <si>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</si>
  <si>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</si>
  <si>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</si>
  <si>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</si>
  <si>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</si>
  <si>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</si>
  <si>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</si>
  <si>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</si>
  <si>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</si>
  <si>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</si>
  <si>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</si>
  <si>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</si>
  <si>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</si>
  <si>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</si>
  <si>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</si>
  <si>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</si>
  <si>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</si>
  <si>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</si>
  <si>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</si>
  <si>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</si>
  <si>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</si>
  <si>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</si>
  <si>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</si>
  <si>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</si>
  <si>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</si>
  <si>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</si>
  <si>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</si>
  <si>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</si>
  <si>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</si>
  <si>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</si>
  <si>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</si>
  <si>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</si>
  <si>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</si>
  <si>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</si>
  <si>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</si>
  <si>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</si>
  <si>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</si>
  <si>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</si>
  <si>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</si>
  <si>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</si>
  <si>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</si>
  <si>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</si>
  <si>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</si>
  <si>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</si>
  <si>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</si>
  <si>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</si>
  <si>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</si>
  <si>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</si>
  <si>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</si>
  <si>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</si>
  <si>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</si>
  <si>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</si>
  <si>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</si>
  <si>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</si>
  <si>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</si>
  <si>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</si>
  <si>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</si>
  <si>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</si>
  <si>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</si>
  <si>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</si>
  <si>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</si>
  <si>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</si>
  <si>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</si>
  <si>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</si>
  <si>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</si>
  <si>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</si>
  <si>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</si>
  <si>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</si>
  <si>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</si>
  <si>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</si>
  <si>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</si>
  <si>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</si>
  <si>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</si>
  <si>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</si>
  <si>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</si>
  <si>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</si>
  <si>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</si>
  <si>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</si>
  <si>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</si>
  <si>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</si>
  <si>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</si>
  <si>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</si>
  <si>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</si>
  <si>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</si>
  <si>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</si>
  <si>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</si>
  <si>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</si>
  <si>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</si>
  <si>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</si>
  <si>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</si>
  <si>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</si>
  <si>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</si>
  <si>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</si>
  <si>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</si>
  <si>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</si>
  <si>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</si>
  <si>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</si>
  <si>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</si>
  <si>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</si>
  <si>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</si>
  <si>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</si>
  <si>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</si>
  <si>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</si>
  <si>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</si>
  <si>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</si>
  <si>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</si>
  <si>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</si>
  <si>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</si>
  <si>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</si>
  <si>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</si>
  <si>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</si>
  <si>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</si>
  <si>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</si>
  <si>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</si>
  <si>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</si>
  <si>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</si>
  <si>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</si>
  <si>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</si>
  <si>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</si>
  <si>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</si>
  <si>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</si>
  <si>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</si>
  <si>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</si>
  <si>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</si>
  <si>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</si>
  <si>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</si>
  <si>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</si>
  <si>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</si>
  <si>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</si>
  <si>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</si>
  <si>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</si>
  <si>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</si>
  <si>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</si>
  <si>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</si>
  <si>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</si>
  <si>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</si>
  <si>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</si>
  <si>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</si>
  <si>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</si>
  <si>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</si>
  <si>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</si>
  <si>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</si>
  <si>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</si>
  <si>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</si>
  <si>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</si>
  <si>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</si>
  <si>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</si>
  <si>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</si>
  <si>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</si>
  <si>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</si>
  <si>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</si>
  <si>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</si>
  <si>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</si>
  <si>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</si>
  <si>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</si>
  <si>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</si>
  <si>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</si>
  <si>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</si>
  <si>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</si>
  <si>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</si>
  <si>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</si>
  <si>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</si>
  <si>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</si>
  <si>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</si>
  <si>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</si>
  <si>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</si>
  <si>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</si>
  <si>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</si>
  <si>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</si>
  <si>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</si>
  <si>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</si>
  <si>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</si>
  <si>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</si>
  <si>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</si>
  <si>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</si>
  <si>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</si>
  <si>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</si>
  <si>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</si>
  <si>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</si>
  <si>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</si>
  <si>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</si>
  <si>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</si>
  <si>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</si>
  <si>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</si>
  <si>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</si>
  <si>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</si>
  <si>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</si>
  <si>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</si>
  <si>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</si>
  <si>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</si>
  <si>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</si>
  <si>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</si>
  <si>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</si>
  <si>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</si>
  <si>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</si>
  <si>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</si>
  <si>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</si>
  <si>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</si>
  <si>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</si>
  <si>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</si>
  <si>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</si>
  <si>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</si>
  <si>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</si>
  <si>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</si>
  <si>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</si>
  <si>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</si>
  <si>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</si>
  <si>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</si>
  <si>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</si>
  <si>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</si>
  <si>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</si>
  <si>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</si>
  <si>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</si>
  <si>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</si>
  <si>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</si>
  <si>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</si>
  <si>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</si>
  <si>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</si>
  <si>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</si>
  <si>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</si>
  <si>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</si>
  <si>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</si>
  <si>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</si>
  <si>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</si>
  <si>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</si>
  <si>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</si>
  <si>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</si>
  <si>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</si>
  <si>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</si>
  <si>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</si>
  <si>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</si>
  <si>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</si>
  <si>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</si>
  <si>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</si>
  <si>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</si>
  <si>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</si>
  <si>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</si>
  <si>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</si>
  <si>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</si>
  <si>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</si>
  <si>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</si>
  <si>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</si>
  <si>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</si>
  <si>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</si>
  <si>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</si>
  <si>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</si>
  <si>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</si>
  <si>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</si>
  <si>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</si>
  <si>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</si>
  <si>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F2</t>
  </si>
  <si>
    <t>F3</t>
  </si>
  <si>
    <t>ARBOUSIER</t>
  </si>
  <si>
    <t>OAK Forestry commission - Hamilton and Christies (1974) - Yield class 6</t>
  </si>
  <si>
    <t>Forestry Commission - Hamilton&amp;Christies - sycamore, ash, birch</t>
  </si>
  <si>
    <t>fcbainfo-2018-10-eucalyptus-france-production-plantation-rotation-melun</t>
  </si>
  <si>
    <t>SCOTS PINE Forestry commission - Hamilton and Christies (1974) - Yield class 14</t>
  </si>
  <si>
    <t>Société Forestière - itinéraire Pin maritime à 35 ans</t>
  </si>
  <si>
    <t>F3/5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</si>
</sst>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2.1627415587734125</c:v>
                </c:pt>
                <c:pt idx="2">
                  <c:v>3.0166421713591665</c:v>
                </c:pt>
                <c:pt idx="3">
                  <c:v>4.2091406699552865</c:v>
                </c:pt>
                <c:pt idx="4">
                  <c:v>5.8750454689237328</c:v>
                </c:pt>
                <c:pt idx="5">
                  <c:v>8.2030392606458431</c:v>
                </c:pt>
                <c:pt idx="6">
                  <c:v>11.457283848989711</c:v>
                </c:pt>
                <c:pt idx="7">
                  <c:v>16.007716566629046</c:v>
                </c:pt>
                <c:pt idx="8">
                  <c:v>22.372545000666481</c:v>
                </c:pt>
                <c:pt idx="9">
                  <c:v>31.277865285135846</c:v>
                </c:pt>
                <c:pt idx="10">
                  <c:v>43.741322928139361</c:v>
                </c:pt>
                <c:pt idx="11">
                  <c:v>61.189537734967594</c:v>
                </c:pt>
                <c:pt idx="12">
                  <c:v>85.622954717223408</c:v>
                </c:pt>
                <c:pt idx="13">
                  <c:v>119.84732372985827</c:v>
                </c:pt>
                <c:pt idx="14">
                  <c:v>167.79880331835713</c:v>
                </c:pt>
                <c:pt idx="15">
                  <c:v>146.99966348541213</c:v>
                </c:pt>
                <c:pt idx="16">
                  <c:v>172.98874990477893</c:v>
                </c:pt>
                <c:pt idx="17">
                  <c:v>198.88589463565651</c:v>
                </c:pt>
                <c:pt idx="18">
                  <c:v>224.7047649504525</c:v>
                </c:pt>
                <c:pt idx="19">
                  <c:v>250.45562182479364</c:v>
                </c:pt>
                <c:pt idx="20">
                  <c:v>276.14644026006221</c:v>
                </c:pt>
                <c:pt idx="21">
                  <c:v>221.18040018597591</c:v>
                </c:pt>
                <c:pt idx="22">
                  <c:v>242.13642655331114</c:v>
                </c:pt>
                <c:pt idx="23">
                  <c:v>263.05119776940063</c:v>
                </c:pt>
                <c:pt idx="24">
                  <c:v>283.92845447085858</c:v>
                </c:pt>
                <c:pt idx="25">
                  <c:v>304.77134209468687</c:v>
                </c:pt>
                <c:pt idx="26">
                  <c:v>325.58254068156361</c:v>
                </c:pt>
                <c:pt idx="27">
                  <c:v>346.36435970971957</c:v>
                </c:pt>
                <c:pt idx="28">
                  <c:v>367.11880895609448</c:v>
                </c:pt>
                <c:pt idx="29">
                  <c:v>387.84765248483501</c:v>
                </c:pt>
                <c:pt idx="30">
                  <c:v>408.55245048579872</c:v>
                </c:pt>
                <c:pt idx="31">
                  <c:v>429.23459218682746</c:v>
                </c:pt>
                <c:pt idx="32">
                  <c:v>449.89532209105636</c:v>
                </c:pt>
                <c:pt idx="33">
                  <c:v>470.53576114342724</c:v>
                </c:pt>
                <c:pt idx="34">
                  <c:v>491.15692399023789</c:v>
                </c:pt>
                <c:pt idx="35">
                  <c:v>511.75973318985467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1.9596131321389336</c:v>
                </c:pt>
                <c:pt idx="2">
                  <c:v>2.4761582486212546</c:v>
                </c:pt>
                <c:pt idx="3">
                  <c:v>3.1294035266218221</c:v>
                </c:pt>
                <c:pt idx="4">
                  <c:v>3.9556609928452722</c:v>
                </c:pt>
                <c:pt idx="5">
                  <c:v>5.0009220022635965</c:v>
                </c:pt>
                <c:pt idx="6">
                  <c:v>6.3234457079258766</c:v>
                </c:pt>
                <c:pt idx="7">
                  <c:v>7.9970418091847293</c:v>
                </c:pt>
                <c:pt idx="8">
                  <c:v>10.115234305738676</c:v>
                </c:pt>
                <c:pt idx="9">
                  <c:v>12.796543330391197</c:v>
                </c:pt>
                <c:pt idx="10">
                  <c:v>16.191186083676552</c:v>
                </c:pt>
                <c:pt idx="11">
                  <c:v>20.489579132350134</c:v>
                </c:pt>
                <c:pt idx="12">
                  <c:v>25.93312754435949</c:v>
                </c:pt>
                <c:pt idx="13">
                  <c:v>32.827917469327751</c:v>
                </c:pt>
                <c:pt idx="14">
                  <c:v>41.562095406088915</c:v>
                </c:pt>
                <c:pt idx="15">
                  <c:v>52.627929153415074</c:v>
                </c:pt>
                <c:pt idx="16">
                  <c:v>66.649814557548993</c:v>
                </c:pt>
                <c:pt idx="17">
                  <c:v>84.419834217390857</c:v>
                </c:pt>
                <c:pt idx="18">
                  <c:v>106.94290908327946</c:v>
                </c:pt>
                <c:pt idx="19">
                  <c:v>135.49413656926941</c:v>
                </c:pt>
                <c:pt idx="20">
                  <c:v>171.69161142115624</c:v>
                </c:pt>
                <c:pt idx="21">
                  <c:v>145.43701528884739</c:v>
                </c:pt>
                <c:pt idx="22">
                  <c:v>167.27960236724707</c:v>
                </c:pt>
                <c:pt idx="23">
                  <c:v>189.05485078557072</c:v>
                </c:pt>
                <c:pt idx="24">
                  <c:v>210.77161283489207</c:v>
                </c:pt>
                <c:pt idx="25">
                  <c:v>232.43676367300134</c:v>
                </c:pt>
                <c:pt idx="26">
                  <c:v>254.05579033045311</c:v>
                </c:pt>
                <c:pt idx="27">
                  <c:v>275.63316891288991</c:v>
                </c:pt>
                <c:pt idx="28">
                  <c:v>297.17261714760798</c:v>
                </c:pt>
                <c:pt idx="29">
                  <c:v>318.67726971308429</c:v>
                </c:pt>
                <c:pt idx="30">
                  <c:v>340.14980368770728</c:v>
                </c:pt>
                <c:pt idx="31">
                  <c:v>238.48938208965981</c:v>
                </c:pt>
                <c:pt idx="32">
                  <c:v>262.53736401160751</c:v>
                </c:pt>
                <c:pt idx="33">
                  <c:v>286.53563599130109</c:v>
                </c:pt>
                <c:pt idx="34">
                  <c:v>310.48894477848006</c:v>
                </c:pt>
                <c:pt idx="35">
                  <c:v>334.40124478994881</c:v>
                </c:pt>
                <c:pt idx="36">
                  <c:v>358.27587877250039</c:v>
                </c:pt>
                <c:pt idx="37">
                  <c:v>382.1157077266439</c:v>
                </c:pt>
                <c:pt idx="38">
                  <c:v>405.92320668233702</c:v>
                </c:pt>
                <c:pt idx="39">
                  <c:v>429.70053681859048</c:v>
                </c:pt>
                <c:pt idx="40">
                  <c:v>453.44960078165491</c:v>
                </c:pt>
                <c:pt idx="41">
                  <c:v>352.15105779017023</c:v>
                </c:pt>
                <c:pt idx="42">
                  <c:v>375.61724038320608</c:v>
                </c:pt>
                <c:pt idx="43">
                  <c:v>399.05150203854504</c:v>
                </c:pt>
                <c:pt idx="44">
                  <c:v>422.45597938275068</c:v>
                </c:pt>
                <c:pt idx="45">
                  <c:v>445.83255313087449</c:v>
                </c:pt>
                <c:pt idx="46">
                  <c:v>469.18289082248174</c:v>
                </c:pt>
                <c:pt idx="47">
                  <c:v>492.50848060673161</c:v>
                </c:pt>
                <c:pt idx="48">
                  <c:v>515.81065829469151</c:v>
                </c:pt>
                <c:pt idx="49">
                  <c:v>539.09062927007483</c:v>
                </c:pt>
                <c:pt idx="50">
                  <c:v>562.34948641975632</c:v>
                </c:pt>
                <c:pt idx="51">
                  <c:v>459.41437524921321</c:v>
                </c:pt>
                <c:pt idx="52">
                  <c:v>480.59515258650191</c:v>
                </c:pt>
                <c:pt idx="53">
                  <c:v>501.75609814989951</c:v>
                </c:pt>
                <c:pt idx="54">
                  <c:v>522.89816530562575</c:v>
                </c:pt>
                <c:pt idx="55">
                  <c:v>544.02222410117713</c:v>
                </c:pt>
                <c:pt idx="56">
                  <c:v>565.12907156479503</c:v>
                </c:pt>
                <c:pt idx="57">
                  <c:v>586.21944038701417</c:v>
                </c:pt>
                <c:pt idx="58">
                  <c:v>607.2940062886438</c:v>
                </c:pt>
                <c:pt idx="59">
                  <c:v>628.35339431349905</c:v>
                </c:pt>
                <c:pt idx="60">
                  <c:v>649.3981842342821</c:v>
                </c:pt>
                <c:pt idx="61">
                  <c:v>553.88260821686379</c:v>
                </c:pt>
                <c:pt idx="62">
                  <c:v>571.95048081503955</c:v>
                </c:pt>
                <c:pt idx="63">
                  <c:v>590.00643624171732</c:v>
                </c:pt>
                <c:pt idx="64">
                  <c:v>608.05089027436441</c:v>
                </c:pt>
                <c:pt idx="65">
                  <c:v>626.08423202034237</c:v>
                </c:pt>
                <c:pt idx="66">
                  <c:v>644.10682636222634</c:v>
                </c:pt>
                <c:pt idx="67">
                  <c:v>662.1190161154027</c:v>
                </c:pt>
                <c:pt idx="68">
                  <c:v>680.12112393885764</c:v>
                </c:pt>
                <c:pt idx="69">
                  <c:v>698.11345403330404</c:v>
                </c:pt>
                <c:pt idx="70">
                  <c:v>716.09629365529281</c:v>
                </c:pt>
                <c:pt idx="71">
                  <c:v>635.28589815827092</c:v>
                </c:pt>
                <c:pt idx="72">
                  <c:v>650.15401973277187</c:v>
                </c:pt>
                <c:pt idx="73">
                  <c:v>665.01513225276028</c:v>
                </c:pt>
                <c:pt idx="74">
                  <c:v>679.86941431516527</c:v>
                </c:pt>
                <c:pt idx="75">
                  <c:v>694.71703608163625</c:v>
                </c:pt>
                <c:pt idx="76">
                  <c:v>709.55815985243373</c:v>
                </c:pt>
                <c:pt idx="77">
                  <c:v>724.39294058984115</c:v>
                </c:pt>
                <c:pt idx="78">
                  <c:v>739.22152639650801</c:v>
                </c:pt>
                <c:pt idx="79">
                  <c:v>754.04405895344462</c:v>
                </c:pt>
                <c:pt idx="80">
                  <c:v>768.86067392181837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3.7111815335241118</c:v>
                </c:pt>
                <c:pt idx="2">
                  <c:v>6.1705433940801901</c:v>
                </c:pt>
                <c:pt idx="3">
                  <c:v>10.267690012136926</c:v>
                </c:pt>
                <c:pt idx="4">
                  <c:v>17.098242764063244</c:v>
                </c:pt>
                <c:pt idx="5">
                  <c:v>28.493815538636991</c:v>
                </c:pt>
                <c:pt idx="6">
                  <c:v>47.518303779264976</c:v>
                </c:pt>
                <c:pt idx="7">
                  <c:v>79.299977991968944</c:v>
                </c:pt>
                <c:pt idx="8">
                  <c:v>132.42729872772648</c:v>
                </c:pt>
                <c:pt idx="9">
                  <c:v>221.2914878324151</c:v>
                </c:pt>
                <c:pt idx="10">
                  <c:v>370.01983804377869</c:v>
                </c:pt>
                <c:pt idx="11">
                  <c:v>94.243553745294392</c:v>
                </c:pt>
                <c:pt idx="12">
                  <c:v>149.09615963333522</c:v>
                </c:pt>
                <c:pt idx="13">
                  <c:v>203.45783545821362</c:v>
                </c:pt>
                <c:pt idx="14">
                  <c:v>257.48046784349407</c:v>
                </c:pt>
                <c:pt idx="15">
                  <c:v>311.24567377041313</c:v>
                </c:pt>
                <c:pt idx="16">
                  <c:v>364.80427894845383</c:v>
                </c:pt>
                <c:pt idx="17">
                  <c:v>418.19088688764913</c:v>
                </c:pt>
                <c:pt idx="18">
                  <c:v>471.43052167999741</c:v>
                </c:pt>
                <c:pt idx="19">
                  <c:v>524.54208845721462</c:v>
                </c:pt>
                <c:pt idx="20">
                  <c:v>577.54035171190242</c:v>
                </c:pt>
                <c:pt idx="21">
                  <c:v>125.47050294452214</c:v>
                </c:pt>
                <c:pt idx="22">
                  <c:v>188.15439824972199</c:v>
                </c:pt>
                <c:pt idx="23">
                  <c:v>250.34379664975123</c:v>
                </c:pt>
                <c:pt idx="24">
                  <c:v>312.18040027213061</c:v>
                </c:pt>
                <c:pt idx="25">
                  <c:v>373.74425409046006</c:v>
                </c:pt>
                <c:pt idx="26">
                  <c:v>435.08666090841831</c:v>
                </c:pt>
                <c:pt idx="27">
                  <c:v>496.24321660917212</c:v>
                </c:pt>
                <c:pt idx="28">
                  <c:v>557.2400117147123</c:v>
                </c:pt>
                <c:pt idx="29">
                  <c:v>618.09695674761747</c:v>
                </c:pt>
                <c:pt idx="30">
                  <c:v>678.82972385079347</c:v>
                </c:pt>
                <c:pt idx="31">
                  <c:v>71.671728804778567</c:v>
                </c:pt>
                <c:pt idx="32">
                  <c:v>71.671728804778567</c:v>
                </c:pt>
                <c:pt idx="33">
                  <c:v>71.671728804778567</c:v>
                </c:pt>
                <c:pt idx="34">
                  <c:v>71.671728804778567</c:v>
                </c:pt>
                <c:pt idx="35">
                  <c:v>71.671728804778567</c:v>
                </c:pt>
                <c:pt idx="36">
                  <c:v>71.671728804778567</c:v>
                </c:pt>
                <c:pt idx="37">
                  <c:v>71.671728804778567</c:v>
                </c:pt>
                <c:pt idx="38">
                  <c:v>71.671728804778567</c:v>
                </c:pt>
                <c:pt idx="39">
                  <c:v>71.671728804778567</c:v>
                </c:pt>
                <c:pt idx="40">
                  <c:v>71.671728804778567</c:v>
                </c:pt>
                <c:pt idx="41">
                  <c:v>71.671728804778567</c:v>
                </c:pt>
                <c:pt idx="42">
                  <c:v>71.671728804778567</c:v>
                </c:pt>
                <c:pt idx="43">
                  <c:v>71.671728804778567</c:v>
                </c:pt>
                <c:pt idx="44">
                  <c:v>71.671728804778567</c:v>
                </c:pt>
                <c:pt idx="45">
                  <c:v>71.671728804778567</c:v>
                </c:pt>
                <c:pt idx="46">
                  <c:v>71.671728804778567</c:v>
                </c:pt>
                <c:pt idx="47">
                  <c:v>71.671728804778567</c:v>
                </c:pt>
                <c:pt idx="48">
                  <c:v>71.671728804778567</c:v>
                </c:pt>
                <c:pt idx="49">
                  <c:v>71.671728804778567</c:v>
                </c:pt>
                <c:pt idx="50">
                  <c:v>71.671728804778567</c:v>
                </c:pt>
                <c:pt idx="51">
                  <c:v>71.671728804778567</c:v>
                </c:pt>
                <c:pt idx="52">
                  <c:v>71.671728804778567</c:v>
                </c:pt>
                <c:pt idx="53">
                  <c:v>71.671728804778567</c:v>
                </c:pt>
                <c:pt idx="54">
                  <c:v>71.671728804778567</c:v>
                </c:pt>
                <c:pt idx="55">
                  <c:v>71.671728804778567</c:v>
                </c:pt>
                <c:pt idx="56">
                  <c:v>71.671728804778567</c:v>
                </c:pt>
                <c:pt idx="57">
                  <c:v>71.671728804778567</c:v>
                </c:pt>
                <c:pt idx="58">
                  <c:v>71.671728804778567</c:v>
                </c:pt>
                <c:pt idx="59">
                  <c:v>71.671728804778567</c:v>
                </c:pt>
                <c:pt idx="60">
                  <c:v>71.671728804778567</c:v>
                </c:pt>
                <c:pt idx="61">
                  <c:v>71.671728804778567</c:v>
                </c:pt>
                <c:pt idx="62">
                  <c:v>71.671728804778567</c:v>
                </c:pt>
                <c:pt idx="63">
                  <c:v>71.671728804778567</c:v>
                </c:pt>
                <c:pt idx="64">
                  <c:v>71.671728804778567</c:v>
                </c:pt>
                <c:pt idx="65">
                  <c:v>71.671728804778567</c:v>
                </c:pt>
                <c:pt idx="66">
                  <c:v>71.671728804778567</c:v>
                </c:pt>
                <c:pt idx="67">
                  <c:v>71.671728804778567</c:v>
                </c:pt>
                <c:pt idx="68">
                  <c:v>71.671728804778567</c:v>
                </c:pt>
                <c:pt idx="69">
                  <c:v>71.671728804778567</c:v>
                </c:pt>
                <c:pt idx="70">
                  <c:v>71.671728804778567</c:v>
                </c:pt>
                <c:pt idx="71">
                  <c:v>71.671728804778567</c:v>
                </c:pt>
                <c:pt idx="72">
                  <c:v>71.671728804778567</c:v>
                </c:pt>
                <c:pt idx="73">
                  <c:v>71.671728804778567</c:v>
                </c:pt>
                <c:pt idx="74">
                  <c:v>71.671728804778567</c:v>
                </c:pt>
                <c:pt idx="75">
                  <c:v>71.671728804778567</c:v>
                </c:pt>
                <c:pt idx="76">
                  <c:v>71.671728804778567</c:v>
                </c:pt>
                <c:pt idx="77">
                  <c:v>71.671728804778567</c:v>
                </c:pt>
                <c:pt idx="78">
                  <c:v>71.671728804778567</c:v>
                </c:pt>
                <c:pt idx="79">
                  <c:v>71.671728804778567</c:v>
                </c:pt>
                <c:pt idx="80">
                  <c:v>71.671728804778567</c:v>
                </c:pt>
                <c:pt idx="81">
                  <c:v>71.671728804778567</c:v>
                </c:pt>
                <c:pt idx="82">
                  <c:v>71.671728804778567</c:v>
                </c:pt>
                <c:pt idx="83">
                  <c:v>71.671728804778567</c:v>
                </c:pt>
                <c:pt idx="84">
                  <c:v>71.671728804778567</c:v>
                </c:pt>
                <c:pt idx="85">
                  <c:v>71.671728804778567</c:v>
                </c:pt>
                <c:pt idx="86">
                  <c:v>71.671728804778567</c:v>
                </c:pt>
                <c:pt idx="87">
                  <c:v>71.671728804778567</c:v>
                </c:pt>
                <c:pt idx="88">
                  <c:v>71.671728804778567</c:v>
                </c:pt>
                <c:pt idx="89">
                  <c:v>71.671728804778567</c:v>
                </c:pt>
                <c:pt idx="90">
                  <c:v>71.671728804778567</c:v>
                </c:pt>
                <c:pt idx="91">
                  <c:v>71.671728804778567</c:v>
                </c:pt>
                <c:pt idx="92">
                  <c:v>71.671728804778567</c:v>
                </c:pt>
                <c:pt idx="93">
                  <c:v>71.671728804778567</c:v>
                </c:pt>
                <c:pt idx="94">
                  <c:v>71.671728804778567</c:v>
                </c:pt>
                <c:pt idx="95">
                  <c:v>71.671728804778567</c:v>
                </c:pt>
                <c:pt idx="96">
                  <c:v>71.671728804778567</c:v>
                </c:pt>
                <c:pt idx="97">
                  <c:v>71.671728804778567</c:v>
                </c:pt>
                <c:pt idx="98">
                  <c:v>71.671728804778567</c:v>
                </c:pt>
                <c:pt idx="99">
                  <c:v>71.671728804778567</c:v>
                </c:pt>
                <c:pt idx="100">
                  <c:v>71.671728804778567</c:v>
                </c:pt>
                <c:pt idx="101">
                  <c:v>71.671728804778567</c:v>
                </c:pt>
                <c:pt idx="102">
                  <c:v>71.671728804778567</c:v>
                </c:pt>
                <c:pt idx="103">
                  <c:v>71.671728804778567</c:v>
                </c:pt>
                <c:pt idx="104">
                  <c:v>71.671728804778567</c:v>
                </c:pt>
                <c:pt idx="105">
                  <c:v>71.671728804778567</c:v>
                </c:pt>
                <c:pt idx="106">
                  <c:v>71.671728804778567</c:v>
                </c:pt>
                <c:pt idx="107">
                  <c:v>71.671728804778567</c:v>
                </c:pt>
                <c:pt idx="108">
                  <c:v>71.671728804778567</c:v>
                </c:pt>
                <c:pt idx="109">
                  <c:v>71.671728804778567</c:v>
                </c:pt>
                <c:pt idx="110">
                  <c:v>71.671728804778567</c:v>
                </c:pt>
                <c:pt idx="111">
                  <c:v>71.671728804778567</c:v>
                </c:pt>
                <c:pt idx="112">
                  <c:v>71.671728804778567</c:v>
                </c:pt>
                <c:pt idx="113">
                  <c:v>71.671728804778567</c:v>
                </c:pt>
                <c:pt idx="114">
                  <c:v>71.671728804778567</c:v>
                </c:pt>
                <c:pt idx="115">
                  <c:v>71.671728804778567</c:v>
                </c:pt>
                <c:pt idx="116">
                  <c:v>71.671728804778567</c:v>
                </c:pt>
                <c:pt idx="117">
                  <c:v>71.671728804778567</c:v>
                </c:pt>
                <c:pt idx="118">
                  <c:v>71.671728804778567</c:v>
                </c:pt>
                <c:pt idx="119">
                  <c:v>71.671728804778567</c:v>
                </c:pt>
                <c:pt idx="120">
                  <c:v>71.671728804778567</c:v>
                </c:pt>
                <c:pt idx="121">
                  <c:v>71.671728804778567</c:v>
                </c:pt>
                <c:pt idx="122">
                  <c:v>71.671728804778567</c:v>
                </c:pt>
                <c:pt idx="123">
                  <c:v>71.671728804778567</c:v>
                </c:pt>
                <c:pt idx="124">
                  <c:v>71.671728804778567</c:v>
                </c:pt>
                <c:pt idx="125">
                  <c:v>71.671728804778567</c:v>
                </c:pt>
                <c:pt idx="126">
                  <c:v>71.671728804778567</c:v>
                </c:pt>
                <c:pt idx="127">
                  <c:v>71.671728804778567</c:v>
                </c:pt>
                <c:pt idx="128">
                  <c:v>71.671728804778567</c:v>
                </c:pt>
                <c:pt idx="129">
                  <c:v>71.671728804778567</c:v>
                </c:pt>
                <c:pt idx="130">
                  <c:v>71.671728804778567</c:v>
                </c:pt>
                <c:pt idx="131">
                  <c:v>71.671728804778567</c:v>
                </c:pt>
                <c:pt idx="132">
                  <c:v>71.671728804778567</c:v>
                </c:pt>
                <c:pt idx="133">
                  <c:v>71.671728804778567</c:v>
                </c:pt>
                <c:pt idx="134">
                  <c:v>71.671728804778567</c:v>
                </c:pt>
                <c:pt idx="135">
                  <c:v>71.671728804778567</c:v>
                </c:pt>
                <c:pt idx="136">
                  <c:v>71.671728804778567</c:v>
                </c:pt>
                <c:pt idx="137">
                  <c:v>71.671728804778567</c:v>
                </c:pt>
                <c:pt idx="138">
                  <c:v>71.671728804778567</c:v>
                </c:pt>
                <c:pt idx="139">
                  <c:v>71.671728804778567</c:v>
                </c:pt>
                <c:pt idx="140">
                  <c:v>71.671728804778567</c:v>
                </c:pt>
                <c:pt idx="141">
                  <c:v>71.671728804778567</c:v>
                </c:pt>
                <c:pt idx="142">
                  <c:v>71.671728804778567</c:v>
                </c:pt>
                <c:pt idx="143">
                  <c:v>71.671728804778567</c:v>
                </c:pt>
                <c:pt idx="144">
                  <c:v>71.671728804778567</c:v>
                </c:pt>
                <c:pt idx="145">
                  <c:v>71.671728804778567</c:v>
                </c:pt>
                <c:pt idx="146">
                  <c:v>71.671728804778567</c:v>
                </c:pt>
                <c:pt idx="147">
                  <c:v>71.671728804778567</c:v>
                </c:pt>
                <c:pt idx="148">
                  <c:v>71.671728804778567</c:v>
                </c:pt>
                <c:pt idx="149">
                  <c:v>71.671728804778567</c:v>
                </c:pt>
                <c:pt idx="150">
                  <c:v>71.671728804778567</c:v>
                </c:pt>
                <c:pt idx="151">
                  <c:v>71.671728804778567</c:v>
                </c:pt>
                <c:pt idx="152">
                  <c:v>71.671728804778567</c:v>
                </c:pt>
                <c:pt idx="153">
                  <c:v>71.671728804778567</c:v>
                </c:pt>
                <c:pt idx="154">
                  <c:v>71.671728804778567</c:v>
                </c:pt>
                <c:pt idx="155">
                  <c:v>71.671728804778567</c:v>
                </c:pt>
                <c:pt idx="156">
                  <c:v>71.671728804778567</c:v>
                </c:pt>
                <c:pt idx="157">
                  <c:v>71.671728804778567</c:v>
                </c:pt>
                <c:pt idx="158">
                  <c:v>71.671728804778567</c:v>
                </c:pt>
                <c:pt idx="159">
                  <c:v>71.671728804778567</c:v>
                </c:pt>
                <c:pt idx="160">
                  <c:v>71.671728804778567</c:v>
                </c:pt>
                <c:pt idx="161">
                  <c:v>71.671728804778567</c:v>
                </c:pt>
                <c:pt idx="162">
                  <c:v>71.671728804778567</c:v>
                </c:pt>
                <c:pt idx="163">
                  <c:v>71.671728804778567</c:v>
                </c:pt>
                <c:pt idx="164">
                  <c:v>71.671728804778567</c:v>
                </c:pt>
                <c:pt idx="165">
                  <c:v>71.671728804778567</c:v>
                </c:pt>
                <c:pt idx="166">
                  <c:v>71.671728804778567</c:v>
                </c:pt>
                <c:pt idx="167">
                  <c:v>71.671728804778567</c:v>
                </c:pt>
                <c:pt idx="168">
                  <c:v>71.671728804778567</c:v>
                </c:pt>
                <c:pt idx="169">
                  <c:v>71.671728804778567</c:v>
                </c:pt>
                <c:pt idx="170">
                  <c:v>71.671728804778567</c:v>
                </c:pt>
                <c:pt idx="171">
                  <c:v>71.671728804778567</c:v>
                </c:pt>
                <c:pt idx="172">
                  <c:v>71.671728804778567</c:v>
                </c:pt>
                <c:pt idx="173">
                  <c:v>71.671728804778567</c:v>
                </c:pt>
                <c:pt idx="174">
                  <c:v>71.671728804778567</c:v>
                </c:pt>
                <c:pt idx="175">
                  <c:v>71.671728804778567</c:v>
                </c:pt>
                <c:pt idx="176">
                  <c:v>71.671728804778567</c:v>
                </c:pt>
                <c:pt idx="177">
                  <c:v>71.671728804778567</c:v>
                </c:pt>
                <c:pt idx="178">
                  <c:v>71.671728804778567</c:v>
                </c:pt>
                <c:pt idx="179">
                  <c:v>71.671728804778567</c:v>
                </c:pt>
                <c:pt idx="180">
                  <c:v>71.671728804778567</c:v>
                </c:pt>
                <c:pt idx="181">
                  <c:v>71.671728804778567</c:v>
                </c:pt>
                <c:pt idx="182">
                  <c:v>71.671728804778567</c:v>
                </c:pt>
                <c:pt idx="183">
                  <c:v>71.671728804778567</c:v>
                </c:pt>
                <c:pt idx="184">
                  <c:v>71.671728804778567</c:v>
                </c:pt>
                <c:pt idx="185">
                  <c:v>71.671728804778567</c:v>
                </c:pt>
                <c:pt idx="186">
                  <c:v>71.671728804778567</c:v>
                </c:pt>
                <c:pt idx="187">
                  <c:v>71.671728804778567</c:v>
                </c:pt>
                <c:pt idx="188">
                  <c:v>71.671728804778567</c:v>
                </c:pt>
                <c:pt idx="189">
                  <c:v>71.671728804778567</c:v>
                </c:pt>
                <c:pt idx="190">
                  <c:v>71.671728804778567</c:v>
                </c:pt>
                <c:pt idx="191">
                  <c:v>71.671728804778567</c:v>
                </c:pt>
                <c:pt idx="192">
                  <c:v>71.671728804778567</c:v>
                </c:pt>
                <c:pt idx="193">
                  <c:v>71.671728804778567</c:v>
                </c:pt>
                <c:pt idx="194">
                  <c:v>71.671728804778567</c:v>
                </c:pt>
                <c:pt idx="195">
                  <c:v>71.671728804778567</c:v>
                </c:pt>
                <c:pt idx="196">
                  <c:v>71.671728804778567</c:v>
                </c:pt>
                <c:pt idx="197">
                  <c:v>71.671728804778567</c:v>
                </c:pt>
                <c:pt idx="198">
                  <c:v>71.671728804778567</c:v>
                </c:pt>
                <c:pt idx="199">
                  <c:v>71.671728804778567</c:v>
                </c:pt>
                <c:pt idx="200">
                  <c:v>71.671728804778567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80" zoomScaleNormal="80" workbookViewId="0">
      <selection activeCell="L79" sqref="L7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84.73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0.82899999999999996</v>
      </c>
      <c r="D9" s="33">
        <f t="shared" ref="D9:D18" si="0">C9*$C$5</f>
        <v>70.241169999999997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9.6000000000000002E-2</v>
      </c>
      <c r="D10" s="33">
        <f t="shared" si="0"/>
        <v>8.1340800000000009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24</v>
      </c>
      <c r="C11" s="32">
        <v>0.05</v>
      </c>
      <c r="D11" s="33">
        <f t="shared" si="0"/>
        <v>4.2365000000000004</v>
      </c>
      <c r="E11" s="34">
        <v>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</v>
      </c>
      <c r="C12" s="32">
        <v>7.4999999999999997E-3</v>
      </c>
      <c r="D12" s="33">
        <f t="shared" si="0"/>
        <v>0.63547500000000001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</v>
      </c>
      <c r="C13" s="32">
        <v>7.4999999999999997E-3</v>
      </c>
      <c r="D13" s="33">
        <f t="shared" si="0"/>
        <v>0.63547500000000001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10</v>
      </c>
      <c r="C14" s="32">
        <v>7.4999999999999997E-3</v>
      </c>
      <c r="D14" s="33">
        <f t="shared" si="0"/>
        <v>0.63547500000000001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</v>
      </c>
      <c r="C15" s="32">
        <v>2.5000000000000001E-3</v>
      </c>
      <c r="D15" s="33">
        <f t="shared" si="0"/>
        <v>0.21182500000000001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0.99999999999999978</v>
      </c>
      <c r="D19" s="38">
        <f>SUM(D9:D18)</f>
        <v>84.73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C32" s="23" t="s">
        <v>333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C33" s="23" t="s">
        <v>332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126</v>
      </c>
      <c r="C36" s="60">
        <v>1</v>
      </c>
      <c r="D36" s="60">
        <v>36</v>
      </c>
      <c r="E36" s="51"/>
      <c r="F36" s="51">
        <v>0.5</v>
      </c>
      <c r="G36" s="51">
        <v>0.5</v>
      </c>
      <c r="H36" s="51"/>
      <c r="I36" s="49">
        <f>IFERROR(B36/A36,"")</f>
        <v>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210</v>
      </c>
      <c r="C37" s="60">
        <v>2</v>
      </c>
      <c r="D37" s="60">
        <v>59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v>395</v>
      </c>
      <c r="C38" s="60">
        <v>3</v>
      </c>
      <c r="D38" s="60">
        <v>395</v>
      </c>
      <c r="E38" s="51">
        <v>0.4</v>
      </c>
      <c r="F38" s="51">
        <v>0.3</v>
      </c>
      <c r="G38" s="51">
        <v>0.3</v>
      </c>
      <c r="H38" s="51"/>
      <c r="I38" s="53">
        <f t="shared" si="1"/>
        <v>16.266666666666666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C59" s="23" t="s">
        <v>331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129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6.45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260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349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435</v>
      </c>
      <c r="C65" s="60">
        <v>4</v>
      </c>
      <c r="D65" s="60">
        <v>98</v>
      </c>
      <c r="E65" s="51"/>
      <c r="F65" s="51"/>
      <c r="G65" s="51"/>
      <c r="H65" s="51"/>
      <c r="I65" s="49">
        <f>IF(A65&lt;&gt;0,(B65-(B64-D64))/(A65-A64),"")</f>
        <v>18.399999999999999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504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16.7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557</v>
      </c>
      <c r="C67" s="60">
        <v>6</v>
      </c>
      <c r="D67" s="60">
        <v>76</v>
      </c>
      <c r="E67" s="51"/>
      <c r="F67" s="51"/>
      <c r="G67" s="51"/>
      <c r="H67" s="51"/>
      <c r="I67" s="49">
        <f t="shared" si="2"/>
        <v>14.3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599</v>
      </c>
      <c r="C68" s="60">
        <v>7</v>
      </c>
      <c r="D68" s="60">
        <v>599</v>
      </c>
      <c r="E68" s="51"/>
      <c r="F68" s="51"/>
      <c r="G68" s="51"/>
      <c r="H68" s="51"/>
      <c r="I68" s="49">
        <f t="shared" si="2"/>
        <v>11.8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Eucalyptus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C85" s="23" t="s">
        <v>330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194</v>
      </c>
      <c r="C88" s="60">
        <v>1</v>
      </c>
      <c r="D88" s="60">
        <v>175</v>
      </c>
      <c r="E88" s="51"/>
      <c r="F88" s="51"/>
      <c r="G88" s="51">
        <v>1</v>
      </c>
      <c r="H88" s="87"/>
      <c r="I88" s="53">
        <f>IFERROR(B88/A88,"")</f>
        <v>19.399999999999999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306</v>
      </c>
      <c r="C89" s="60">
        <v>2</v>
      </c>
      <c r="D89" s="60">
        <v>275</v>
      </c>
      <c r="E89" s="51"/>
      <c r="F89" s="51"/>
      <c r="G89" s="51">
        <v>1</v>
      </c>
      <c r="H89" s="87"/>
      <c r="I89" s="53">
        <f t="shared" ref="I89:I107" si="3">IF(A89&lt;&gt;0,(B89-(B88-D88))/(A89-A88),"")</f>
        <v>28.7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361</v>
      </c>
      <c r="C90" s="60">
        <v>3</v>
      </c>
      <c r="D90" s="60">
        <v>325</v>
      </c>
      <c r="E90" s="87"/>
      <c r="F90" s="87"/>
      <c r="G90" s="87">
        <v>1</v>
      </c>
      <c r="H90" s="87"/>
      <c r="I90" s="53">
        <f t="shared" si="3"/>
        <v>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Bouleau verruqueux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C111" s="23" t="s">
        <v>329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95</v>
      </c>
      <c r="C114" s="50">
        <v>1</v>
      </c>
      <c r="D114" s="60">
        <f>15+28</f>
        <v>43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4.75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174</v>
      </c>
      <c r="C115" s="50">
        <v>2</v>
      </c>
      <c r="D115" s="60">
        <f>28+28</f>
        <v>56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220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241</v>
      </c>
      <c r="C117" s="50">
        <v>4</v>
      </c>
      <c r="D117" s="60">
        <f>22+17</f>
        <v>39</v>
      </c>
      <c r="E117" s="51"/>
      <c r="F117" s="51"/>
      <c r="G117" s="51"/>
      <c r="H117" s="51"/>
      <c r="I117" s="53">
        <f t="shared" si="4"/>
        <v>7.7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258</v>
      </c>
      <c r="C118" s="50">
        <v>5</v>
      </c>
      <c r="D118" s="60">
        <f>13+12</f>
        <v>25</v>
      </c>
      <c r="E118" s="51"/>
      <c r="F118" s="51"/>
      <c r="G118" s="51"/>
      <c r="H118" s="51"/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274</v>
      </c>
      <c r="C119" s="50">
        <v>6</v>
      </c>
      <c r="D119" s="60">
        <f>11+10</f>
        <v>21</v>
      </c>
      <c r="E119" s="51"/>
      <c r="F119" s="51"/>
      <c r="G119" s="51"/>
      <c r="H119" s="51"/>
      <c r="I119" s="53">
        <f t="shared" si="4"/>
        <v>4.0999999999999996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267+9+8</f>
        <v>284</v>
      </c>
      <c r="C120" s="60">
        <v>7</v>
      </c>
      <c r="D120" s="60">
        <f>B120</f>
        <v>284</v>
      </c>
      <c r="E120" s="87"/>
      <c r="F120" s="87"/>
      <c r="G120" s="87"/>
      <c r="H120" s="87"/>
      <c r="I120" s="53">
        <f t="shared" si="4"/>
        <v>3.1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vert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C137" s="23" t="s">
        <v>328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25</v>
      </c>
      <c r="B140" s="60">
        <v>30</v>
      </c>
      <c r="C140" s="50">
        <v>0</v>
      </c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54</v>
      </c>
      <c r="C141" s="50">
        <v>0</v>
      </c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f>79+13+14</f>
        <v>106</v>
      </c>
      <c r="C142" s="50">
        <v>1</v>
      </c>
      <c r="D142" s="60">
        <f>13+14</f>
        <v>27</v>
      </c>
      <c r="E142" s="51"/>
      <c r="F142" s="51"/>
      <c r="G142" s="51"/>
      <c r="H142" s="51"/>
      <c r="I142" s="57">
        <f t="shared" si="5"/>
        <v>5.2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f>107+14+14</f>
        <v>135</v>
      </c>
      <c r="C143" s="50">
        <v>2</v>
      </c>
      <c r="D143" s="60">
        <f>14+14</f>
        <v>28</v>
      </c>
      <c r="E143" s="51"/>
      <c r="F143" s="51"/>
      <c r="G143" s="51"/>
      <c r="H143" s="51"/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f>134+14+14</f>
        <v>162</v>
      </c>
      <c r="C144" s="50">
        <v>3</v>
      </c>
      <c r="D144" s="60">
        <f t="shared" ref="D144:D148" si="6">14+14</f>
        <v>28</v>
      </c>
      <c r="E144" s="51"/>
      <c r="F144" s="51"/>
      <c r="G144" s="51"/>
      <c r="H144" s="51"/>
      <c r="I144" s="57">
        <f t="shared" si="5"/>
        <v>5.5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f>158+14+14</f>
        <v>186</v>
      </c>
      <c r="C145" s="50">
        <v>4</v>
      </c>
      <c r="D145" s="60">
        <f t="shared" si="6"/>
        <v>28</v>
      </c>
      <c r="E145" s="51"/>
      <c r="F145" s="51"/>
      <c r="G145" s="51"/>
      <c r="H145" s="51"/>
      <c r="I145" s="57">
        <f t="shared" si="5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80</v>
      </c>
      <c r="B146" s="60">
        <f>178+14+14</f>
        <v>206</v>
      </c>
      <c r="C146" s="50">
        <v>5</v>
      </c>
      <c r="D146" s="60">
        <f t="shared" si="6"/>
        <v>28</v>
      </c>
      <c r="E146" s="51"/>
      <c r="F146" s="51"/>
      <c r="G146" s="51"/>
      <c r="H146" s="51"/>
      <c r="I146" s="57">
        <f t="shared" si="5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90</v>
      </c>
      <c r="B147" s="60">
        <f>193+14+14</f>
        <v>221</v>
      </c>
      <c r="C147" s="50">
        <v>6</v>
      </c>
      <c r="D147" s="60">
        <f t="shared" si="6"/>
        <v>28</v>
      </c>
      <c r="E147" s="51"/>
      <c r="F147" s="51"/>
      <c r="G147" s="51"/>
      <c r="H147" s="51"/>
      <c r="I147" s="57">
        <f>IF(A147&lt;&gt;0,(B147-(B146-D146))/(A147-A146),"")</f>
        <v>4.3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100</v>
      </c>
      <c r="B148" s="60">
        <f>202+14+14</f>
        <v>230</v>
      </c>
      <c r="C148" s="50">
        <v>7</v>
      </c>
      <c r="D148" s="60">
        <f t="shared" si="6"/>
        <v>28</v>
      </c>
      <c r="E148" s="51"/>
      <c r="F148" s="51"/>
      <c r="G148" s="51"/>
      <c r="H148" s="51"/>
      <c r="I148" s="57">
        <f t="shared" si="5"/>
        <v>3.7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110</v>
      </c>
      <c r="B149" s="60">
        <f>206+14+13</f>
        <v>233</v>
      </c>
      <c r="C149" s="50">
        <v>8</v>
      </c>
      <c r="D149" s="60">
        <f>14+13</f>
        <v>27</v>
      </c>
      <c r="E149" s="51"/>
      <c r="F149" s="51"/>
      <c r="G149" s="51"/>
      <c r="H149" s="51"/>
      <c r="I149" s="57">
        <f t="shared" si="5"/>
        <v>3.1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120</v>
      </c>
      <c r="B150" s="60">
        <f>209+13+12</f>
        <v>234</v>
      </c>
      <c r="C150" s="50">
        <v>9</v>
      </c>
      <c r="D150" s="60">
        <f>B150</f>
        <v>234</v>
      </c>
      <c r="E150" s="51"/>
      <c r="F150" s="51"/>
      <c r="G150" s="51"/>
      <c r="H150" s="51"/>
      <c r="I150" s="57">
        <f t="shared" si="5"/>
        <v>2.8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Chêne-liège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Arbousier</v>
      </c>
      <c r="C188" s="23" t="s">
        <v>327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8"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Eucalyptus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Chêne-liège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Arbousier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179.86010141761648</v>
      </c>
      <c r="T3" s="59">
        <f>IF('Données projet'!E9&gt;30,$R$33-$H$33,LOOKUP('Données projet'!$E$9,$A$3:$A$203,R3:R203)-LOOKUP('Données projet'!$E$9,$A$3:$A$203,$H$3:$H$203))</f>
        <v>367.01744242396057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318.09371753144256</v>
      </c>
      <c r="AO3" s="59">
        <f>IF('Données projet'!E10&gt;30,$AM$33-$H$33,LOOKUP('Données projet'!$E$10,$A$3:$A$203,AM3:AM203)-LOOKUP('Données projet'!$E$10,$A$3:$A$203,$H$3:$H$203))</f>
        <v>298.61479562586919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247.43282553724879</v>
      </c>
      <c r="BJ3" s="59">
        <f>IF('Données projet'!E11&gt;30,$BH$33-$H$33,LOOKUP('Données projet'!$E$11,$A$3:$A$203,BH3:BH203)-LOOKUP('Données projet'!$E$11,$A$3:$A$203,$H$3:$H$203))</f>
        <v>637.29471578895527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230.68538392491388</v>
      </c>
      <c r="CE3" s="59">
        <f>IF('Données projet'!E12&gt;30,$CC$33-$H$33,LOOKUP('Données projet'!$E$12,$A$3:$A$203,CC3:CC203)-LOOKUP('Données projet'!$E$12,$A$3:$A$203,$H$3:$H$203))</f>
        <v>267.97457956620724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242.1473060698724</v>
      </c>
      <c r="CZ3" s="59">
        <f>IF('Données projet'!E13&gt;30,$CX$33-$H$33,LOOKUP('Données projet'!$E$13,$A$3:$A$203,CX3:CX203)-LOOKUP('Données projet'!$E$13,$A$3:$A$203,$H$3:$H$203))</f>
        <v>96.127995920458659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0</v>
      </c>
      <c r="EP3" s="59">
        <f>IF('Données projet'!E15&gt;30,$EN$33-$H$33,LOOKUP('Données projet'!$E$15,$A$3:$A$203,EN3:EN203)-LOOKUP('Données projet'!$E$15,$A$3:$A$203,$H$3:$H$203))</f>
        <v>0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</v>
      </c>
      <c r="N4" s="13">
        <f>IF('Données projet'!$A$36&gt;35,N3+M4-V3,IF(A4&lt;'Données projet'!$A$36,$K$205^A4,IF(A4='Données projet'!$A$36,'Données projet'!$B$36,N3+M4-V3)))</f>
        <v>1.4126236324966186</v>
      </c>
      <c r="O4" s="13">
        <f>N4*VLOOKUP('Données projet'!$B$9,Paramètres!$A$1:$I$89,3,0)*VLOOKUP('Données projet'!$B$9,Paramètres!$A$1:$I$89,5,0)</f>
        <v>0.84474893223297798</v>
      </c>
      <c r="P4" s="13">
        <f>EXP(-1.0587+0.8836*LN(O4)+0.284)</f>
        <v>0.39701655605797648</v>
      </c>
      <c r="Q4" s="20">
        <f t="shared" ref="Q4:Q34" si="2">(O4+P4)*0.475*44/12</f>
        <v>2.1627415587734125</v>
      </c>
      <c r="R4" s="59">
        <f t="shared" si="0"/>
        <v>295.49607489210672</v>
      </c>
      <c r="S4" s="59">
        <f ca="1">AVERAGE(OFFSET($R$3,0,0,'Données projet'!$E$9+1,1))-AVERAGE(OFFSET($H$3,0,0,'Données projet'!$E$9+1,1))</f>
        <v>179.86010141761648</v>
      </c>
      <c r="T4" s="59">
        <f>$T$3</f>
        <v>367.01744242396057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6.45</v>
      </c>
      <c r="AI4" s="13">
        <f>IF('Données projet'!$A$62&gt;35,AI3+AH4-AQ3,IF(A4&lt;'Données projet'!$A$62,$AF$205^A4,IF(A4='Données projet'!$A$62,'Données projet'!$B$62,AI3+AH4-AQ3)))</f>
        <v>1.2750566643089272</v>
      </c>
      <c r="AJ4" s="13">
        <f>AI4*VLOOKUP('Données projet'!$B$10,Paramètres!$A$1:$I$89,3,0)*VLOOKUP('Données projet'!$B$10,Paramètres!$A$1:$I$89,5,0)</f>
        <v>0.76248388525673849</v>
      </c>
      <c r="AK4" s="13">
        <f>EXP(-1.0587+0.8836*LN(AJ4)+0.284)</f>
        <v>0.36265284133020909</v>
      </c>
      <c r="AL4" s="20">
        <f t="shared" ref="AL4:AL67" si="4">(AJ4+AK4)*0.475*44/12</f>
        <v>1.9596131321389336</v>
      </c>
      <c r="AM4" s="59">
        <f t="shared" ref="AM4:AM67" si="5">AL4+(AD4+AE4)*44/12</f>
        <v>295.29294646547226</v>
      </c>
      <c r="AN4" s="59">
        <f ca="1">AVERAGE(OFFSET($AM$3,0,0,'Données projet'!$E$10+1,1))-AVERAGE(OFFSET($H$3,0,0,'Données projet'!$E$10+1,1))</f>
        <v>318.09371753144256</v>
      </c>
      <c r="AO4" s="59">
        <f>$AO$3</f>
        <v>298.61479562586919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19.399999999999999</v>
      </c>
      <c r="BD4" s="12">
        <f>IF('Données projet'!$A$88&gt;35,BD3+BC4-BL3,IF(A4&lt;'Données projet'!$A$88,$BA$205^A4,IF(A4='Données projet'!$A$88,'Données projet'!$B$88,BD3+BC4-BL3)))</f>
        <v>1.6934803938384888</v>
      </c>
      <c r="BE4" s="13">
        <f>BD4*VLOOKUP('Données projet'!$B$11,Paramètres!$A$1:$I$89,3,0)*VLOOKUP('Données projet'!$B$11,Paramètres!$A$1:$I$89,5,0)</f>
        <v>1.479424472057304</v>
      </c>
      <c r="BF4" s="13">
        <f>EXP(-1.0587+0.8836*LN(BE4)+0.284)</f>
        <v>0.65139746106658813</v>
      </c>
      <c r="BG4" s="20">
        <f t="shared" ref="BG4:BG67" si="7">(BE4+BF4)*0.475*44/12</f>
        <v>3.7111815335241118</v>
      </c>
      <c r="BH4" s="59">
        <f t="shared" ref="BH4:BH67" si="8">BG4+(AY4+AZ4)*44/12</f>
        <v>297.04451486685741</v>
      </c>
      <c r="BI4" s="59">
        <f ca="1">AVERAGE(OFFSET($BH$3,0,0,'Données projet'!$E$11+1,1))-AVERAGE(OFFSET($H$3,0,0,'Données projet'!$E$11+1,1))</f>
        <v>247.43282553724879</v>
      </c>
      <c r="BJ4" s="59">
        <f>$BJ$3</f>
        <v>637.29471578895527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4.75</v>
      </c>
      <c r="BY4" s="12">
        <f>IF('Données projet'!$A$114&gt;35,BY3+BX4-CG3,IF(A4&lt;'Données projet'!$A$114,$BV$205^A4,IF(A4='Données projet'!$A$114,'Données projet'!$B$114,BY3+BX4-CG3)))</f>
        <v>1.2557008269631629</v>
      </c>
      <c r="BZ4" s="13">
        <f>BY4*VLOOKUP('Données projet'!$B$12,Paramètres!$A$1:$I$89,3,0)*VLOOKUP('Données projet'!$B$12,Paramètres!$A$1:$I$89,5,0)</f>
        <v>1.0186245108325178</v>
      </c>
      <c r="CA4" s="13">
        <f>EXP(-1.0587+0.8836*LN(BZ4)+0.284)</f>
        <v>0.4684177496027801</v>
      </c>
      <c r="CB4" s="20">
        <f t="shared" ref="CB4:CB67" si="10">(BZ4+CA4)*0.475*44/12</f>
        <v>2.5899319369248102</v>
      </c>
      <c r="CC4" s="59">
        <f t="shared" ref="CC4:CC67" si="11">CB4+(BT4+BU4)*44/12</f>
        <v>295.92326527025813</v>
      </c>
      <c r="CD4" s="59">
        <f ca="1">AVERAGE(OFFSET($CC$3,0,0,'Données projet'!$E$12+1,1))-AVERAGE(OFFSET($H$3,0,0,'Données projet'!$E$12+1,1))</f>
        <v>230.68538392491388</v>
      </c>
      <c r="CE4" s="59">
        <f>$CE$3</f>
        <v>267.97457956620724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1.3047650309981771</v>
      </c>
      <c r="CV4" s="13">
        <f>EXP(-1.0587+0.8836*LN(CU4)+0.284)</f>
        <v>0.58295685400878672</v>
      </c>
      <c r="CW4" s="20">
        <f t="shared" ref="CW4:CW67" si="13">(CU4+CV4)*0.475*44/12</f>
        <v>3.2877822830537951</v>
      </c>
      <c r="CX4" s="59">
        <f t="shared" ref="CX4:CX67" si="14">CW4+(CO4+CP4)*44/12</f>
        <v>296.6211156163871</v>
      </c>
      <c r="CY4" s="59">
        <f ca="1">AVERAGE(OFFSET($CX$3,0,0,'Données projet'!$E$13+1,1))-AVERAGE(OFFSET($H$3,0,0,'Données projet'!$E$13+1,1))</f>
        <v>242.1473060698724</v>
      </c>
      <c r="CZ4" s="59">
        <f>$CZ$3</f>
        <v>96.127995920458659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0</v>
      </c>
      <c r="EP4" s="59">
        <f>$EP$3</f>
        <v>0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</v>
      </c>
      <c r="N5" s="13">
        <f>IF('Données projet'!$A$36&gt;35,N4+M5-V4,IF(A5&lt;'Données projet'!$A$36,$K$205^A5,IF(A5='Données projet'!$A$36,'Données projet'!$B$36,N4+M5-V4)))</f>
        <v>1.9955055270879418</v>
      </c>
      <c r="O5" s="13">
        <f>N5*VLOOKUP('Données projet'!$B$9,Paramètres!$A$1:$I$89,3,0)*VLOOKUP('Données projet'!$B$9,Paramètres!$A$1:$I$89,5,0)</f>
        <v>1.1933123051985894</v>
      </c>
      <c r="P5" s="13">
        <f t="shared" ref="P5:P68" si="33">EXP(-1.0587+0.8836*LN(O5)+0.284)</f>
        <v>0.53873104677796557</v>
      </c>
      <c r="Q5" s="20">
        <f t="shared" si="2"/>
        <v>3.0166421713591665</v>
      </c>
      <c r="R5" s="59">
        <f t="shared" si="0"/>
        <v>296.34997550469251</v>
      </c>
      <c r="S5" s="59">
        <f ca="1">AVERAGE(OFFSET($R$3,0,0,'Données projet'!$E$9+1,1))-AVERAGE(OFFSET($H$3,0,0,'Données projet'!$E$9+1,1))</f>
        <v>179.86010141761648</v>
      </c>
      <c r="T5" s="59">
        <f t="shared" ref="T5:T68" si="34">$T$3</f>
        <v>367.01744242396057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6.45</v>
      </c>
      <c r="AI5" s="13">
        <f>IF('Données projet'!$A$62&gt;35,AI4+AH5-AQ4,IF(A5&lt;'Données projet'!$A$62,$AF$205^A5,IF(A5='Données projet'!$A$62,'Données projet'!$B$62,AI4+AH5-AQ4)))</f>
        <v>1.6257694971986081</v>
      </c>
      <c r="AJ5" s="13">
        <f>AI5*VLOOKUP('Données projet'!$B$10,Paramètres!$A$1:$I$89,3,0)*VLOOKUP('Données projet'!$B$10,Paramètres!$A$1:$I$89,5,0)</f>
        <v>0.97221015932476773</v>
      </c>
      <c r="AK5" s="13">
        <f t="shared" ref="AK5:AK68" si="35">EXP(-1.0587+0.8836*LN(AJ5)+0.284)</f>
        <v>0.44950749538600049</v>
      </c>
      <c r="AL5" s="20">
        <f t="shared" si="4"/>
        <v>2.4761582486212546</v>
      </c>
      <c r="AM5" s="59">
        <f t="shared" si="5"/>
        <v>295.80949158195455</v>
      </c>
      <c r="AN5" s="59">
        <f ca="1">AVERAGE(OFFSET($AM$3,0,0,'Données projet'!$E$10+1,1))-AVERAGE(OFFSET($H$3,0,0,'Données projet'!$E$10+1,1))</f>
        <v>318.09371753144256</v>
      </c>
      <c r="AO5" s="59">
        <f t="shared" ref="AO5:AO68" si="36">$AO$3</f>
        <v>298.61479562586919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19.399999999999999</v>
      </c>
      <c r="BD5" s="12">
        <f>IF('Données projet'!$A$88&gt;35,BD4+BC5-BL4,IF(A5&lt;'Données projet'!$A$88,$BA$205^A5,IF(A5='Données projet'!$A$88,'Données projet'!$B$88,BD4+BC5-BL4)))</f>
        <v>2.8678758443153631</v>
      </c>
      <c r="BE5" s="13">
        <f>BD5*VLOOKUP('Données projet'!$B$11,Paramètres!$A$1:$I$89,3,0)*VLOOKUP('Données projet'!$B$11,Paramètres!$A$1:$I$89,5,0)</f>
        <v>2.5053763375939018</v>
      </c>
      <c r="BF5" s="13">
        <f t="shared" ref="BF5:BF68" si="37">EXP(-1.0587+0.8836*LN(BE5)+0.284)</f>
        <v>1.0375193910645806</v>
      </c>
      <c r="BG5" s="20">
        <f t="shared" si="7"/>
        <v>6.1705433940801901</v>
      </c>
      <c r="BH5" s="59">
        <f t="shared" si="8"/>
        <v>299.50387672741351</v>
      </c>
      <c r="BI5" s="59">
        <f ca="1">AVERAGE(OFFSET($BH$3,0,0,'Données projet'!$E$11+1,1))-AVERAGE(OFFSET($H$3,0,0,'Données projet'!$E$11+1,1))</f>
        <v>247.43282553724879</v>
      </c>
      <c r="BJ5" s="59">
        <f t="shared" ref="BJ5:BJ68" si="38">$BJ$3</f>
        <v>637.29471578895527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4.75</v>
      </c>
      <c r="BY5" s="12">
        <f>IF('Données projet'!$A$114&gt;35,BY4+BX5-CG4,IF(A5&lt;'Données projet'!$A$114,$BV$205^A5,IF(A5='Données projet'!$A$114,'Données projet'!$B$114,BY4+BX5-CG4)))</f>
        <v>1.576784566835971</v>
      </c>
      <c r="BZ5" s="13">
        <f>BY5*VLOOKUP('Données projet'!$B$12,Paramètres!$A$1:$I$89,3,0)*VLOOKUP('Données projet'!$B$12,Paramètres!$A$1:$I$89,5,0)</f>
        <v>1.2790876406173397</v>
      </c>
      <c r="CA5" s="13">
        <f t="shared" ref="CA5:CA68" si="39">EXP(-1.0587+0.8836*LN(BZ5)+0.284)</f>
        <v>0.57280812840105289</v>
      </c>
      <c r="CB5" s="20">
        <f t="shared" si="10"/>
        <v>3.2253851310403672</v>
      </c>
      <c r="CC5" s="59">
        <f t="shared" si="11"/>
        <v>296.55871846437367</v>
      </c>
      <c r="CD5" s="59">
        <f ca="1">AVERAGE(OFFSET($CC$3,0,0,'Données projet'!$E$12+1,1))-AVERAGE(OFFSET($H$3,0,0,'Données projet'!$E$12+1,1))</f>
        <v>230.68538392491388</v>
      </c>
      <c r="CE5" s="59">
        <f t="shared" ref="CE5:CE68" si="40">$CE$3</f>
        <v>267.97457956620724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1.494917269156721</v>
      </c>
      <c r="CV5" s="13">
        <f t="shared" ref="CV5:CV68" si="41">EXP(-1.0587+0.8836*LN(CU5)+0.284)</f>
        <v>0.65742132363627681</v>
      </c>
      <c r="CW5" s="20">
        <f t="shared" si="13"/>
        <v>3.7486563824478041</v>
      </c>
      <c r="CX5" s="59">
        <f t="shared" si="14"/>
        <v>297.08198971578111</v>
      </c>
      <c r="CY5" s="59">
        <f ca="1">AVERAGE(OFFSET($CX$3,0,0,'Données projet'!$E$13+1,1))-AVERAGE(OFFSET($H$3,0,0,'Données projet'!$E$13+1,1))</f>
        <v>242.1473060698724</v>
      </c>
      <c r="CZ5" s="59">
        <f t="shared" ref="CZ5:CZ68" si="42">$CZ$3</f>
        <v>96.127995920458659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0</v>
      </c>
      <c r="EP5" s="59">
        <f t="shared" ref="EP5:EP68" si="46">$EP$3</f>
        <v>0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</v>
      </c>
      <c r="N6" s="13">
        <f>IF('Données projet'!$A$36&gt;35,N5+M6-V5,IF(A6&lt;'Données projet'!$A$36,$K$205^A6,IF(A6='Données projet'!$A$36,'Données projet'!$B$36,N5+M6-V5)))</f>
        <v>2.8188982663420479</v>
      </c>
      <c r="O6" s="13">
        <f>N6*VLOOKUP('Données projet'!$B$9,Paramètres!$A$1:$I$89,3,0)*VLOOKUP('Données projet'!$B$9,Paramètres!$A$1:$I$89,5,0)</f>
        <v>1.6857011632725447</v>
      </c>
      <c r="P6" s="13">
        <f t="shared" si="33"/>
        <v>0.73103032186924677</v>
      </c>
      <c r="Q6" s="20">
        <f t="shared" si="2"/>
        <v>4.2091406699552865</v>
      </c>
      <c r="R6" s="59">
        <f t="shared" si="0"/>
        <v>297.54247400328859</v>
      </c>
      <c r="S6" s="59">
        <f ca="1">AVERAGE(OFFSET($R$3,0,0,'Données projet'!$E$9+1,1))-AVERAGE(OFFSET($H$3,0,0,'Données projet'!$E$9+1,1))</f>
        <v>179.86010141761648</v>
      </c>
      <c r="T6" s="59">
        <f t="shared" si="34"/>
        <v>367.01744242396057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6.45</v>
      </c>
      <c r="AI6" s="13">
        <f>IF('Données projet'!$A$62&gt;35,AI5+AH6-AQ5,IF(A6&lt;'Données projet'!$A$62,$AF$205^A6,IF(A6='Données projet'!$A$62,'Données projet'!$B$62,AI5+AH6-AQ5)))</f>
        <v>2.0729482320332591</v>
      </c>
      <c r="AJ6" s="13">
        <f>AI6*VLOOKUP('Données projet'!$B$10,Paramètres!$A$1:$I$89,3,0)*VLOOKUP('Données projet'!$B$10,Paramètres!$A$1:$I$89,5,0)</f>
        <v>1.239623042755889</v>
      </c>
      <c r="AK6" s="13">
        <f t="shared" si="35"/>
        <v>0.55716367109396148</v>
      </c>
      <c r="AL6" s="20">
        <f t="shared" si="4"/>
        <v>3.1294035266218221</v>
      </c>
      <c r="AM6" s="59">
        <f t="shared" si="5"/>
        <v>296.46273685995516</v>
      </c>
      <c r="AN6" s="59">
        <f ca="1">AVERAGE(OFFSET($AM$3,0,0,'Données projet'!$E$10+1,1))-AVERAGE(OFFSET($H$3,0,0,'Données projet'!$E$10+1,1))</f>
        <v>318.09371753144256</v>
      </c>
      <c r="AO6" s="59">
        <f t="shared" si="36"/>
        <v>298.61479562586919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19.399999999999999</v>
      </c>
      <c r="BD6" s="12">
        <f>IF('Données projet'!$A$88&gt;35,BD5+BC6-BL5,IF(A6&lt;'Données projet'!$A$88,$BA$205^A6,IF(A6='Données projet'!$A$88,'Données projet'!$B$88,BD5+BC6-BL5)))</f>
        <v>4.8566915143110698</v>
      </c>
      <c r="BE6" s="13">
        <f>BD6*VLOOKUP('Données projet'!$B$11,Paramètres!$A$1:$I$89,3,0)*VLOOKUP('Données projet'!$B$11,Paramètres!$A$1:$I$89,5,0)</f>
        <v>4.2428057069021508</v>
      </c>
      <c r="BF6" s="13">
        <f t="shared" si="37"/>
        <v>1.6525187019802952</v>
      </c>
      <c r="BG6" s="20">
        <f t="shared" si="7"/>
        <v>10.267690012136926</v>
      </c>
      <c r="BH6" s="59">
        <f t="shared" si="8"/>
        <v>303.60102334547025</v>
      </c>
      <c r="BI6" s="59">
        <f ca="1">AVERAGE(OFFSET($BH$3,0,0,'Données projet'!$E$11+1,1))-AVERAGE(OFFSET($H$3,0,0,'Données projet'!$E$11+1,1))</f>
        <v>247.43282553724879</v>
      </c>
      <c r="BJ6" s="59">
        <f t="shared" si="38"/>
        <v>637.29471578895527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4.75</v>
      </c>
      <c r="BY6" s="12">
        <f>IF('Données projet'!$A$114&gt;35,BY5+BX6-CG5,IF(A6&lt;'Données projet'!$A$114,$BV$205^A6,IF(A6='Données projet'!$A$114,'Données projet'!$B$114,BY5+BX6-CG5)))</f>
        <v>1.9799696845186814</v>
      </c>
      <c r="BZ6" s="13">
        <f>BY6*VLOOKUP('Données projet'!$B$12,Paramètres!$A$1:$I$89,3,0)*VLOOKUP('Données projet'!$B$12,Paramètres!$A$1:$I$89,5,0)</f>
        <v>1.6061514080815542</v>
      </c>
      <c r="CA6" s="13">
        <f t="shared" si="39"/>
        <v>0.70046267939367102</v>
      </c>
      <c r="CB6" s="20">
        <f t="shared" si="10"/>
        <v>4.0173528690193505</v>
      </c>
      <c r="CC6" s="59">
        <f t="shared" si="11"/>
        <v>297.35068620235268</v>
      </c>
      <c r="CD6" s="59">
        <f ca="1">AVERAGE(OFFSET($CC$3,0,0,'Données projet'!$E$12+1,1))-AVERAGE(OFFSET($H$3,0,0,'Données projet'!$E$12+1,1))</f>
        <v>230.68538392491388</v>
      </c>
      <c r="CE6" s="59">
        <f t="shared" si="40"/>
        <v>267.97457956620724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1.7127816798656297</v>
      </c>
      <c r="CV6" s="13">
        <f t="shared" si="41"/>
        <v>0.74139757307864129</v>
      </c>
      <c r="CW6" s="20">
        <f t="shared" si="13"/>
        <v>4.2743621988779381</v>
      </c>
      <c r="CX6" s="59">
        <f t="shared" si="14"/>
        <v>297.60769553221127</v>
      </c>
      <c r="CY6" s="59">
        <f ca="1">AVERAGE(OFFSET($CX$3,0,0,'Données projet'!$E$13+1,1))-AVERAGE(OFFSET($H$3,0,0,'Données projet'!$E$13+1,1))</f>
        <v>242.1473060698724</v>
      </c>
      <c r="CZ6" s="59">
        <f t="shared" si="42"/>
        <v>96.127995920458659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0</v>
      </c>
      <c r="EP6" s="59">
        <f t="shared" si="46"/>
        <v>0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</v>
      </c>
      <c r="N7" s="13">
        <f>IF('Données projet'!$A$36&gt;35,N6+M7-V6,IF(A7&lt;'Données projet'!$A$36,$K$205^A7,IF(A7='Données projet'!$A$36,'Données projet'!$B$36,N6+M7-V6)))</f>
        <v>3.9820423086385244</v>
      </c>
      <c r="O7" s="13">
        <f>N7*VLOOKUP('Données projet'!$B$9,Paramètres!$A$1:$I$89,3,0)*VLOOKUP('Données projet'!$B$9,Paramètres!$A$1:$I$89,5,0)</f>
        <v>2.3812613005658378</v>
      </c>
      <c r="P7" s="13">
        <f t="shared" si="33"/>
        <v>0.99197054762003767</v>
      </c>
      <c r="Q7" s="20">
        <f t="shared" si="2"/>
        <v>5.8750454689237328</v>
      </c>
      <c r="R7" s="59">
        <f t="shared" si="0"/>
        <v>299.20837880225707</v>
      </c>
      <c r="S7" s="59">
        <f ca="1">AVERAGE(OFFSET($R$3,0,0,'Données projet'!$E$9+1,1))-AVERAGE(OFFSET($H$3,0,0,'Données projet'!$E$9+1,1))</f>
        <v>179.86010141761648</v>
      </c>
      <c r="T7" s="59">
        <f t="shared" si="34"/>
        <v>367.01744242396057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6.45</v>
      </c>
      <c r="AI7" s="13">
        <f>IF('Données projet'!$A$62&gt;35,AI6+AH7-AQ6,IF(A7&lt;'Données projet'!$A$62,$AF$205^A7,IF(A7='Données projet'!$A$62,'Données projet'!$B$62,AI6+AH7-AQ6)))</f>
        <v>2.6431264580214151</v>
      </c>
      <c r="AJ7" s="13">
        <f>AI7*VLOOKUP('Données projet'!$B$10,Paramètres!$A$1:$I$89,3,0)*VLOOKUP('Données projet'!$B$10,Paramètres!$A$1:$I$89,5,0)</f>
        <v>1.5805896218968063</v>
      </c>
      <c r="AK7" s="13">
        <f t="shared" si="35"/>
        <v>0.6906032926555028</v>
      </c>
      <c r="AL7" s="20">
        <f t="shared" si="4"/>
        <v>3.9556609928452722</v>
      </c>
      <c r="AM7" s="59">
        <f t="shared" si="5"/>
        <v>297.28899432617857</v>
      </c>
      <c r="AN7" s="59">
        <f ca="1">AVERAGE(OFFSET($AM$3,0,0,'Données projet'!$E$10+1,1))-AVERAGE(OFFSET($H$3,0,0,'Données projet'!$E$10+1,1))</f>
        <v>318.09371753144256</v>
      </c>
      <c r="AO7" s="59">
        <f t="shared" si="36"/>
        <v>298.61479562586919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19.399999999999999</v>
      </c>
      <c r="BD7" s="12">
        <f>IF('Données projet'!$A$88&gt;35,BD6+BC7-BL6,IF(A7&lt;'Données projet'!$A$88,$BA$205^A7,IF(A7='Données projet'!$A$88,'Données projet'!$B$88,BD6+BC7-BL6)))</f>
        <v>8.2247118584075576</v>
      </c>
      <c r="BE7" s="13">
        <f>BD7*VLOOKUP('Données projet'!$B$11,Paramètres!$A$1:$I$89,3,0)*VLOOKUP('Données projet'!$B$11,Paramètres!$A$1:$I$89,5,0)</f>
        <v>7.1851082795048429</v>
      </c>
      <c r="BF7" s="13">
        <f t="shared" si="37"/>
        <v>2.6320645993831451</v>
      </c>
      <c r="BG7" s="20">
        <f t="shared" si="7"/>
        <v>17.098242764063244</v>
      </c>
      <c r="BH7" s="59">
        <f t="shared" si="8"/>
        <v>310.43157609739654</v>
      </c>
      <c r="BI7" s="59">
        <f ca="1">AVERAGE(OFFSET($BH$3,0,0,'Données projet'!$E$11+1,1))-AVERAGE(OFFSET($H$3,0,0,'Données projet'!$E$11+1,1))</f>
        <v>247.43282553724879</v>
      </c>
      <c r="BJ7" s="59">
        <f t="shared" si="38"/>
        <v>637.29471578895527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4.75</v>
      </c>
      <c r="BY7" s="12">
        <f>IF('Données projet'!$A$114&gt;35,BY6+BX7-CG6,IF(A7&lt;'Données projet'!$A$114,$BV$205^A7,IF(A7='Données projet'!$A$114,'Données projet'!$B$114,BY6+BX7-CG6)))</f>
        <v>2.4862495702121006</v>
      </c>
      <c r="BZ7" s="13">
        <f>BY7*VLOOKUP('Données projet'!$B$12,Paramètres!$A$1:$I$89,3,0)*VLOOKUP('Données projet'!$B$12,Paramètres!$A$1:$I$89,5,0)</f>
        <v>2.0168456513560562</v>
      </c>
      <c r="CA7" s="13">
        <f t="shared" si="39"/>
        <v>0.8565659963537261</v>
      </c>
      <c r="CB7" s="20">
        <f t="shared" si="10"/>
        <v>5.00452528642787</v>
      </c>
      <c r="CC7" s="59">
        <f t="shared" si="11"/>
        <v>298.33785861976116</v>
      </c>
      <c r="CD7" s="59">
        <f ca="1">AVERAGE(OFFSET($CC$3,0,0,'Données projet'!$E$12+1,1))-AVERAGE(OFFSET($H$3,0,0,'Données projet'!$E$12+1,1))</f>
        <v>230.68538392491388</v>
      </c>
      <c r="CE7" s="59">
        <f t="shared" si="40"/>
        <v>267.97457956620724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1.9623969455769126</v>
      </c>
      <c r="CV7" s="13">
        <f t="shared" si="41"/>
        <v>0.83610059729521113</v>
      </c>
      <c r="CW7" s="20">
        <f t="shared" si="13"/>
        <v>4.8740498871689484</v>
      </c>
      <c r="CX7" s="59">
        <f t="shared" si="14"/>
        <v>298.20738322050227</v>
      </c>
      <c r="CY7" s="59">
        <f ca="1">AVERAGE(OFFSET($CX$3,0,0,'Données projet'!$E$13+1,1))-AVERAGE(OFFSET($H$3,0,0,'Données projet'!$E$13+1,1))</f>
        <v>242.1473060698724</v>
      </c>
      <c r="CZ7" s="59">
        <f t="shared" si="42"/>
        <v>96.127995920458659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0</v>
      </c>
      <c r="EP7" s="59">
        <f t="shared" si="46"/>
        <v>0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</v>
      </c>
      <c r="N8" s="13">
        <f>IF('Données projet'!$A$36&gt;35,N7+M8-V7,IF(A8&lt;'Données projet'!$A$36,$K$205^A8,IF(A8='Données projet'!$A$36,'Données projet'!$B$36,N7+M8-V7)))</f>
        <v>5.6251270707841732</v>
      </c>
      <c r="O8" s="13">
        <f>N8*VLOOKUP('Données projet'!$B$9,Paramètres!$A$1:$I$89,3,0)*VLOOKUP('Données projet'!$B$9,Paramètres!$A$1:$I$89,5,0)</f>
        <v>3.3638259883289354</v>
      </c>
      <c r="P8" s="13">
        <f t="shared" si="33"/>
        <v>1.3460530129988209</v>
      </c>
      <c r="Q8" s="20">
        <f t="shared" si="2"/>
        <v>8.2030392606458431</v>
      </c>
      <c r="R8" s="59">
        <f t="shared" si="0"/>
        <v>301.53637259397914</v>
      </c>
      <c r="S8" s="59">
        <f ca="1">AVERAGE(OFFSET($R$3,0,0,'Données projet'!$E$9+1,1))-AVERAGE(OFFSET($H$3,0,0,'Données projet'!$E$9+1,1))</f>
        <v>179.86010141761648</v>
      </c>
      <c r="T8" s="59">
        <f t="shared" si="34"/>
        <v>367.01744242396057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6.45</v>
      </c>
      <c r="AI8" s="13">
        <f>IF('Données projet'!$A$62&gt;35,AI7+AH8-AQ7,IF(A8&lt;'Données projet'!$A$62,$AF$205^A8,IF(A8='Données projet'!$A$62,'Données projet'!$B$62,AI7+AH8-AQ7)))</f>
        <v>3.3701360049114553</v>
      </c>
      <c r="AJ8" s="13">
        <f>AI8*VLOOKUP('Données projet'!$B$10,Paramètres!$A$1:$I$89,3,0)*VLOOKUP('Données projet'!$B$10,Paramètres!$A$1:$I$89,5,0)</f>
        <v>2.0153413309370505</v>
      </c>
      <c r="AK8" s="13">
        <f t="shared" si="35"/>
        <v>0.85600144548223933</v>
      </c>
      <c r="AL8" s="20">
        <f t="shared" si="4"/>
        <v>5.0009220022635965</v>
      </c>
      <c r="AM8" s="59">
        <f t="shared" si="5"/>
        <v>298.33425533559694</v>
      </c>
      <c r="AN8" s="59">
        <f ca="1">AVERAGE(OFFSET($AM$3,0,0,'Données projet'!$E$10+1,1))-AVERAGE(OFFSET($H$3,0,0,'Données projet'!$E$10+1,1))</f>
        <v>318.09371753144256</v>
      </c>
      <c r="AO8" s="59">
        <f t="shared" si="36"/>
        <v>298.61479562586919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19.399999999999999</v>
      </c>
      <c r="BD8" s="12">
        <f>IF('Données projet'!$A$88&gt;35,BD7+BC8-BL7,IF(A8&lt;'Données projet'!$A$88,$BA$205^A8,IF(A8='Données projet'!$A$88,'Données projet'!$B$88,BD7+BC8-BL7)))</f>
        <v>13.928388277184119</v>
      </c>
      <c r="BE8" s="13">
        <f>BD8*VLOOKUP('Données projet'!$B$11,Paramètres!$A$1:$I$89,3,0)*VLOOKUP('Données projet'!$B$11,Paramètres!$A$1:$I$89,5,0)</f>
        <v>12.167839998948049</v>
      </c>
      <c r="BF8" s="13">
        <f t="shared" si="37"/>
        <v>4.1922454777813236</v>
      </c>
      <c r="BG8" s="20">
        <f t="shared" si="7"/>
        <v>28.493815538636991</v>
      </c>
      <c r="BH8" s="59">
        <f t="shared" si="8"/>
        <v>321.82714887197028</v>
      </c>
      <c r="BI8" s="59">
        <f ca="1">AVERAGE(OFFSET($BH$3,0,0,'Données projet'!$E$11+1,1))-AVERAGE(OFFSET($H$3,0,0,'Données projet'!$E$11+1,1))</f>
        <v>247.43282553724879</v>
      </c>
      <c r="BJ8" s="59">
        <f t="shared" si="38"/>
        <v>637.29471578895527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4.75</v>
      </c>
      <c r="BY8" s="12">
        <f>IF('Données projet'!$A$114&gt;35,BY7+BX8-CG7,IF(A8&lt;'Données projet'!$A$114,$BV$205^A8,IF(A8='Données projet'!$A$114,'Données projet'!$B$114,BY7+BX8-CG7)))</f>
        <v>3.121985641352143</v>
      </c>
      <c r="BZ8" s="13">
        <f>BY8*VLOOKUP('Données projet'!$B$12,Paramètres!$A$1:$I$89,3,0)*VLOOKUP('Données projet'!$B$12,Paramètres!$A$1:$I$89,5,0)</f>
        <v>2.5325547522648586</v>
      </c>
      <c r="CA8" s="13">
        <f t="shared" si="39"/>
        <v>1.0474580983308857</v>
      </c>
      <c r="CB8" s="20">
        <f t="shared" si="10"/>
        <v>6.2351890481209198</v>
      </c>
      <c r="CC8" s="59">
        <f t="shared" si="11"/>
        <v>299.56852238145422</v>
      </c>
      <c r="CD8" s="59">
        <f ca="1">AVERAGE(OFFSET($CC$3,0,0,'Données projet'!$E$12+1,1))-AVERAGE(OFFSET($H$3,0,0,'Données projet'!$E$12+1,1))</f>
        <v>230.68538392491388</v>
      </c>
      <c r="CE8" s="59">
        <f t="shared" si="40"/>
        <v>267.97457956620724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2.2483903332686932</v>
      </c>
      <c r="CV8" s="13">
        <f t="shared" si="41"/>
        <v>0.94290058961827439</v>
      </c>
      <c r="CW8" s="20">
        <f t="shared" si="13"/>
        <v>5.5581650240281348</v>
      </c>
      <c r="CX8" s="59">
        <f t="shared" si="14"/>
        <v>298.89149835736146</v>
      </c>
      <c r="CY8" s="59">
        <f ca="1">AVERAGE(OFFSET($CX$3,0,0,'Données projet'!$E$13+1,1))-AVERAGE(OFFSET($H$3,0,0,'Données projet'!$E$13+1,1))</f>
        <v>242.1473060698724</v>
      </c>
      <c r="CZ8" s="59">
        <f t="shared" si="42"/>
        <v>96.127995920458659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0</v>
      </c>
      <c r="EP8" s="59">
        <f t="shared" si="46"/>
        <v>0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</v>
      </c>
      <c r="N9" s="13">
        <f>IF('Données projet'!$A$36&gt;35,N8+M9-V8,IF(A9&lt;'Données projet'!$A$36,$K$205^A9,IF(A9='Données projet'!$A$36,'Données projet'!$B$36,N8+M9-V8)))</f>
        <v>7.9461874359862037</v>
      </c>
      <c r="O9" s="13">
        <f>N9*VLOOKUP('Données projet'!$B$9,Paramètres!$A$1:$I$89,3,0)*VLOOKUP('Données projet'!$B$9,Paramètres!$A$1:$I$89,5,0)</f>
        <v>4.75182008671975</v>
      </c>
      <c r="P9" s="13">
        <f t="shared" si="33"/>
        <v>1.8265247069585526</v>
      </c>
      <c r="Q9" s="20">
        <f t="shared" si="2"/>
        <v>11.457283848989711</v>
      </c>
      <c r="R9" s="59">
        <f t="shared" si="0"/>
        <v>304.79061718232305</v>
      </c>
      <c r="S9" s="59">
        <f ca="1">AVERAGE(OFFSET($R$3,0,0,'Données projet'!$E$9+1,1))-AVERAGE(OFFSET($H$3,0,0,'Données projet'!$E$9+1,1))</f>
        <v>179.86010141761648</v>
      </c>
      <c r="T9" s="59">
        <f t="shared" si="34"/>
        <v>367.01744242396057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6.45</v>
      </c>
      <c r="AI9" s="13">
        <f>IF('Données projet'!$A$62&gt;35,AI8+AH9-AQ8,IF(A9&lt;'Données projet'!$A$62,$AF$205^A9,IF(A9='Données projet'!$A$62,'Données projet'!$B$62,AI8+AH9-AQ8)))</f>
        <v>4.2971143726898138</v>
      </c>
      <c r="AJ9" s="13">
        <f>AI9*VLOOKUP('Données projet'!$B$10,Paramètres!$A$1:$I$89,3,0)*VLOOKUP('Données projet'!$B$10,Paramètres!$A$1:$I$89,5,0)</f>
        <v>2.5696743948685086</v>
      </c>
      <c r="AK9" s="13">
        <f t="shared" si="35"/>
        <v>1.0610121359980234</v>
      </c>
      <c r="AL9" s="20">
        <f t="shared" si="4"/>
        <v>6.3234457079258766</v>
      </c>
      <c r="AM9" s="59">
        <f t="shared" si="5"/>
        <v>299.6567790412592</v>
      </c>
      <c r="AN9" s="59">
        <f ca="1">AVERAGE(OFFSET($AM$3,0,0,'Données projet'!$E$10+1,1))-AVERAGE(OFFSET($H$3,0,0,'Données projet'!$E$10+1,1))</f>
        <v>318.09371753144256</v>
      </c>
      <c r="AO9" s="59">
        <f t="shared" si="36"/>
        <v>298.61479562586919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19.399999999999999</v>
      </c>
      <c r="BD9" s="12">
        <f>IF('Données projet'!$A$88&gt;35,BD8+BC9-BL8,IF(A9&lt;'Données projet'!$A$88,$BA$205^A9,IF(A9='Données projet'!$A$88,'Données projet'!$B$88,BD8+BC9-BL8)))</f>
        <v>23.587452465181155</v>
      </c>
      <c r="BE9" s="13">
        <f>BD9*VLOOKUP('Données projet'!$B$11,Paramètres!$A$1:$I$89,3,0)*VLOOKUP('Données projet'!$B$11,Paramètres!$A$1:$I$89,5,0)</f>
        <v>20.605998473582257</v>
      </c>
      <c r="BF9" s="13">
        <f t="shared" si="37"/>
        <v>6.6772381460914172</v>
      </c>
      <c r="BG9" s="20">
        <f t="shared" si="7"/>
        <v>47.518303779264976</v>
      </c>
      <c r="BH9" s="59">
        <f t="shared" si="8"/>
        <v>340.85163711259827</v>
      </c>
      <c r="BI9" s="59">
        <f ca="1">AVERAGE(OFFSET($BH$3,0,0,'Données projet'!$E$11+1,1))-AVERAGE(OFFSET($H$3,0,0,'Données projet'!$E$11+1,1))</f>
        <v>247.43282553724879</v>
      </c>
      <c r="BJ9" s="59">
        <f t="shared" si="38"/>
        <v>637.29471578895527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4.75</v>
      </c>
      <c r="BY9" s="12">
        <f>IF('Données projet'!$A$114&gt;35,BY8+BX9-CG8,IF(A9&lt;'Données projet'!$A$114,$BV$205^A9,IF(A9='Données projet'!$A$114,'Données projet'!$B$114,BY8+BX9-CG8)))</f>
        <v>3.920279951613006</v>
      </c>
      <c r="BZ9" s="13">
        <f>BY9*VLOOKUP('Données projet'!$B$12,Paramètres!$A$1:$I$89,3,0)*VLOOKUP('Données projet'!$B$12,Paramètres!$A$1:$I$89,5,0)</f>
        <v>3.1801310967484708</v>
      </c>
      <c r="CA9" s="13">
        <f t="shared" si="39"/>
        <v>1.2808919247663788</v>
      </c>
      <c r="CB9" s="20">
        <f t="shared" si="10"/>
        <v>7.7696150958050287</v>
      </c>
      <c r="CC9" s="59">
        <f t="shared" si="11"/>
        <v>301.10294842913834</v>
      </c>
      <c r="CD9" s="59">
        <f ca="1">AVERAGE(OFFSET($CC$3,0,0,'Données projet'!$E$12+1,1))-AVERAGE(OFFSET($H$3,0,0,'Données projet'!$E$12+1,1))</f>
        <v>230.68538392491388</v>
      </c>
      <c r="CE9" s="59">
        <f t="shared" si="40"/>
        <v>267.97457956620724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2.5760634728515348</v>
      </c>
      <c r="CV9" s="13">
        <f t="shared" si="41"/>
        <v>1.0633427661439394</v>
      </c>
      <c r="CW9" s="20">
        <f t="shared" si="13"/>
        <v>6.3386325329171171</v>
      </c>
      <c r="CX9" s="59">
        <f t="shared" si="14"/>
        <v>299.67196586625045</v>
      </c>
      <c r="CY9" s="59">
        <f ca="1">AVERAGE(OFFSET($CX$3,0,0,'Données projet'!$E$13+1,1))-AVERAGE(OFFSET($H$3,0,0,'Données projet'!$E$13+1,1))</f>
        <v>242.1473060698724</v>
      </c>
      <c r="CZ9" s="59">
        <f t="shared" si="42"/>
        <v>96.127995920458659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0</v>
      </c>
      <c r="EP9" s="59">
        <f t="shared" si="46"/>
        <v>0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</v>
      </c>
      <c r="N10" s="13">
        <f>IF('Données projet'!$A$36&gt;35,N9+M10-V9,IF(A10&lt;'Données projet'!$A$36,$K$205^A10,IF(A10='Données projet'!$A$36,'Données projet'!$B$36,N9+M10-V9)))</f>
        <v>11.224972160321823</v>
      </c>
      <c r="O10" s="13">
        <f>N10*VLOOKUP('Données projet'!$B$9,Paramètres!$A$1:$I$89,3,0)*VLOOKUP('Données projet'!$B$9,Paramètres!$A$1:$I$89,5,0)</f>
        <v>6.7125333518724508</v>
      </c>
      <c r="P10" s="13">
        <f t="shared" si="33"/>
        <v>2.4785000835126465</v>
      </c>
      <c r="Q10" s="20">
        <f t="shared" si="2"/>
        <v>16.007716566629046</v>
      </c>
      <c r="R10" s="59">
        <f t="shared" si="0"/>
        <v>309.34104989996234</v>
      </c>
      <c r="S10" s="59">
        <f ca="1">AVERAGE(OFFSET($R$3,0,0,'Données projet'!$E$9+1,1))-AVERAGE(OFFSET($H$3,0,0,'Données projet'!$E$9+1,1))</f>
        <v>179.86010141761648</v>
      </c>
      <c r="T10" s="59">
        <f t="shared" si="34"/>
        <v>367.01744242396057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6.45</v>
      </c>
      <c r="AI10" s="13">
        <f>IF('Données projet'!$A$62&gt;35,AI9+AH10-AQ9,IF(A10&lt;'Données projet'!$A$62,$AF$205^A10,IF(A10='Données projet'!$A$62,'Données projet'!$B$62,AI9+AH10-AQ9)))</f>
        <v>5.4790643181958227</v>
      </c>
      <c r="AJ10" s="13">
        <f>AI10*VLOOKUP('Données projet'!$B$10,Paramètres!$A$1:$I$89,3,0)*VLOOKUP('Données projet'!$B$10,Paramètres!$A$1:$I$89,5,0)</f>
        <v>3.2764804622811021</v>
      </c>
      <c r="AK10" s="13">
        <f t="shared" si="35"/>
        <v>1.3151224903608483</v>
      </c>
      <c r="AL10" s="20">
        <f t="shared" si="4"/>
        <v>7.9970418091847293</v>
      </c>
      <c r="AM10" s="59">
        <f t="shared" si="5"/>
        <v>301.33037514251805</v>
      </c>
      <c r="AN10" s="59">
        <f ca="1">AVERAGE(OFFSET($AM$3,0,0,'Données projet'!$E$10+1,1))-AVERAGE(OFFSET($H$3,0,0,'Données projet'!$E$10+1,1))</f>
        <v>318.09371753144256</v>
      </c>
      <c r="AO10" s="59">
        <f t="shared" si="36"/>
        <v>298.61479562586919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19.399999999999999</v>
      </c>
      <c r="BD10" s="12">
        <f>IF('Données projet'!$A$88&gt;35,BD9+BC10-BL9,IF(A10&lt;'Données projet'!$A$88,$BA$205^A10,IF(A10='Données projet'!$A$88,'Données projet'!$B$88,BD9+BC10-BL9)))</f>
        <v>39.944888290381613</v>
      </c>
      <c r="BE10" s="13">
        <f>BD10*VLOOKUP('Données projet'!$B$11,Paramètres!$A$1:$I$89,3,0)*VLOOKUP('Données projet'!$B$11,Paramètres!$A$1:$I$89,5,0)</f>
        <v>34.895854410477384</v>
      </c>
      <c r="BF10" s="13">
        <f t="shared" si="37"/>
        <v>10.63523343180144</v>
      </c>
      <c r="BG10" s="20">
        <f t="shared" si="7"/>
        <v>79.299977991968944</v>
      </c>
      <c r="BH10" s="59">
        <f t="shared" si="8"/>
        <v>372.63331132530226</v>
      </c>
      <c r="BI10" s="59">
        <f ca="1">AVERAGE(OFFSET($BH$3,0,0,'Données projet'!$E$11+1,1))-AVERAGE(OFFSET($H$3,0,0,'Données projet'!$E$11+1,1))</f>
        <v>247.43282553724879</v>
      </c>
      <c r="BJ10" s="59">
        <f t="shared" si="38"/>
        <v>637.29471578895527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4.75</v>
      </c>
      <c r="BY10" s="12">
        <f>IF('Données projet'!$A$114&gt;35,BY9+BX10-CG9,IF(A10&lt;'Données projet'!$A$114,$BV$205^A10,IF(A10='Données projet'!$A$114,'Données projet'!$B$114,BY9+BX10-CG9)))</f>
        <v>4.9226987771675601</v>
      </c>
      <c r="BZ10" s="13">
        <f>BY10*VLOOKUP('Données projet'!$B$12,Paramètres!$A$1:$I$89,3,0)*VLOOKUP('Données projet'!$B$12,Paramètres!$A$1:$I$89,5,0)</f>
        <v>3.993293248038325</v>
      </c>
      <c r="CA10" s="13">
        <f t="shared" si="39"/>
        <v>1.566348215309169</v>
      </c>
      <c r="CB10" s="20">
        <f t="shared" si="10"/>
        <v>9.683042215330218</v>
      </c>
      <c r="CC10" s="59">
        <f t="shared" si="11"/>
        <v>303.01637554866352</v>
      </c>
      <c r="CD10" s="59">
        <f ca="1">AVERAGE(OFFSET($CC$3,0,0,'Données projet'!$E$12+1,1))-AVERAGE(OFFSET($H$3,0,0,'Données projet'!$E$12+1,1))</f>
        <v>230.68538392491388</v>
      </c>
      <c r="CE10" s="59">
        <f t="shared" si="40"/>
        <v>267.97457956620724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2.9514906366424349</v>
      </c>
      <c r="CV10" s="13">
        <f t="shared" si="41"/>
        <v>1.1991697224077444</v>
      </c>
      <c r="CW10" s="20">
        <f t="shared" si="13"/>
        <v>7.2290667920123957</v>
      </c>
      <c r="CX10" s="59">
        <f t="shared" si="14"/>
        <v>300.56240012534573</v>
      </c>
      <c r="CY10" s="59">
        <f ca="1">AVERAGE(OFFSET($CX$3,0,0,'Données projet'!$E$13+1,1))-AVERAGE(OFFSET($H$3,0,0,'Données projet'!$E$13+1,1))</f>
        <v>242.1473060698724</v>
      </c>
      <c r="CZ10" s="59">
        <f t="shared" si="42"/>
        <v>96.127995920458659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0</v>
      </c>
      <c r="EP10" s="59">
        <f t="shared" si="46"/>
        <v>0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</v>
      </c>
      <c r="N11" s="13">
        <f>IF('Données projet'!$A$36&gt;35,N10+M11-V10,IF(A11&lt;'Données projet'!$A$36,$K$205^A11,IF(A11='Données projet'!$A$36,'Données projet'!$B$36,N10+M11-V10)))</f>
        <v>15.85666094778723</v>
      </c>
      <c r="O11" s="13">
        <f>N11*VLOOKUP('Données projet'!$B$9,Paramètres!$A$1:$I$89,3,0)*VLOOKUP('Données projet'!$B$9,Paramètres!$A$1:$I$89,5,0)</f>
        <v>9.482283246776765</v>
      </c>
      <c r="P11" s="13">
        <f t="shared" si="33"/>
        <v>3.3631971363810234</v>
      </c>
      <c r="Q11" s="20">
        <f t="shared" si="2"/>
        <v>22.372545000666481</v>
      </c>
      <c r="R11" s="59">
        <f t="shared" si="0"/>
        <v>315.70587833399981</v>
      </c>
      <c r="S11" s="59">
        <f ca="1">AVERAGE(OFFSET($R$3,0,0,'Données projet'!$E$9+1,1))-AVERAGE(OFFSET($H$3,0,0,'Données projet'!$E$9+1,1))</f>
        <v>179.86010141761648</v>
      </c>
      <c r="T11" s="59">
        <f t="shared" si="34"/>
        <v>367.01744242396057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6.45</v>
      </c>
      <c r="AI11" s="13">
        <f>IF('Données projet'!$A$62&gt;35,AI10+AH11-AQ10,IF(A11&lt;'Données projet'!$A$62,$AF$205^A11,IF(A11='Données projet'!$A$62,'Données projet'!$B$62,AI10+AH11-AQ10)))</f>
        <v>6.9861174730928317</v>
      </c>
      <c r="AJ11" s="13">
        <f>AI11*VLOOKUP('Données projet'!$B$10,Paramètres!$A$1:$I$89,3,0)*VLOOKUP('Données projet'!$B$10,Paramètres!$A$1:$I$89,5,0)</f>
        <v>4.1776982489095138</v>
      </c>
      <c r="AK11" s="13">
        <f t="shared" si="35"/>
        <v>1.6300917830935544</v>
      </c>
      <c r="AL11" s="20">
        <f t="shared" si="4"/>
        <v>10.115234305738676</v>
      </c>
      <c r="AM11" s="59">
        <f t="shared" si="5"/>
        <v>303.448567639072</v>
      </c>
      <c r="AN11" s="59">
        <f ca="1">AVERAGE(OFFSET($AM$3,0,0,'Données projet'!$E$10+1,1))-AVERAGE(OFFSET($H$3,0,0,'Données projet'!$E$10+1,1))</f>
        <v>318.09371753144256</v>
      </c>
      <c r="AO11" s="59">
        <f t="shared" si="36"/>
        <v>298.61479562586919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19.399999999999999</v>
      </c>
      <c r="BD11" s="12">
        <f>IF('Données projet'!$A$88&gt;35,BD10+BC11-BL10,IF(A11&lt;'Données projet'!$A$88,$BA$205^A11,IF(A11='Données projet'!$A$88,'Données projet'!$B$88,BD10+BC11-BL10)))</f>
        <v>67.645885153829894</v>
      </c>
      <c r="BE11" s="13">
        <f>BD11*VLOOKUP('Données projet'!$B$11,Paramètres!$A$1:$I$89,3,0)*VLOOKUP('Données projet'!$B$11,Paramètres!$A$1:$I$89,5,0)</f>
        <v>59.095445270385802</v>
      </c>
      <c r="BF11" s="13">
        <f t="shared" si="37"/>
        <v>16.939367396251399</v>
      </c>
      <c r="BG11" s="20">
        <f t="shared" si="7"/>
        <v>132.42729872772648</v>
      </c>
      <c r="BH11" s="59">
        <f t="shared" si="8"/>
        <v>425.76063206105982</v>
      </c>
      <c r="BI11" s="59">
        <f ca="1">AVERAGE(OFFSET($BH$3,0,0,'Données projet'!$E$11+1,1))-AVERAGE(OFFSET($H$3,0,0,'Données projet'!$E$11+1,1))</f>
        <v>247.43282553724879</v>
      </c>
      <c r="BJ11" s="59">
        <f t="shared" si="38"/>
        <v>637.29471578895527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4.75</v>
      </c>
      <c r="BY11" s="12">
        <f>IF('Données projet'!$A$114&gt;35,BY10+BX11-CG10,IF(A11&lt;'Données projet'!$A$114,$BV$205^A11,IF(A11='Données projet'!$A$114,'Données projet'!$B$114,BY10+BX11-CG10)))</f>
        <v>6.1814369253798551</v>
      </c>
      <c r="BZ11" s="13">
        <f>BY11*VLOOKUP('Données projet'!$B$12,Paramètres!$A$1:$I$89,3,0)*VLOOKUP('Données projet'!$B$12,Paramètres!$A$1:$I$89,5,0)</f>
        <v>5.0143816338681386</v>
      </c>
      <c r="CA11" s="13">
        <f t="shared" si="39"/>
        <v>1.9154205629407037</v>
      </c>
      <c r="CB11" s="20">
        <f t="shared" si="10"/>
        <v>12.069405492775401</v>
      </c>
      <c r="CC11" s="59">
        <f t="shared" si="11"/>
        <v>305.4027388261087</v>
      </c>
      <c r="CD11" s="59">
        <f ca="1">AVERAGE(OFFSET($CC$3,0,0,'Données projet'!$E$12+1,1))-AVERAGE(OFFSET($H$3,0,0,'Données projet'!$E$12+1,1))</f>
        <v>230.68538392491388</v>
      </c>
      <c r="CE11" s="59">
        <f t="shared" si="40"/>
        <v>267.97457956620724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3.3816313417716857</v>
      </c>
      <c r="CV11" s="13">
        <f t="shared" si="41"/>
        <v>1.3523466458084794</v>
      </c>
      <c r="CW11" s="20">
        <f t="shared" si="13"/>
        <v>8.2450116617021205</v>
      </c>
      <c r="CX11" s="59">
        <f t="shared" si="14"/>
        <v>301.57834499503542</v>
      </c>
      <c r="CY11" s="59">
        <f ca="1">AVERAGE(OFFSET($CX$3,0,0,'Données projet'!$E$13+1,1))-AVERAGE(OFFSET($H$3,0,0,'Données projet'!$E$13+1,1))</f>
        <v>242.1473060698724</v>
      </c>
      <c r="CZ11" s="59">
        <f t="shared" si="42"/>
        <v>96.127995920458659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0</v>
      </c>
      <c r="EP11" s="59">
        <f t="shared" si="46"/>
        <v>0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</v>
      </c>
      <c r="N12" s="13">
        <f>IF('Données projet'!$A$36&gt;35,N11+M12-V11,IF(A12&lt;'Données projet'!$A$36,$K$205^A12,IF(A12='Données projet'!$A$36,'Données projet'!$B$36,N11+M12-V11)))</f>
        <v>22.399493987330473</v>
      </c>
      <c r="O12" s="13">
        <f>N12*VLOOKUP('Données projet'!$B$9,Paramètres!$A$1:$I$89,3,0)*VLOOKUP('Données projet'!$B$9,Paramètres!$A$1:$I$89,5,0)</f>
        <v>13.394897404423624</v>
      </c>
      <c r="P12" s="13">
        <f t="shared" si="33"/>
        <v>4.5636855344103546</v>
      </c>
      <c r="Q12" s="20">
        <f t="shared" si="2"/>
        <v>31.277865285135846</v>
      </c>
      <c r="R12" s="59">
        <f t="shared" si="0"/>
        <v>324.61119861846919</v>
      </c>
      <c r="S12" s="59">
        <f ca="1">AVERAGE(OFFSET($R$3,0,0,'Données projet'!$E$9+1,1))-AVERAGE(OFFSET($H$3,0,0,'Données projet'!$E$9+1,1))</f>
        <v>179.86010141761648</v>
      </c>
      <c r="T12" s="59">
        <f t="shared" si="34"/>
        <v>367.01744242396057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6.45</v>
      </c>
      <c r="AI12" s="13">
        <f>IF('Données projet'!$A$62&gt;35,AI11+AH12-AQ11,IF(A12&lt;'Données projet'!$A$62,$AF$205^A12,IF(A12='Données projet'!$A$62,'Données projet'!$B$62,AI11+AH12-AQ11)))</f>
        <v>8.9076956417120581</v>
      </c>
      <c r="AJ12" s="13">
        <f>AI12*VLOOKUP('Données projet'!$B$10,Paramètres!$A$1:$I$89,3,0)*VLOOKUP('Données projet'!$B$10,Paramètres!$A$1:$I$89,5,0)</f>
        <v>5.3268019937438114</v>
      </c>
      <c r="AK12" s="13">
        <f t="shared" si="35"/>
        <v>2.0204956122224269</v>
      </c>
      <c r="AL12" s="20">
        <f t="shared" si="4"/>
        <v>12.796543330391197</v>
      </c>
      <c r="AM12" s="59">
        <f t="shared" si="5"/>
        <v>306.12987666372453</v>
      </c>
      <c r="AN12" s="59">
        <f ca="1">AVERAGE(OFFSET($AM$3,0,0,'Données projet'!$E$10+1,1))-AVERAGE(OFFSET($H$3,0,0,'Données projet'!$E$10+1,1))</f>
        <v>318.09371753144256</v>
      </c>
      <c r="AO12" s="59">
        <f t="shared" si="36"/>
        <v>298.61479562586919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19.399999999999999</v>
      </c>
      <c r="BD12" s="12">
        <f>IF('Données projet'!$A$88&gt;35,BD11+BC12-BL11,IF(A12&lt;'Données projet'!$A$88,$BA$205^A12,IF(A12='Données projet'!$A$88,'Données projet'!$B$88,BD11+BC12-BL11)))</f>
        <v>114.55698023186103</v>
      </c>
      <c r="BE12" s="13">
        <f>BD12*VLOOKUP('Données projet'!$B$11,Paramètres!$A$1:$I$89,3,0)*VLOOKUP('Données projet'!$B$11,Paramètres!$A$1:$I$89,5,0)</f>
        <v>100.07697793055381</v>
      </c>
      <c r="BF12" s="13">
        <f t="shared" si="37"/>
        <v>26.980335657435727</v>
      </c>
      <c r="BG12" s="20">
        <f t="shared" si="7"/>
        <v>221.2914878324151</v>
      </c>
      <c r="BH12" s="59">
        <f t="shared" si="8"/>
        <v>514.62482116574847</v>
      </c>
      <c r="BI12" s="59">
        <f ca="1">AVERAGE(OFFSET($BH$3,0,0,'Données projet'!$E$11+1,1))-AVERAGE(OFFSET($H$3,0,0,'Données projet'!$E$11+1,1))</f>
        <v>247.43282553724879</v>
      </c>
      <c r="BJ12" s="59">
        <f t="shared" si="38"/>
        <v>637.29471578895527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4.75</v>
      </c>
      <c r="BY12" s="12">
        <f>IF('Données projet'!$A$114&gt;35,BY11+BX12-CG11,IF(A12&lt;'Données projet'!$A$114,$BV$205^A12,IF(A12='Données projet'!$A$114,'Données projet'!$B$114,BY11+BX12-CG11)))</f>
        <v>7.7620354590201153</v>
      </c>
      <c r="BZ12" s="13">
        <f>BY12*VLOOKUP('Données projet'!$B$12,Paramètres!$A$1:$I$89,3,0)*VLOOKUP('Données projet'!$B$12,Paramètres!$A$1:$I$89,5,0)</f>
        <v>6.296563164357118</v>
      </c>
      <c r="CA12" s="13">
        <f t="shared" si="39"/>
        <v>2.3422862790518897</v>
      </c>
      <c r="CB12" s="20">
        <f t="shared" si="10"/>
        <v>15.045996113937354</v>
      </c>
      <c r="CC12" s="59">
        <f t="shared" si="11"/>
        <v>308.37932944727066</v>
      </c>
      <c r="CD12" s="59">
        <f ca="1">AVERAGE(OFFSET($CC$3,0,0,'Données projet'!$E$12+1,1))-AVERAGE(OFFSET($H$3,0,0,'Données projet'!$E$12+1,1))</f>
        <v>230.68538392491388</v>
      </c>
      <c r="CE12" s="59">
        <f t="shared" si="40"/>
        <v>267.97457956620724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3.8744593629005446</v>
      </c>
      <c r="CV12" s="13">
        <f t="shared" si="41"/>
        <v>1.5250897485615453</v>
      </c>
      <c r="CW12" s="20">
        <f t="shared" si="13"/>
        <v>9.4042147024631397</v>
      </c>
      <c r="CX12" s="59">
        <f t="shared" si="14"/>
        <v>302.73754803579646</v>
      </c>
      <c r="CY12" s="59">
        <f ca="1">AVERAGE(OFFSET($CX$3,0,0,'Données projet'!$E$13+1,1))-AVERAGE(OFFSET($H$3,0,0,'Données projet'!$E$13+1,1))</f>
        <v>242.1473060698724</v>
      </c>
      <c r="CZ12" s="59">
        <f t="shared" si="42"/>
        <v>96.127995920458659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0</v>
      </c>
      <c r="EP12" s="59">
        <f t="shared" si="46"/>
        <v>0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</v>
      </c>
      <c r="N13" s="13">
        <f>IF('Données projet'!$A$36&gt;35,N12+M13-V12,IF(A13&lt;'Données projet'!$A$36,$K$205^A13,IF(A13='Données projet'!$A$36,'Données projet'!$B$36,N12+M13-V12)))</f>
        <v>31.642054562468939</v>
      </c>
      <c r="O13" s="13">
        <f>N13*VLOOKUP('Données projet'!$B$9,Paramètres!$A$1:$I$89,3,0)*VLOOKUP('Données projet'!$B$9,Paramètres!$A$1:$I$89,5,0)</f>
        <v>18.921948628356425</v>
      </c>
      <c r="P13" s="13">
        <f t="shared" si="33"/>
        <v>6.1926865456948841</v>
      </c>
      <c r="Q13" s="20">
        <f t="shared" si="2"/>
        <v>43.741322928139361</v>
      </c>
      <c r="R13" s="59">
        <f t="shared" si="0"/>
        <v>337.07465626147268</v>
      </c>
      <c r="S13" s="59">
        <f ca="1">AVERAGE(OFFSET($R$3,0,0,'Données projet'!$E$9+1,1))-AVERAGE(OFFSET($H$3,0,0,'Données projet'!$E$9+1,1))</f>
        <v>179.86010141761648</v>
      </c>
      <c r="T13" s="59">
        <f t="shared" si="34"/>
        <v>367.01744242396057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6.45</v>
      </c>
      <c r="AI13" s="13">
        <f>IF('Données projet'!$A$62&gt;35,AI12+AH13-AQ12,IF(A13&lt;'Données projet'!$A$62,$AF$205^A13,IF(A13='Données projet'!$A$62,'Données projet'!$B$62,AI12+AH13-AQ12)))</f>
        <v>11.357816691600544</v>
      </c>
      <c r="AJ13" s="13">
        <f>AI13*VLOOKUP('Données projet'!$B$10,Paramètres!$A$1:$I$89,3,0)*VLOOKUP('Données projet'!$B$10,Paramètres!$A$1:$I$89,5,0)</f>
        <v>6.7919743815771252</v>
      </c>
      <c r="AK13" s="13">
        <f t="shared" si="35"/>
        <v>2.5044004033089347</v>
      </c>
      <c r="AL13" s="20">
        <f t="shared" si="4"/>
        <v>16.191186083676552</v>
      </c>
      <c r="AM13" s="59">
        <f t="shared" si="5"/>
        <v>309.52451941700986</v>
      </c>
      <c r="AN13" s="59">
        <f ca="1">AVERAGE(OFFSET($AM$3,0,0,'Données projet'!$E$10+1,1))-AVERAGE(OFFSET($H$3,0,0,'Données projet'!$E$10+1,1))</f>
        <v>318.09371753144256</v>
      </c>
      <c r="AO13" s="59">
        <f t="shared" si="36"/>
        <v>298.61479562586919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194</v>
      </c>
      <c r="BB13" s="12">
        <f>VLOOKUP(A13,'Données projet'!$A$87:$I$107,9,0)</f>
        <v>19.399999999999999</v>
      </c>
      <c r="BC13" s="12">
        <f t="array" ref="BC13">INDEX(BB:BB,MIN(IF(ISNUMBER(BB13:BB209),ROW(BB13:BB209),"")))</f>
        <v>19.399999999999999</v>
      </c>
      <c r="BD13" s="12">
        <f>IF('Données projet'!$A$88&gt;35,BD12+BC13-BL12,IF(A13&lt;'Données projet'!$A$88,$BA$205^A13,IF(A13='Données projet'!$A$88,'Données projet'!$B$88,BD12+BC13-BL12)))</f>
        <v>194</v>
      </c>
      <c r="BE13" s="13">
        <f>BD13*VLOOKUP('Données projet'!$B$11,Paramètres!$A$1:$I$89,3,0)*VLOOKUP('Données projet'!$B$11,Paramètres!$A$1:$I$89,5,0)</f>
        <v>169.47840000000002</v>
      </c>
      <c r="BF13" s="13">
        <f t="shared" si="37"/>
        <v>42.973181651930332</v>
      </c>
      <c r="BG13" s="20">
        <f t="shared" si="7"/>
        <v>370.01983804377869</v>
      </c>
      <c r="BH13" s="59">
        <f t="shared" si="8"/>
        <v>663.35317137711195</v>
      </c>
      <c r="BI13" s="59">
        <f ca="1">AVERAGE(OFFSET($BH$3,0,0,'Données projet'!$E$11+1,1))-AVERAGE(OFFSET($H$3,0,0,'Données projet'!$E$11+1,1))</f>
        <v>247.43282553724879</v>
      </c>
      <c r="BJ13" s="59">
        <f t="shared" si="38"/>
        <v>637.29471578895527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175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1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144.24639470487176</v>
      </c>
      <c r="BS13" s="22">
        <f t="shared" si="9"/>
        <v>144.24639470487176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4.75</v>
      </c>
      <c r="BY13" s="12">
        <f>IF('Données projet'!$A$114&gt;35,BY12+BX13-CG12,IF(A13&lt;'Données projet'!$A$114,$BV$205^A13,IF(A13='Données projet'!$A$114,'Données projet'!$B$114,BY12+BX13-CG12)))</f>
        <v>9.7467943448089507</v>
      </c>
      <c r="BZ13" s="13">
        <f>BY13*VLOOKUP('Données projet'!$B$12,Paramètres!$A$1:$I$89,3,0)*VLOOKUP('Données projet'!$B$12,Paramètres!$A$1:$I$89,5,0)</f>
        <v>7.9065995725090206</v>
      </c>
      <c r="CA13" s="13">
        <f t="shared" si="39"/>
        <v>2.8642821943039705</v>
      </c>
      <c r="CB13" s="20">
        <f t="shared" si="10"/>
        <v>18.759285743865959</v>
      </c>
      <c r="CC13" s="59">
        <f t="shared" si="11"/>
        <v>312.09261907719929</v>
      </c>
      <c r="CD13" s="59">
        <f ca="1">AVERAGE(OFFSET($CC$3,0,0,'Données projet'!$E$12+1,1))-AVERAGE(OFFSET($H$3,0,0,'Données projet'!$E$12+1,1))</f>
        <v>230.68538392491388</v>
      </c>
      <c r="CE13" s="59">
        <f t="shared" si="40"/>
        <v>267.97457956620724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4.4391105468353587</v>
      </c>
      <c r="CV13" s="13">
        <f t="shared" si="41"/>
        <v>1.7198983325588202</v>
      </c>
      <c r="CW13" s="20">
        <f t="shared" si="13"/>
        <v>10.72694046494486</v>
      </c>
      <c r="CX13" s="59">
        <f t="shared" si="14"/>
        <v>304.06027379827816</v>
      </c>
      <c r="CY13" s="59">
        <f ca="1">AVERAGE(OFFSET($CX$3,0,0,'Données projet'!$E$13+1,1))-AVERAGE(OFFSET($H$3,0,0,'Données projet'!$E$13+1,1))</f>
        <v>242.1473060698724</v>
      </c>
      <c r="CZ13" s="59">
        <f t="shared" si="42"/>
        <v>96.127995920458659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0</v>
      </c>
      <c r="EP13" s="59">
        <f t="shared" si="46"/>
        <v>0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</v>
      </c>
      <c r="N14" s="13">
        <f>IF('Données projet'!$A$36&gt;35,N13+M14-V13,IF(A14&lt;'Données projet'!$A$36,$K$205^A14,IF(A14='Données projet'!$A$36,'Données projet'!$B$36,N13+M14-V13)))</f>
        <v>44.698314055691078</v>
      </c>
      <c r="O14" s="13">
        <f>N14*VLOOKUP('Données projet'!$B$9,Paramètres!$A$1:$I$89,3,0)*VLOOKUP('Données projet'!$B$9,Paramètres!$A$1:$I$89,5,0)</f>
        <v>26.729591805303269</v>
      </c>
      <c r="P14" s="13">
        <f t="shared" si="33"/>
        <v>8.4031571334341084</v>
      </c>
      <c r="Q14" s="20">
        <f t="shared" si="2"/>
        <v>61.189537734967594</v>
      </c>
      <c r="R14" s="59">
        <f t="shared" si="0"/>
        <v>354.5228710683009</v>
      </c>
      <c r="S14" s="59">
        <f ca="1">AVERAGE(OFFSET($R$3,0,0,'Données projet'!$E$9+1,1))-AVERAGE(OFFSET($H$3,0,0,'Données projet'!$E$9+1,1))</f>
        <v>179.86010141761648</v>
      </c>
      <c r="T14" s="59">
        <f t="shared" si="34"/>
        <v>367.01744242396057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6.45</v>
      </c>
      <c r="AI14" s="13">
        <f>IF('Données projet'!$A$62&gt;35,AI13+AH14-AQ13,IF(A14&lt;'Données projet'!$A$62,$AF$205^A14,IF(A14='Données projet'!$A$62,'Données projet'!$B$62,AI13+AH14-AQ13)))</f>
        <v>14.481859864624445</v>
      </c>
      <c r="AJ14" s="13">
        <f>AI14*VLOOKUP('Données projet'!$B$10,Paramètres!$A$1:$I$89,3,0)*VLOOKUP('Données projet'!$B$10,Paramètres!$A$1:$I$89,5,0)</f>
        <v>8.6601521990454184</v>
      </c>
      <c r="AK14" s="13">
        <f t="shared" si="35"/>
        <v>3.1041994558924566</v>
      </c>
      <c r="AL14" s="20">
        <f t="shared" si="4"/>
        <v>20.489579132350134</v>
      </c>
      <c r="AM14" s="59">
        <f t="shared" si="5"/>
        <v>313.82291246568343</v>
      </c>
      <c r="AN14" s="59">
        <f ca="1">AVERAGE(OFFSET($AM$3,0,0,'Données projet'!$E$10+1,1))-AVERAGE(OFFSET($H$3,0,0,'Données projet'!$E$10+1,1))</f>
        <v>318.09371753144256</v>
      </c>
      <c r="AO14" s="59">
        <f t="shared" si="36"/>
        <v>298.61479562586919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28.7</v>
      </c>
      <c r="BD14" s="12">
        <f>IF('Données projet'!$A$88&gt;35,BD13+BC14-BL13,IF(A14&lt;'Données projet'!$A$88,$BA$205^A14,IF(A14='Données projet'!$A$88,'Données projet'!$B$88,BD13+BC14-BL13)))</f>
        <v>47.699999999999989</v>
      </c>
      <c r="BE14" s="13">
        <f>BD14*VLOOKUP('Données projet'!$B$11,Paramètres!$A$1:$I$89,3,0)*VLOOKUP('Données projet'!$B$11,Paramètres!$A$1:$I$89,5,0)</f>
        <v>41.670719999999996</v>
      </c>
      <c r="BF14" s="13">
        <f t="shared" si="37"/>
        <v>12.440411337011147</v>
      </c>
      <c r="BG14" s="20">
        <f t="shared" si="7"/>
        <v>94.243553745294392</v>
      </c>
      <c r="BH14" s="59">
        <f t="shared" si="8"/>
        <v>387.57688707862769</v>
      </c>
      <c r="BI14" s="59">
        <f ca="1">AVERAGE(OFFSET($BH$3,0,0,'Données projet'!$E$11+1,1))-AVERAGE(OFFSET($H$3,0,0,'Données projet'!$E$11+1,1))</f>
        <v>247.43282553724879</v>
      </c>
      <c r="BJ14" s="59">
        <f t="shared" si="38"/>
        <v>637.29471578895527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101.99760385752613</v>
      </c>
      <c r="BS14" s="22">
        <f t="shared" si="9"/>
        <v>101.99760385752613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4.75</v>
      </c>
      <c r="BY14" s="12">
        <f>IF('Données projet'!$A$114&gt;35,BY13+BX14-CG13,IF(A14&lt;'Données projet'!$A$114,$BV$205^A14,IF(A14='Données projet'!$A$114,'Données projet'!$B$114,BY13+BX14-CG13)))</f>
        <v>12.239057719016479</v>
      </c>
      <c r="BZ14" s="13">
        <f>BY14*VLOOKUP('Données projet'!$B$12,Paramètres!$A$1:$I$89,3,0)*VLOOKUP('Données projet'!$B$12,Paramètres!$A$1:$I$89,5,0)</f>
        <v>9.9283236216661681</v>
      </c>
      <c r="CA14" s="13">
        <f t="shared" si="39"/>
        <v>3.5026087809930875</v>
      </c>
      <c r="CB14" s="20">
        <f t="shared" si="10"/>
        <v>23.392207267964867</v>
      </c>
      <c r="CC14" s="59">
        <f t="shared" si="11"/>
        <v>316.72554060129818</v>
      </c>
      <c r="CD14" s="59">
        <f ca="1">AVERAGE(OFFSET($CC$3,0,0,'Données projet'!$E$12+1,1))-AVERAGE(OFFSET($H$3,0,0,'Données projet'!$E$12+1,1))</f>
        <v>230.68538392491388</v>
      </c>
      <c r="CE14" s="59">
        <f t="shared" si="40"/>
        <v>267.97457956620724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5.0860521691657636</v>
      </c>
      <c r="CV14" s="13">
        <f t="shared" si="41"/>
        <v>1.9395909500595778</v>
      </c>
      <c r="CW14" s="20">
        <f t="shared" si="13"/>
        <v>12.236328432650803</v>
      </c>
      <c r="CX14" s="59">
        <f t="shared" si="14"/>
        <v>305.56966176598411</v>
      </c>
      <c r="CY14" s="59">
        <f ca="1">AVERAGE(OFFSET($CX$3,0,0,'Données projet'!$E$13+1,1))-AVERAGE(OFFSET($H$3,0,0,'Données projet'!$E$13+1,1))</f>
        <v>242.1473060698724</v>
      </c>
      <c r="CZ14" s="59">
        <f t="shared" si="42"/>
        <v>96.127995920458659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0</v>
      </c>
      <c r="EP14" s="59">
        <f t="shared" si="46"/>
        <v>0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</v>
      </c>
      <c r="N15" s="13">
        <f>IF('Données projet'!$A$36&gt;35,N14+M15-V14,IF(A15&lt;'Données projet'!$A$36,$K$205^A15,IF(A15='Données projet'!$A$36,'Données projet'!$B$36,N14+M15-V14)))</f>
        <v>63.141894767824994</v>
      </c>
      <c r="O15" s="13">
        <f>N15*VLOOKUP('Données projet'!$B$9,Paramètres!$A$1:$I$89,3,0)*VLOOKUP('Données projet'!$B$9,Paramètres!$A$1:$I$89,5,0)</f>
        <v>37.758853071159351</v>
      </c>
      <c r="P15" s="13">
        <f t="shared" si="33"/>
        <v>11.402652029638778</v>
      </c>
      <c r="Q15" s="20">
        <f t="shared" si="2"/>
        <v>85.622954717223408</v>
      </c>
      <c r="R15" s="59">
        <f t="shared" si="0"/>
        <v>378.95628805055674</v>
      </c>
      <c r="S15" s="59">
        <f ca="1">AVERAGE(OFFSET($R$3,0,0,'Données projet'!$E$9+1,1))-AVERAGE(OFFSET($H$3,0,0,'Données projet'!$E$9+1,1))</f>
        <v>179.86010141761648</v>
      </c>
      <c r="T15" s="59">
        <f t="shared" si="34"/>
        <v>367.01744242396057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6.45</v>
      </c>
      <c r="AI15" s="13">
        <f>IF('Données projet'!$A$62&gt;35,AI14+AH15-AQ14,IF(A15&lt;'Données projet'!$A$62,$AF$205^A15,IF(A15='Données projet'!$A$62,'Données projet'!$B$62,AI14+AH15-AQ14)))</f>
        <v>18.465191931977376</v>
      </c>
      <c r="AJ15" s="13">
        <f>AI15*VLOOKUP('Données projet'!$B$10,Paramètres!$A$1:$I$89,3,0)*VLOOKUP('Données projet'!$B$10,Paramètres!$A$1:$I$89,5,0)</f>
        <v>11.042184775322472</v>
      </c>
      <c r="AK15" s="13">
        <f t="shared" si="35"/>
        <v>3.8476492214389557</v>
      </c>
      <c r="AL15" s="20">
        <f t="shared" si="4"/>
        <v>25.93312754435949</v>
      </c>
      <c r="AM15" s="59">
        <f t="shared" si="5"/>
        <v>319.26646087769279</v>
      </c>
      <c r="AN15" s="59">
        <f ca="1">AVERAGE(OFFSET($AM$3,0,0,'Données projet'!$E$10+1,1))-AVERAGE(OFFSET($H$3,0,0,'Données projet'!$E$10+1,1))</f>
        <v>318.09371753144256</v>
      </c>
      <c r="AO15" s="59">
        <f t="shared" si="36"/>
        <v>298.61479562586919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28.7</v>
      </c>
      <c r="BD15" s="12">
        <f>IF('Données projet'!$A$88&gt;35,BD14+BC15-BL14,IF(A15&lt;'Données projet'!$A$88,$BA$205^A15,IF(A15='Données projet'!$A$88,'Données projet'!$B$88,BD14+BC15-BL14)))</f>
        <v>76.399999999999991</v>
      </c>
      <c r="BE15" s="13">
        <f>BD15*VLOOKUP('Données projet'!$B$11,Paramètres!$A$1:$I$89,3,0)*VLOOKUP('Données projet'!$B$11,Paramètres!$A$1:$I$89,5,0)</f>
        <v>66.743040000000008</v>
      </c>
      <c r="BF15" s="13">
        <f t="shared" si="37"/>
        <v>18.862410507178108</v>
      </c>
      <c r="BG15" s="20">
        <f t="shared" si="7"/>
        <v>149.09615963333522</v>
      </c>
      <c r="BH15" s="59">
        <f t="shared" si="8"/>
        <v>442.42949296666853</v>
      </c>
      <c r="BI15" s="59">
        <f ca="1">AVERAGE(OFFSET($BH$3,0,0,'Données projet'!$E$11+1,1))-AVERAGE(OFFSET($H$3,0,0,'Données projet'!$E$11+1,1))</f>
        <v>247.43282553724879</v>
      </c>
      <c r="BJ15" s="59">
        <f t="shared" si="38"/>
        <v>637.29471578895527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72.123197352435895</v>
      </c>
      <c r="BS15" s="22">
        <f t="shared" si="9"/>
        <v>72.123197352435895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4.75</v>
      </c>
      <c r="BY15" s="12">
        <f>IF('Données projet'!$A$114&gt;35,BY14+BX15-CG14,IF(A15&lt;'Données projet'!$A$114,$BV$205^A15,IF(A15='Données projet'!$A$114,'Données projet'!$B$114,BY14+BX15-CG14)))</f>
        <v>15.368594899018873</v>
      </c>
      <c r="BZ15" s="13">
        <f>BY15*VLOOKUP('Données projet'!$B$12,Paramètres!$A$1:$I$89,3,0)*VLOOKUP('Données projet'!$B$12,Paramètres!$A$1:$I$89,5,0)</f>
        <v>12.467004182084111</v>
      </c>
      <c r="CA15" s="13">
        <f t="shared" si="39"/>
        <v>4.2831911943198415</v>
      </c>
      <c r="CB15" s="20">
        <f t="shared" si="10"/>
        <v>29.173256947236883</v>
      </c>
      <c r="CC15" s="59">
        <f t="shared" si="11"/>
        <v>322.50659028057021</v>
      </c>
      <c r="CD15" s="59">
        <f ca="1">AVERAGE(OFFSET($CC$3,0,0,'Données projet'!$E$12+1,1))-AVERAGE(OFFSET($H$3,0,0,'Données projet'!$E$12+1,1))</f>
        <v>230.68538392491388</v>
      </c>
      <c r="CE15" s="59">
        <f t="shared" si="40"/>
        <v>267.97457956620724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5.827276972391914</v>
      </c>
      <c r="CV15" s="13">
        <f t="shared" si="41"/>
        <v>2.1873461833967758</v>
      </c>
      <c r="CW15" s="20">
        <f t="shared" si="13"/>
        <v>13.958801996331969</v>
      </c>
      <c r="CX15" s="59">
        <f t="shared" si="14"/>
        <v>307.29213532966526</v>
      </c>
      <c r="CY15" s="59">
        <f ca="1">AVERAGE(OFFSET($CX$3,0,0,'Données projet'!$E$13+1,1))-AVERAGE(OFFSET($H$3,0,0,'Données projet'!$E$13+1,1))</f>
        <v>242.1473060698724</v>
      </c>
      <c r="CZ15" s="59">
        <f t="shared" si="42"/>
        <v>96.127995920458659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0</v>
      </c>
      <c r="EP15" s="59">
        <f t="shared" si="46"/>
        <v>0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</v>
      </c>
      <c r="N16" s="13">
        <f>IF('Données projet'!$A$36&gt;35,N15+M16-V15,IF(A16&lt;'Données projet'!$A$36,$K$205^A16,IF(A16='Données projet'!$A$36,'Données projet'!$B$36,N15+M16-V15)))</f>
        <v>89.195732749644165</v>
      </c>
      <c r="O16" s="13">
        <f>N16*VLOOKUP('Données projet'!$B$9,Paramètres!$A$1:$I$89,3,0)*VLOOKUP('Données projet'!$B$9,Paramètres!$A$1:$I$89,5,0)</f>
        <v>53.339048184287208</v>
      </c>
      <c r="P16" s="13">
        <f t="shared" si="33"/>
        <v>15.472812330463949</v>
      </c>
      <c r="Q16" s="20">
        <f t="shared" si="2"/>
        <v>119.84732372985827</v>
      </c>
      <c r="R16" s="59">
        <f t="shared" si="0"/>
        <v>413.18065706319157</v>
      </c>
      <c r="S16" s="59">
        <f ca="1">AVERAGE(OFFSET($R$3,0,0,'Données projet'!$E$9+1,1))-AVERAGE(OFFSET($H$3,0,0,'Données projet'!$E$9+1,1))</f>
        <v>179.86010141761648</v>
      </c>
      <c r="T16" s="59">
        <f t="shared" si="34"/>
        <v>367.01744242396057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6.45</v>
      </c>
      <c r="AI16" s="13">
        <f>IF('Données projet'!$A$62&gt;35,AI15+AH16-AQ15,IF(A16&lt;'Données projet'!$A$62,$AF$205^A16,IF(A16='Données projet'!$A$62,'Données projet'!$B$62,AI15+AH16-AQ15)))</f>
        <v>23.544166030611187</v>
      </c>
      <c r="AJ16" s="13">
        <f>AI16*VLOOKUP('Données projet'!$B$10,Paramètres!$A$1:$I$89,3,0)*VLOOKUP('Données projet'!$B$10,Paramètres!$A$1:$I$89,5,0)</f>
        <v>14.07941128630549</v>
      </c>
      <c r="AK16" s="13">
        <f t="shared" si="35"/>
        <v>4.7691537678539841</v>
      </c>
      <c r="AL16" s="20">
        <f t="shared" si="4"/>
        <v>32.827917469327751</v>
      </c>
      <c r="AM16" s="59">
        <f t="shared" si="5"/>
        <v>326.16125080266107</v>
      </c>
      <c r="AN16" s="59">
        <f ca="1">AVERAGE(OFFSET($AM$3,0,0,'Données projet'!$E$10+1,1))-AVERAGE(OFFSET($H$3,0,0,'Données projet'!$E$10+1,1))</f>
        <v>318.09371753144256</v>
      </c>
      <c r="AO16" s="59">
        <f t="shared" si="36"/>
        <v>298.61479562586919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28.7</v>
      </c>
      <c r="BD16" s="12">
        <f>IF('Données projet'!$A$88&gt;35,BD15+BC16-BL15,IF(A16&lt;'Données projet'!$A$88,$BA$205^A16,IF(A16='Données projet'!$A$88,'Données projet'!$B$88,BD15+BC16-BL15)))</f>
        <v>105.1</v>
      </c>
      <c r="BE16" s="13">
        <f>BD16*VLOOKUP('Données projet'!$B$11,Paramètres!$A$1:$I$89,3,0)*VLOOKUP('Données projet'!$B$11,Paramètres!$A$1:$I$89,5,0)</f>
        <v>91.815360000000013</v>
      </c>
      <c r="BF16" s="13">
        <f t="shared" si="37"/>
        <v>25.002535956869064</v>
      </c>
      <c r="BG16" s="20">
        <f t="shared" si="7"/>
        <v>203.45783545821362</v>
      </c>
      <c r="BH16" s="59">
        <f t="shared" si="8"/>
        <v>496.79116879154697</v>
      </c>
      <c r="BI16" s="59">
        <f ca="1">AVERAGE(OFFSET($BH$3,0,0,'Données projet'!$E$11+1,1))-AVERAGE(OFFSET($H$3,0,0,'Données projet'!$E$11+1,1))</f>
        <v>247.43282553724879</v>
      </c>
      <c r="BJ16" s="59">
        <f t="shared" si="38"/>
        <v>637.29471578895527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50.998801928763072</v>
      </c>
      <c r="BS16" s="22">
        <f t="shared" si="9"/>
        <v>50.998801928763072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4.75</v>
      </c>
      <c r="BY16" s="12">
        <f>IF('Données projet'!$A$114&gt;35,BY15+BX16-CG15,IF(A16&lt;'Données projet'!$A$114,$BV$205^A16,IF(A16='Données projet'!$A$114,'Données projet'!$B$114,BY15+BX16-CG15)))</f>
        <v>19.298357323959845</v>
      </c>
      <c r="BZ16" s="13">
        <f>BY16*VLOOKUP('Données projet'!$B$12,Paramètres!$A$1:$I$89,3,0)*VLOOKUP('Données projet'!$B$12,Paramètres!$A$1:$I$89,5,0)</f>
        <v>15.654827461196227</v>
      </c>
      <c r="CA16" s="13">
        <f t="shared" si="39"/>
        <v>5.2377322031087648</v>
      </c>
      <c r="CB16" s="20">
        <f t="shared" si="10"/>
        <v>36.387874748664522</v>
      </c>
      <c r="CC16" s="59">
        <f t="shared" si="11"/>
        <v>329.72120808199782</v>
      </c>
      <c r="CD16" s="59">
        <f ca="1">AVERAGE(OFFSET($CC$3,0,0,'Données projet'!$E$12+1,1))-AVERAGE(OFFSET($H$3,0,0,'Données projet'!$E$12+1,1))</f>
        <v>230.68538392491388</v>
      </c>
      <c r="CE16" s="59">
        <f t="shared" si="40"/>
        <v>267.97457956620724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6.6765254825411819</v>
      </c>
      <c r="CV16" s="13">
        <f t="shared" si="41"/>
        <v>2.4667486337124225</v>
      </c>
      <c r="CW16" s="20">
        <f t="shared" si="13"/>
        <v>15.924535752475025</v>
      </c>
      <c r="CX16" s="59">
        <f t="shared" si="14"/>
        <v>309.25786908580835</v>
      </c>
      <c r="CY16" s="59">
        <f ca="1">AVERAGE(OFFSET($CX$3,0,0,'Données projet'!$E$13+1,1))-AVERAGE(OFFSET($H$3,0,0,'Données projet'!$E$13+1,1))</f>
        <v>242.1473060698724</v>
      </c>
      <c r="CZ16" s="59">
        <f t="shared" si="42"/>
        <v>96.127995920458659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0</v>
      </c>
      <c r="EP16" s="59">
        <f t="shared" si="46"/>
        <v>0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126</v>
      </c>
      <c r="L17" s="12">
        <f>VLOOKUP(A17,'Données projet'!$A$35:$I$55,9,0)</f>
        <v>9</v>
      </c>
      <c r="M17" s="12">
        <f t="array" ref="M17">INDEX(L:L,MIN(IF(ISNUMBER(L17:L213),ROW(L17:L213),"")))</f>
        <v>9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75.347999999999999</v>
      </c>
      <c r="P17" s="13">
        <f t="shared" si="33"/>
        <v>20.99581051771704</v>
      </c>
      <c r="Q17" s="20">
        <f t="shared" si="2"/>
        <v>167.79880331835713</v>
      </c>
      <c r="R17" s="59">
        <f t="shared" si="0"/>
        <v>461.13213665169042</v>
      </c>
      <c r="S17" s="59">
        <f ca="1">AVERAGE(OFFSET($R$3,0,0,'Données projet'!$E$9+1,1))-AVERAGE(OFFSET($H$3,0,0,'Données projet'!$E$9+1,1))</f>
        <v>179.86010141761648</v>
      </c>
      <c r="T17" s="59">
        <f t="shared" si="34"/>
        <v>367.01744242396057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6.40031282288383</v>
      </c>
      <c r="AB17" s="21">
        <f>EXP(-LN(2)/2)*AB16+(1-EXP(-LN(2)/2))/(LN(2)/2)*V17*Y17*VLOOKUP('Données projet'!$B$9,Paramètres!$A$1:$I$89,3,0)*0.475*44/12</f>
        <v>12.187348450574879</v>
      </c>
      <c r="AC17" s="22">
        <f t="shared" si="3"/>
        <v>18.587661273458707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6.45</v>
      </c>
      <c r="AI17" s="13">
        <f>IF('Données projet'!$A$62&gt;35,AI16+AH17-AQ16,IF(A17&lt;'Données projet'!$A$62,$AF$205^A17,IF(A17='Données projet'!$A$62,'Données projet'!$B$62,AI16+AH17-AQ16)))</f>
        <v>30.020145802926649</v>
      </c>
      <c r="AJ17" s="13">
        <f>AI17*VLOOKUP('Données projet'!$B$10,Paramètres!$A$1:$I$89,3,0)*VLOOKUP('Données projet'!$B$10,Paramètres!$A$1:$I$89,5,0)</f>
        <v>17.952047190150136</v>
      </c>
      <c r="AK17" s="13">
        <f t="shared" si="35"/>
        <v>5.9113568707621607</v>
      </c>
      <c r="AL17" s="20">
        <f t="shared" si="4"/>
        <v>41.562095406088915</v>
      </c>
      <c r="AM17" s="59">
        <f t="shared" si="5"/>
        <v>334.89542873942224</v>
      </c>
      <c r="AN17" s="59">
        <f ca="1">AVERAGE(OFFSET($AM$3,0,0,'Données projet'!$E$10+1,1))-AVERAGE(OFFSET($H$3,0,0,'Données projet'!$E$10+1,1))</f>
        <v>318.09371753144256</v>
      </c>
      <c r="AO17" s="59">
        <f t="shared" si="36"/>
        <v>298.61479562586919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28.7</v>
      </c>
      <c r="BD17" s="12">
        <f>IF('Données projet'!$A$88&gt;35,BD16+BC17-BL16,IF(A17&lt;'Données projet'!$A$88,$BA$205^A17,IF(A17='Données projet'!$A$88,'Données projet'!$B$88,BD16+BC17-BL16)))</f>
        <v>133.79999999999998</v>
      </c>
      <c r="BE17" s="13">
        <f>BD17*VLOOKUP('Données projet'!$B$11,Paramètres!$A$1:$I$89,3,0)*VLOOKUP('Données projet'!$B$11,Paramètres!$A$1:$I$89,5,0)</f>
        <v>116.88768</v>
      </c>
      <c r="BF17" s="13">
        <f t="shared" si="37"/>
        <v>30.947995316838725</v>
      </c>
      <c r="BG17" s="20">
        <f t="shared" si="7"/>
        <v>257.48046784349407</v>
      </c>
      <c r="BH17" s="59">
        <f t="shared" si="8"/>
        <v>550.81380117682738</v>
      </c>
      <c r="BI17" s="59">
        <f ca="1">AVERAGE(OFFSET($BH$3,0,0,'Données projet'!$E$11+1,1))-AVERAGE(OFFSET($H$3,0,0,'Données projet'!$E$11+1,1))</f>
        <v>247.43282553724879</v>
      </c>
      <c r="BJ17" s="59">
        <f t="shared" si="38"/>
        <v>637.29471578895527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36.061598676217947</v>
      </c>
      <c r="BS17" s="22">
        <f t="shared" si="9"/>
        <v>36.061598676217947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4.75</v>
      </c>
      <c r="BY17" s="12">
        <f>IF('Données projet'!$A$114&gt;35,BY16+BX17-CG16,IF(A17&lt;'Données projet'!$A$114,$BV$205^A17,IF(A17='Données projet'!$A$114,'Données projet'!$B$114,BY16+BX17-CG16)))</f>
        <v>24.232963250726986</v>
      </c>
      <c r="BZ17" s="13">
        <f>BY17*VLOOKUP('Données projet'!$B$12,Paramètres!$A$1:$I$89,3,0)*VLOOKUP('Données projet'!$B$12,Paramètres!$A$1:$I$89,5,0)</f>
        <v>19.657779788989732</v>
      </c>
      <c r="CA17" s="13">
        <f t="shared" si="39"/>
        <v>6.4049997739685294</v>
      </c>
      <c r="CB17" s="20">
        <f t="shared" si="10"/>
        <v>45.392674405485643</v>
      </c>
      <c r="CC17" s="59">
        <f t="shared" si="11"/>
        <v>338.72600773881896</v>
      </c>
      <c r="CD17" s="59">
        <f ca="1">AVERAGE(OFFSET($CC$3,0,0,'Données projet'!$E$12+1,1))-AVERAGE(OFFSET($H$3,0,0,'Données projet'!$E$12+1,1))</f>
        <v>230.68538392491388</v>
      </c>
      <c r="CE17" s="59">
        <f t="shared" si="40"/>
        <v>267.97457956620724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7.6495407254899579</v>
      </c>
      <c r="CV17" s="13">
        <f t="shared" si="41"/>
        <v>2.7818407841015893</v>
      </c>
      <c r="CW17" s="20">
        <f t="shared" si="13"/>
        <v>18.16798946253861</v>
      </c>
      <c r="CX17" s="59">
        <f t="shared" si="14"/>
        <v>311.50132279587194</v>
      </c>
      <c r="CY17" s="59">
        <f ca="1">AVERAGE(OFFSET($CX$3,0,0,'Données projet'!$E$13+1,1))-AVERAGE(OFFSET($H$3,0,0,'Données projet'!$E$13+1,1))</f>
        <v>242.1473060698724</v>
      </c>
      <c r="CZ17" s="59">
        <f t="shared" si="42"/>
        <v>96.127995920458659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0</v>
      </c>
      <c r="EP17" s="59">
        <f t="shared" si="46"/>
        <v>0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179.86010141761648</v>
      </c>
      <c r="T18" s="59">
        <f t="shared" si="34"/>
        <v>367.01744242396057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6.225295932164248</v>
      </c>
      <c r="AB18" s="21">
        <f>EXP(-LN(2)/2)*AB17+(1-EXP(-LN(2)/2))/(LN(2)/2)*V18*Y18*VLOOKUP('Données projet'!$B$9,Paramètres!$A$1:$I$89,3,0)*0.475*44/12</f>
        <v>8.6177567340848604</v>
      </c>
      <c r="AC18" s="22">
        <f t="shared" si="3"/>
        <v>14.843052666249108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6.45</v>
      </c>
      <c r="AI18" s="13">
        <f>IF('Données projet'!$A$62&gt;35,AI17+AH18-AQ17,IF(A18&lt;'Données projet'!$A$62,$AF$205^A18,IF(A18='Données projet'!$A$62,'Données projet'!$B$62,AI17+AH18-AQ17)))</f>
        <v>38.277386969547301</v>
      </c>
      <c r="AJ18" s="13">
        <f>AI18*VLOOKUP('Données projet'!$B$10,Paramètres!$A$1:$I$89,3,0)*VLOOKUP('Données projet'!$B$10,Paramètres!$A$1:$I$89,5,0)</f>
        <v>22.889877407789285</v>
      </c>
      <c r="AK18" s="13">
        <f t="shared" si="35"/>
        <v>7.3271154075686509</v>
      </c>
      <c r="AL18" s="20">
        <f t="shared" si="4"/>
        <v>52.627929153415074</v>
      </c>
      <c r="AM18" s="59">
        <f t="shared" si="5"/>
        <v>345.96126248674841</v>
      </c>
      <c r="AN18" s="59">
        <f ca="1">AVERAGE(OFFSET($AM$3,0,0,'Données projet'!$E$10+1,1))-AVERAGE(OFFSET($H$3,0,0,'Données projet'!$E$10+1,1))</f>
        <v>318.09371753144256</v>
      </c>
      <c r="AO18" s="59">
        <f t="shared" si="36"/>
        <v>298.61479562586919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28.7</v>
      </c>
      <c r="BD18" s="12">
        <f>IF('Données projet'!$A$88&gt;35,BD17+BC18-BL17,IF(A18&lt;'Données projet'!$A$88,$BA$205^A18,IF(A18='Données projet'!$A$88,'Données projet'!$B$88,BD17+BC18-BL17)))</f>
        <v>162.49999999999997</v>
      </c>
      <c r="BE18" s="13">
        <f>BD18*VLOOKUP('Données projet'!$B$11,Paramètres!$A$1:$I$89,3,0)*VLOOKUP('Données projet'!$B$11,Paramètres!$A$1:$I$89,5,0)</f>
        <v>141.95999999999998</v>
      </c>
      <c r="BF18" s="13">
        <f t="shared" si="37"/>
        <v>36.745650011720485</v>
      </c>
      <c r="BG18" s="20">
        <f t="shared" si="7"/>
        <v>311.24567377041313</v>
      </c>
      <c r="BH18" s="59">
        <f t="shared" si="8"/>
        <v>604.57900710374645</v>
      </c>
      <c r="BI18" s="59">
        <f ca="1">AVERAGE(OFFSET($BH$3,0,0,'Données projet'!$E$11+1,1))-AVERAGE(OFFSET($H$3,0,0,'Données projet'!$E$11+1,1))</f>
        <v>247.43282553724879</v>
      </c>
      <c r="BJ18" s="59">
        <f t="shared" si="38"/>
        <v>637.29471578895527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25.499400964381536</v>
      </c>
      <c r="BS18" s="22">
        <f t="shared" si="9"/>
        <v>25.499400964381536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4.75</v>
      </c>
      <c r="BY18" s="12">
        <f>IF('Données projet'!$A$114&gt;35,BY17+BX18-CG17,IF(A18&lt;'Données projet'!$A$114,$BV$205^A18,IF(A18='Données projet'!$A$114,'Données projet'!$B$114,BY17+BX18-CG17)))</f>
        <v>30.429351993705815</v>
      </c>
      <c r="BZ18" s="13">
        <f>BY18*VLOOKUP('Données projet'!$B$12,Paramètres!$A$1:$I$89,3,0)*VLOOKUP('Données projet'!$B$12,Paramètres!$A$1:$I$89,5,0)</f>
        <v>24.684290337294158</v>
      </c>
      <c r="CA18" s="13">
        <f t="shared" si="39"/>
        <v>7.8324016031571553</v>
      </c>
      <c r="CB18" s="20">
        <f t="shared" si="10"/>
        <v>56.633238462952697</v>
      </c>
      <c r="CC18" s="59">
        <f t="shared" si="11"/>
        <v>349.96657179628602</v>
      </c>
      <c r="CD18" s="59">
        <f ca="1">AVERAGE(OFFSET($CC$3,0,0,'Données projet'!$E$12+1,1))-AVERAGE(OFFSET($H$3,0,0,'Données projet'!$E$12+1,1))</f>
        <v>230.68538392491388</v>
      </c>
      <c r="CE18" s="59">
        <f t="shared" si="40"/>
        <v>267.97457956620724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8.7643600648188649</v>
      </c>
      <c r="CV18" s="13">
        <f t="shared" si="41"/>
        <v>3.1371814875374633</v>
      </c>
      <c r="CW18" s="20">
        <f t="shared" si="13"/>
        <v>20.728518203687273</v>
      </c>
      <c r="CX18" s="59">
        <f t="shared" si="14"/>
        <v>314.06185153702057</v>
      </c>
      <c r="CY18" s="59">
        <f ca="1">AVERAGE(OFFSET($CX$3,0,0,'Données projet'!$E$13+1,1))-AVERAGE(OFFSET($H$3,0,0,'Données projet'!$E$13+1,1))</f>
        <v>242.1473060698724</v>
      </c>
      <c r="CZ18" s="59">
        <f t="shared" si="42"/>
        <v>96.127995920458659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0</v>
      </c>
      <c r="EP18" s="59">
        <f t="shared" si="46"/>
        <v>0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</v>
      </c>
      <c r="N19" s="13">
        <f>IF('Données projet'!$A$36&gt;35,N18+M19-V18,IF(A19&lt;'Données projet'!$A$36,$K$205^A19,IF(A19='Données projet'!$A$36,'Données projet'!$B$36,N18+M19-V18)))</f>
        <v>130</v>
      </c>
      <c r="O19" s="13">
        <f>N19*VLOOKUP('Données projet'!$B$9,Paramètres!$A$1:$I$89,3,0)*VLOOKUP('Données projet'!$B$9,Paramètres!$A$1:$I$89,5,0)</f>
        <v>77.740000000000009</v>
      </c>
      <c r="P19" s="13">
        <f t="shared" si="33"/>
        <v>21.583684155853913</v>
      </c>
      <c r="Q19" s="20">
        <f t="shared" si="2"/>
        <v>172.98874990477893</v>
      </c>
      <c r="R19" s="59">
        <f t="shared" si="0"/>
        <v>466.32208323811221</v>
      </c>
      <c r="S19" s="59">
        <f ca="1">AVERAGE(OFFSET($R$3,0,0,'Données projet'!$E$9+1,1))-AVERAGE(OFFSET($H$3,0,0,'Données projet'!$E$9+1,1))</f>
        <v>179.86010141761648</v>
      </c>
      <c r="T19" s="59">
        <f t="shared" si="34"/>
        <v>367.01744242396057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6.0550648875251314</v>
      </c>
      <c r="AB19" s="21">
        <f>EXP(-LN(2)/2)*AB18+(1-EXP(-LN(2)/2))/(LN(2)/2)*V19*Y19*VLOOKUP('Données projet'!$B$9,Paramètres!$A$1:$I$89,3,0)*0.475*44/12</f>
        <v>6.0936742252874403</v>
      </c>
      <c r="AC19" s="22">
        <f t="shared" si="3"/>
        <v>12.148739112812571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6.45</v>
      </c>
      <c r="AI19" s="13">
        <f>IF('Données projet'!$A$62&gt;35,AI18+AH19-AQ18,IF(A19&lt;'Données projet'!$A$62,$AF$205^A19,IF(A19='Données projet'!$A$62,'Données projet'!$B$62,AI18+AH19-AQ18)))</f>
        <v>48.805837347852972</v>
      </c>
      <c r="AJ19" s="13">
        <f>AI19*VLOOKUP('Données projet'!$B$10,Paramètres!$A$1:$I$89,3,0)*VLOOKUP('Données projet'!$B$10,Paramètres!$A$1:$I$89,5,0)</f>
        <v>29.18589073401608</v>
      </c>
      <c r="AK19" s="13">
        <f t="shared" si="35"/>
        <v>9.0819453755814319</v>
      </c>
      <c r="AL19" s="20">
        <f t="shared" si="4"/>
        <v>66.649814557548993</v>
      </c>
      <c r="AM19" s="59">
        <f t="shared" si="5"/>
        <v>359.98314789088232</v>
      </c>
      <c r="AN19" s="59">
        <f ca="1">AVERAGE(OFFSET($AM$3,0,0,'Données projet'!$E$10+1,1))-AVERAGE(OFFSET($H$3,0,0,'Données projet'!$E$10+1,1))</f>
        <v>318.09371753144256</v>
      </c>
      <c r="AO19" s="59">
        <f t="shared" si="36"/>
        <v>298.61479562586919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28.7</v>
      </c>
      <c r="BD19" s="12">
        <f>IF('Données projet'!$A$88&gt;35,BD18+BC19-BL18,IF(A19&lt;'Données projet'!$A$88,$BA$205^A19,IF(A19='Données projet'!$A$88,'Données projet'!$B$88,BD18+BC19-BL18)))</f>
        <v>191.19999999999996</v>
      </c>
      <c r="BE19" s="13">
        <f>BD19*VLOOKUP('Données projet'!$B$11,Paramètres!$A$1:$I$89,3,0)*VLOOKUP('Données projet'!$B$11,Paramètres!$A$1:$I$89,5,0)</f>
        <v>167.03232</v>
      </c>
      <c r="BF19" s="13">
        <f t="shared" si="37"/>
        <v>42.424682267054841</v>
      </c>
      <c r="BG19" s="20">
        <f t="shared" si="7"/>
        <v>364.80427894845383</v>
      </c>
      <c r="BH19" s="59">
        <f t="shared" si="8"/>
        <v>658.13761228178714</v>
      </c>
      <c r="BI19" s="59">
        <f ca="1">AVERAGE(OFFSET($BH$3,0,0,'Données projet'!$E$11+1,1))-AVERAGE(OFFSET($H$3,0,0,'Données projet'!$E$11+1,1))</f>
        <v>247.43282553724879</v>
      </c>
      <c r="BJ19" s="59">
        <f t="shared" si="38"/>
        <v>637.29471578895527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18.030799338108974</v>
      </c>
      <c r="BS19" s="22">
        <f t="shared" si="9"/>
        <v>18.030799338108974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4.75</v>
      </c>
      <c r="BY19" s="12">
        <f>IF('Données projet'!$A$114&gt;35,BY18+BX19-CG18,IF(A19&lt;'Données projet'!$A$114,$BV$205^A19,IF(A19='Données projet'!$A$114,'Données projet'!$B$114,BY18+BX19-CG18)))</f>
        <v>38.21016246244956</v>
      </c>
      <c r="BZ19" s="13">
        <f>BY19*VLOOKUP('Données projet'!$B$12,Paramètres!$A$1:$I$89,3,0)*VLOOKUP('Données projet'!$B$12,Paramètres!$A$1:$I$89,5,0)</f>
        <v>30.996083789539089</v>
      </c>
      <c r="CA19" s="13">
        <f t="shared" si="39"/>
        <v>9.5779105445820392</v>
      </c>
      <c r="CB19" s="20">
        <f t="shared" si="10"/>
        <v>70.666373465260961</v>
      </c>
      <c r="CC19" s="59">
        <f t="shared" si="11"/>
        <v>363.99970679859427</v>
      </c>
      <c r="CD19" s="59">
        <f ca="1">AVERAGE(OFFSET($CC$3,0,0,'Données projet'!$E$12+1,1))-AVERAGE(OFFSET($H$3,0,0,'Données projet'!$E$12+1,1))</f>
        <v>230.68538392491388</v>
      </c>
      <c r="CE19" s="59">
        <f t="shared" si="40"/>
        <v>267.97457956620724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10.041649571173666</v>
      </c>
      <c r="CV19" s="13">
        <f t="shared" si="41"/>
        <v>3.537911925799258</v>
      </c>
      <c r="CW19" s="20">
        <f t="shared" si="13"/>
        <v>23.651069607227843</v>
      </c>
      <c r="CX19" s="59">
        <f t="shared" si="14"/>
        <v>316.98440294056115</v>
      </c>
      <c r="CY19" s="59">
        <f ca="1">AVERAGE(OFFSET($CX$3,0,0,'Données projet'!$E$13+1,1))-AVERAGE(OFFSET($H$3,0,0,'Données projet'!$E$13+1,1))</f>
        <v>242.1473060698724</v>
      </c>
      <c r="CZ19" s="59">
        <f t="shared" si="42"/>
        <v>96.127995920458659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0</v>
      </c>
      <c r="EP19" s="59">
        <f t="shared" si="46"/>
        <v>0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</v>
      </c>
      <c r="N20" s="13">
        <f>IF('Données projet'!$A$36&gt;35,N19+M20-V19,IF(A20&lt;'Données projet'!$A$36,$K$205^A20,IF(A20='Données projet'!$A$36,'Données projet'!$B$36,N19+M20-V19)))</f>
        <v>150</v>
      </c>
      <c r="O20" s="13">
        <f>N20*VLOOKUP('Données projet'!$B$9,Paramètres!$A$1:$I$89,3,0)*VLOOKUP('Données projet'!$B$9,Paramètres!$A$1:$I$89,5,0)</f>
        <v>89.7</v>
      </c>
      <c r="P20" s="13">
        <f t="shared" si="33"/>
        <v>24.492858164013299</v>
      </c>
      <c r="Q20" s="20">
        <f t="shared" si="2"/>
        <v>198.88589463565651</v>
      </c>
      <c r="R20" s="59">
        <f t="shared" si="0"/>
        <v>492.2192279689898</v>
      </c>
      <c r="S20" s="59">
        <f ca="1">AVERAGE(OFFSET($R$3,0,0,'Données projet'!$E$9+1,1))-AVERAGE(OFFSET($H$3,0,0,'Données projet'!$E$9+1,1))</f>
        <v>179.86010141761648</v>
      </c>
      <c r="T20" s="59">
        <f t="shared" si="34"/>
        <v>367.01744242396057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5.8894888197537334</v>
      </c>
      <c r="AB20" s="21">
        <f>EXP(-LN(2)/2)*AB19+(1-EXP(-LN(2)/2))/(LN(2)/2)*V20*Y20*VLOOKUP('Données projet'!$B$9,Paramètres!$A$1:$I$89,3,0)*0.475*44/12</f>
        <v>4.3088783670424311</v>
      </c>
      <c r="AC20" s="22">
        <f t="shared" si="3"/>
        <v>10.198367186796165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6.45</v>
      </c>
      <c r="AI20" s="13">
        <f>IF('Données projet'!$A$62&gt;35,AI19+AH20-AQ19,IF(A20&lt;'Données projet'!$A$62,$AF$205^A20,IF(A20='Données projet'!$A$62,'Données projet'!$B$62,AI19+AH20-AQ19)))</f>
        <v>62.230208167557464</v>
      </c>
      <c r="AJ20" s="13">
        <f>AI20*VLOOKUP('Données projet'!$B$10,Paramètres!$A$1:$I$89,3,0)*VLOOKUP('Données projet'!$B$10,Paramètres!$A$1:$I$89,5,0)</f>
        <v>37.21366448419937</v>
      </c>
      <c r="AK20" s="13">
        <f t="shared" si="35"/>
        <v>11.25705372674275</v>
      </c>
      <c r="AL20" s="20">
        <f t="shared" si="4"/>
        <v>84.419834217390857</v>
      </c>
      <c r="AM20" s="59">
        <f t="shared" si="5"/>
        <v>377.75316755072419</v>
      </c>
      <c r="AN20" s="59">
        <f ca="1">AVERAGE(OFFSET($AM$3,0,0,'Données projet'!$E$10+1,1))-AVERAGE(OFFSET($H$3,0,0,'Données projet'!$E$10+1,1))</f>
        <v>318.09371753144256</v>
      </c>
      <c r="AO20" s="59">
        <f t="shared" si="36"/>
        <v>298.61479562586919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28.7</v>
      </c>
      <c r="BD20" s="12">
        <f>IF('Données projet'!$A$88&gt;35,BD19+BC20-BL19,IF(A20&lt;'Données projet'!$A$88,$BA$205^A20,IF(A20='Données projet'!$A$88,'Données projet'!$B$88,BD19+BC20-BL19)))</f>
        <v>219.89999999999995</v>
      </c>
      <c r="BE20" s="13">
        <f>BD20*VLOOKUP('Données projet'!$B$11,Paramètres!$A$1:$I$89,3,0)*VLOOKUP('Données projet'!$B$11,Paramètres!$A$1:$I$89,5,0)</f>
        <v>192.10463999999996</v>
      </c>
      <c r="BF20" s="13">
        <f t="shared" si="37"/>
        <v>48.004960126879922</v>
      </c>
      <c r="BG20" s="20">
        <f t="shared" si="7"/>
        <v>418.19088688764913</v>
      </c>
      <c r="BH20" s="59">
        <f t="shared" si="8"/>
        <v>711.52422022098244</v>
      </c>
      <c r="BI20" s="59">
        <f ca="1">AVERAGE(OFFSET($BH$3,0,0,'Données projet'!$E$11+1,1))-AVERAGE(OFFSET($H$3,0,0,'Données projet'!$E$11+1,1))</f>
        <v>247.43282553724879</v>
      </c>
      <c r="BJ20" s="59">
        <f t="shared" si="38"/>
        <v>637.29471578895527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12.749700482190768</v>
      </c>
      <c r="BS20" s="22">
        <f t="shared" si="9"/>
        <v>12.749700482190768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4.75</v>
      </c>
      <c r="BY20" s="12">
        <f>IF('Données projet'!$A$114&gt;35,BY19+BX20-CG19,IF(A20&lt;'Données projet'!$A$114,$BV$205^A20,IF(A20='Données projet'!$A$114,'Données projet'!$B$114,BY19+BX20-CG19)))</f>
        <v>47.980532602494719</v>
      </c>
      <c r="BZ20" s="13">
        <f>BY20*VLOOKUP('Données projet'!$B$12,Paramètres!$A$1:$I$89,3,0)*VLOOKUP('Données projet'!$B$12,Paramètres!$A$1:$I$89,5,0)</f>
        <v>38.92180804714372</v>
      </c>
      <c r="CA20" s="13">
        <f t="shared" si="39"/>
        <v>11.712419133747929</v>
      </c>
      <c r="CB20" s="20">
        <f t="shared" si="10"/>
        <v>88.187945673386295</v>
      </c>
      <c r="CC20" s="59">
        <f t="shared" si="11"/>
        <v>381.52127900671962</v>
      </c>
      <c r="CD20" s="59">
        <f ca="1">AVERAGE(OFFSET($CC$3,0,0,'Données projet'!$E$12+1,1))-AVERAGE(OFFSET($H$3,0,0,'Données projet'!$E$12+1,1))</f>
        <v>230.68538392491388</v>
      </c>
      <c r="CE20" s="59">
        <f t="shared" si="40"/>
        <v>267.97457956620724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11.505087121536034</v>
      </c>
      <c r="CV20" s="13">
        <f t="shared" si="41"/>
        <v>3.9898299937176129</v>
      </c>
      <c r="CW20" s="20">
        <f t="shared" si="13"/>
        <v>26.986980642400102</v>
      </c>
      <c r="CX20" s="59">
        <f t="shared" si="14"/>
        <v>320.32031397573343</v>
      </c>
      <c r="CY20" s="59">
        <f ca="1">AVERAGE(OFFSET($CX$3,0,0,'Données projet'!$E$13+1,1))-AVERAGE(OFFSET($H$3,0,0,'Données projet'!$E$13+1,1))</f>
        <v>242.1473060698724</v>
      </c>
      <c r="CZ20" s="59">
        <f t="shared" si="42"/>
        <v>96.127995920458659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0</v>
      </c>
      <c r="EP20" s="59">
        <f t="shared" si="46"/>
        <v>0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170</v>
      </c>
      <c r="O21" s="13">
        <f>N21*VLOOKUP('Données projet'!$B$9,Paramètres!$A$1:$I$89,3,0)*VLOOKUP('Données projet'!$B$9,Paramètres!$A$1:$I$89,5,0)</f>
        <v>101.66000000000001</v>
      </c>
      <c r="P21" s="13">
        <f t="shared" si="33"/>
        <v>27.35708992370477</v>
      </c>
      <c r="Q21" s="20">
        <f t="shared" si="2"/>
        <v>224.7047649504525</v>
      </c>
      <c r="R21" s="59">
        <f t="shared" si="0"/>
        <v>518.03809828378576</v>
      </c>
      <c r="S21" s="59">
        <f ca="1">AVERAGE(OFFSET($R$3,0,0,'Données projet'!$E$9+1,1))-AVERAGE(OFFSET($H$3,0,0,'Données projet'!$E$9+1,1))</f>
        <v>179.86010141761648</v>
      </c>
      <c r="T21" s="59">
        <f t="shared" si="34"/>
        <v>367.01744242396057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5.7284404382628109</v>
      </c>
      <c r="AB21" s="21">
        <f>EXP(-LN(2)/2)*AB20+(1-EXP(-LN(2)/2))/(LN(2)/2)*V21*Y21*VLOOKUP('Données projet'!$B$9,Paramètres!$A$1:$I$89,3,0)*0.475*44/12</f>
        <v>3.0468371126437206</v>
      </c>
      <c r="AC21" s="22">
        <f t="shared" si="3"/>
        <v>8.7752775509065319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6.45</v>
      </c>
      <c r="AI21" s="13">
        <f>IF('Données projet'!$A$62&gt;35,AI20+AH21-AQ20,IF(A21&lt;'Données projet'!$A$62,$AF$205^A21,IF(A21='Données projet'!$A$62,'Données projet'!$B$62,AI20+AH21-AQ20)))</f>
        <v>79.347041645375967</v>
      </c>
      <c r="AJ21" s="13">
        <f>AI21*VLOOKUP('Données projet'!$B$10,Paramètres!$A$1:$I$89,3,0)*VLOOKUP('Données projet'!$B$10,Paramètres!$A$1:$I$89,5,0)</f>
        <v>47.449530903934829</v>
      </c>
      <c r="AK21" s="13">
        <f t="shared" si="35"/>
        <v>13.953096320914629</v>
      </c>
      <c r="AL21" s="20">
        <f t="shared" si="4"/>
        <v>106.94290908327946</v>
      </c>
      <c r="AM21" s="59">
        <f t="shared" si="5"/>
        <v>400.27624241661277</v>
      </c>
      <c r="AN21" s="59">
        <f ca="1">AVERAGE(OFFSET($AM$3,0,0,'Données projet'!$E$10+1,1))-AVERAGE(OFFSET($H$3,0,0,'Données projet'!$E$10+1,1))</f>
        <v>318.09371753144256</v>
      </c>
      <c r="AO21" s="59">
        <f t="shared" si="36"/>
        <v>298.61479562586919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28.7</v>
      </c>
      <c r="BD21" s="12">
        <f>IF('Données projet'!$A$88&gt;35,BD20+BC21-BL20,IF(A21&lt;'Données projet'!$A$88,$BA$205^A21,IF(A21='Données projet'!$A$88,'Données projet'!$B$88,BD20+BC21-BL20)))</f>
        <v>248.59999999999994</v>
      </c>
      <c r="BE21" s="13">
        <f>BD21*VLOOKUP('Données projet'!$B$11,Paramètres!$A$1:$I$89,3,0)*VLOOKUP('Données projet'!$B$11,Paramètres!$A$1:$I$89,5,0)</f>
        <v>217.17695999999998</v>
      </c>
      <c r="BF21" s="13">
        <f t="shared" si="37"/>
        <v>53.500851490907642</v>
      </c>
      <c r="BG21" s="20">
        <f t="shared" si="7"/>
        <v>471.43052167999741</v>
      </c>
      <c r="BH21" s="59">
        <f t="shared" si="8"/>
        <v>764.76385501333073</v>
      </c>
      <c r="BI21" s="59">
        <f ca="1">AVERAGE(OFFSET($BH$3,0,0,'Données projet'!$E$11+1,1))-AVERAGE(OFFSET($H$3,0,0,'Données projet'!$E$11+1,1))</f>
        <v>247.43282553724879</v>
      </c>
      <c r="BJ21" s="59">
        <f t="shared" si="38"/>
        <v>637.29471578895527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9.0153996690544869</v>
      </c>
      <c r="BS21" s="22">
        <f t="shared" si="9"/>
        <v>9.0153996690544869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4.75</v>
      </c>
      <c r="BY21" s="12">
        <f>IF('Données projet'!$A$114&gt;35,BY20+BX21-CG20,IF(A21&lt;'Données projet'!$A$114,$BV$205^A21,IF(A21='Données projet'!$A$114,'Données projet'!$B$114,BY20+BX21-CG20)))</f>
        <v>60.249194467085609</v>
      </c>
      <c r="BZ21" s="13">
        <f>BY21*VLOOKUP('Données projet'!$B$12,Paramètres!$A$1:$I$89,3,0)*VLOOKUP('Données projet'!$B$12,Paramètres!$A$1:$I$89,5,0)</f>
        <v>48.874146551699845</v>
      </c>
      <c r="CA21" s="13">
        <f t="shared" si="39"/>
        <v>14.32261883487562</v>
      </c>
      <c r="CB21" s="20">
        <f t="shared" si="10"/>
        <v>110.06769971495227</v>
      </c>
      <c r="CC21" s="59">
        <f t="shared" si="11"/>
        <v>403.40103304828557</v>
      </c>
      <c r="CD21" s="59">
        <f ca="1">AVERAGE(OFFSET($CC$3,0,0,'Données projet'!$E$12+1,1))-AVERAGE(OFFSET($H$3,0,0,'Données projet'!$E$12+1,1))</f>
        <v>230.68538392491388</v>
      </c>
      <c r="CE21" s="59">
        <f t="shared" si="40"/>
        <v>267.97457956620724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13.181801330143742</v>
      </c>
      <c r="CV21" s="13">
        <f t="shared" si="41"/>
        <v>4.4994741849523159</v>
      </c>
      <c r="CW21" s="20">
        <f t="shared" si="13"/>
        <v>30.794888188792299</v>
      </c>
      <c r="CX21" s="59">
        <f t="shared" si="14"/>
        <v>324.12822152212561</v>
      </c>
      <c r="CY21" s="59">
        <f ca="1">AVERAGE(OFFSET($CX$3,0,0,'Données projet'!$E$13+1,1))-AVERAGE(OFFSET($H$3,0,0,'Données projet'!$E$13+1,1))</f>
        <v>242.1473060698724</v>
      </c>
      <c r="CZ21" s="59">
        <f t="shared" si="42"/>
        <v>96.127995920458659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0</v>
      </c>
      <c r="EP21" s="59">
        <f t="shared" si="46"/>
        <v>0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190</v>
      </c>
      <c r="O22" s="13">
        <f>N22*VLOOKUP('Données projet'!$B$9,Paramètres!$A$1:$I$89,3,0)*VLOOKUP('Données projet'!$B$9,Paramètres!$A$1:$I$89,5,0)</f>
        <v>113.62</v>
      </c>
      <c r="P22" s="13">
        <f t="shared" si="33"/>
        <v>30.182270904187739</v>
      </c>
      <c r="Q22" s="20">
        <f t="shared" si="2"/>
        <v>250.45562182479364</v>
      </c>
      <c r="R22" s="59">
        <f t="shared" si="0"/>
        <v>543.78895515812701</v>
      </c>
      <c r="S22" s="59">
        <f ca="1">AVERAGE(OFFSET($R$3,0,0,'Données projet'!$E$9+1,1))-AVERAGE(OFFSET($H$3,0,0,'Données projet'!$E$9+1,1))</f>
        <v>179.86010141761648</v>
      </c>
      <c r="T22" s="59">
        <f t="shared" si="34"/>
        <v>367.01744242396057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5.5717959332329245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7.7262351167541397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6.45</v>
      </c>
      <c r="AI22" s="13">
        <f>IF('Données projet'!$A$62&gt;35,AI21+AH22-AQ21,IF(A22&lt;'Données projet'!$A$62,$AF$205^A22,IF(A22='Données projet'!$A$62,'Données projet'!$B$62,AI21+AH22-AQ21)))</f>
        <v>101.17197424313463</v>
      </c>
      <c r="AJ22" s="13">
        <f>AI22*VLOOKUP('Données projet'!$B$10,Paramètres!$A$1:$I$89,3,0)*VLOOKUP('Données projet'!$B$10,Paramètres!$A$1:$I$89,5,0)</f>
        <v>60.500840597394507</v>
      </c>
      <c r="AK22" s="13">
        <f t="shared" si="35"/>
        <v>17.294835901707554</v>
      </c>
      <c r="AL22" s="20">
        <f t="shared" si="4"/>
        <v>135.49413656926941</v>
      </c>
      <c r="AM22" s="59">
        <f t="shared" si="5"/>
        <v>428.82746990260273</v>
      </c>
      <c r="AN22" s="59">
        <f ca="1">AVERAGE(OFFSET($AM$3,0,0,'Données projet'!$E$10+1,1))-AVERAGE(OFFSET($H$3,0,0,'Données projet'!$E$10+1,1))</f>
        <v>318.09371753144256</v>
      </c>
      <c r="AO22" s="59">
        <f t="shared" si="36"/>
        <v>298.61479562586919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28.7</v>
      </c>
      <c r="BD22" s="12">
        <f>IF('Données projet'!$A$88&gt;35,BD21+BC22-BL21,IF(A22&lt;'Données projet'!$A$88,$BA$205^A22,IF(A22='Données projet'!$A$88,'Données projet'!$B$88,BD21+BC22-BL21)))</f>
        <v>277.29999999999995</v>
      </c>
      <c r="BE22" s="13">
        <f>BD22*VLOOKUP('Données projet'!$B$11,Paramètres!$A$1:$I$89,3,0)*VLOOKUP('Données projet'!$B$11,Paramètres!$A$1:$I$89,5,0)</f>
        <v>242.24927999999997</v>
      </c>
      <c r="BF22" s="13">
        <f t="shared" si="37"/>
        <v>58.923210980218975</v>
      </c>
      <c r="BG22" s="20">
        <f t="shared" si="7"/>
        <v>524.54208845721462</v>
      </c>
      <c r="BH22" s="59">
        <f t="shared" si="8"/>
        <v>817.87542179054799</v>
      </c>
      <c r="BI22" s="59">
        <f ca="1">AVERAGE(OFFSET($BH$3,0,0,'Données projet'!$E$11+1,1))-AVERAGE(OFFSET($H$3,0,0,'Données projet'!$E$11+1,1))</f>
        <v>247.43282553724879</v>
      </c>
      <c r="BJ22" s="59">
        <f t="shared" si="38"/>
        <v>637.29471578895527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6.374850241095384</v>
      </c>
      <c r="BS22" s="22">
        <f t="shared" si="9"/>
        <v>6.374850241095384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4.75</v>
      </c>
      <c r="BY22" s="12">
        <f>IF('Données projet'!$A$114&gt;35,BY21+BX22-CG21,IF(A22&lt;'Données projet'!$A$114,$BV$205^A22,IF(A22='Données projet'!$A$114,'Données projet'!$B$114,BY21+BX22-CG21)))</f>
        <v>75.65496331618381</v>
      </c>
      <c r="BZ22" s="13">
        <f>BY22*VLOOKUP('Données projet'!$B$12,Paramètres!$A$1:$I$89,3,0)*VLOOKUP('Données projet'!$B$12,Paramètres!$A$1:$I$89,5,0)</f>
        <v>61.371306242088309</v>
      </c>
      <c r="CA22" s="13">
        <f t="shared" si="39"/>
        <v>17.514520949652077</v>
      </c>
      <c r="CB22" s="20">
        <f t="shared" si="10"/>
        <v>137.39281569228118</v>
      </c>
      <c r="CC22" s="59">
        <f t="shared" si="11"/>
        <v>430.72614902561452</v>
      </c>
      <c r="CD22" s="59">
        <f ca="1">AVERAGE(OFFSET($CC$3,0,0,'Données projet'!$E$12+1,1))-AVERAGE(OFFSET($H$3,0,0,'Données projet'!$E$12+1,1))</f>
        <v>230.68538392491388</v>
      </c>
      <c r="CE22" s="59">
        <f t="shared" si="40"/>
        <v>267.97457956620724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15.102874447784345</v>
      </c>
      <c r="CV22" s="13">
        <f t="shared" si="41"/>
        <v>5.074218192988301</v>
      </c>
      <c r="CW22" s="20">
        <f t="shared" si="13"/>
        <v>35.141769682679019</v>
      </c>
      <c r="CX22" s="59">
        <f t="shared" si="14"/>
        <v>328.47510301601233</v>
      </c>
      <c r="CY22" s="59">
        <f ca="1">AVERAGE(OFFSET($CX$3,0,0,'Données projet'!$E$13+1,1))-AVERAGE(OFFSET($H$3,0,0,'Données projet'!$E$13+1,1))</f>
        <v>242.1473060698724</v>
      </c>
      <c r="CZ22" s="59">
        <f t="shared" si="42"/>
        <v>96.127995920458659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0</v>
      </c>
      <c r="EP22" s="59">
        <f t="shared" si="46"/>
        <v>0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210</v>
      </c>
      <c r="L23" s="12">
        <f>VLOOKUP(A23,'Données projet'!$A$35:$I$55,9,0)</f>
        <v>20</v>
      </c>
      <c r="M23" s="12">
        <f t="array" ref="M23">INDEX(L:L,MIN(IF(ISNUMBER(L23:L219),ROW(L23:L219),"")))</f>
        <v>20</v>
      </c>
      <c r="N23" s="13">
        <f>IF('Données projet'!$A$36&gt;35,N22+M23-V22,IF(A23&lt;'Données projet'!$A$36,$K$205^A23,IF(A23='Données projet'!$A$36,'Données projet'!$B$36,N22+M23-V22)))</f>
        <v>210</v>
      </c>
      <c r="O23" s="13">
        <f>N23*VLOOKUP('Données projet'!$B$9,Paramètres!$A$1:$I$89,3,0)*VLOOKUP('Données projet'!$B$9,Paramètres!$A$1:$I$89,5,0)</f>
        <v>125.58000000000001</v>
      </c>
      <c r="P23" s="13">
        <f t="shared" si="33"/>
        <v>32.972980053624219</v>
      </c>
      <c r="Q23" s="20">
        <f t="shared" si="2"/>
        <v>276.14644026006221</v>
      </c>
      <c r="R23" s="59">
        <f t="shared" si="0"/>
        <v>569.47977359339552</v>
      </c>
      <c r="S23" s="59">
        <f ca="1">AVERAGE(OFFSET($R$3,0,0,'Données projet'!$E$9+1,1))-AVERAGE(OFFSET($H$3,0,0,'Données projet'!$E$9+1,1))</f>
        <v>179.86010141761648</v>
      </c>
      <c r="T23" s="59">
        <f t="shared" si="34"/>
        <v>367.01744242396057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59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4.2123462405136083</v>
      </c>
      <c r="AA23" s="21">
        <f>EXP(-LN(2)/25)*AA22+(1-EXP(-LN(2)/25))/(LN(2)/25)*Calculateur!V23*Calculateur!X23*VLOOKUP('Données projet'!$B$9,Paramètres!$A$1:$I$89,3,0)*0.475*44/12</f>
        <v>13.810956137100568</v>
      </c>
      <c r="AB23" s="21">
        <f>EXP(-LN(2)/2)*AB22+(1-EXP(-LN(2)/2))/(LN(2)/2)*V23*Y23*VLOOKUP('Données projet'!$B$9,Paramètres!$A$1:$I$89,3,0)*0.475*44/12</f>
        <v>17.502386524853371</v>
      </c>
      <c r="AC23" s="22">
        <f t="shared" si="3"/>
        <v>35.52568890246755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6.45</v>
      </c>
      <c r="AH23" s="12">
        <f t="array" ref="AH23">INDEX(AG:AG,MIN(IF(ISNUMBER(AG23:AG219),ROW(AG23:AG219),"")))</f>
        <v>6.45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77.14200000000001</v>
      </c>
      <c r="AK23" s="13">
        <f t="shared" si="35"/>
        <v>21.436915648510755</v>
      </c>
      <c r="AL23" s="20">
        <f t="shared" si="4"/>
        <v>171.69161142115624</v>
      </c>
      <c r="AM23" s="59">
        <f t="shared" si="5"/>
        <v>465.02494475448952</v>
      </c>
      <c r="AN23" s="59">
        <f ca="1">AVERAGE(OFFSET($AM$3,0,0,'Données projet'!$E$10+1,1))-AVERAGE(OFFSET($H$3,0,0,'Données projet'!$E$10+1,1))</f>
        <v>318.09371753144256</v>
      </c>
      <c r="AO23" s="59">
        <f t="shared" si="36"/>
        <v>298.61479562586919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6.5780992901861595</v>
      </c>
      <c r="AW23" s="21">
        <f>EXP(-LN(2)/2)*AW22+(1-EXP(-LN(2)/2))/(LN(2)/2)*AQ23*AT23*VLOOKUP('Données projet'!$B$10,Paramètres!$A$1:$I$89,3,0)*0.475*44/12</f>
        <v>12.52588590753529</v>
      </c>
      <c r="AX23" s="21">
        <f t="shared" si="6"/>
        <v>19.10398519772145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306</v>
      </c>
      <c r="BB23" s="12">
        <f>VLOOKUP(A23,'Données projet'!$A$87:$I$107,9,0)</f>
        <v>28.7</v>
      </c>
      <c r="BC23" s="12">
        <f t="array" ref="BC23">INDEX(BB:BB,MIN(IF(ISNUMBER(BB23:BB219),ROW(BB23:BB219),"")))</f>
        <v>28.7</v>
      </c>
      <c r="BD23" s="12">
        <f>IF('Données projet'!$A$88&gt;35,BD22+BC23-BL22,IF(A23&lt;'Données projet'!$A$88,$BA$205^A23,IF(A23='Données projet'!$A$88,'Données projet'!$B$88,BD22+BC23-BL22)))</f>
        <v>305.99999999999994</v>
      </c>
      <c r="BE23" s="13">
        <f>BD23*VLOOKUP('Données projet'!$B$11,Paramètres!$A$1:$I$89,3,0)*VLOOKUP('Données projet'!$B$11,Paramètres!$A$1:$I$89,5,0)</f>
        <v>267.32159999999999</v>
      </c>
      <c r="BF23" s="13">
        <f t="shared" si="37"/>
        <v>64.280515815446378</v>
      </c>
      <c r="BG23" s="20">
        <f t="shared" si="7"/>
        <v>577.54035171190242</v>
      </c>
      <c r="BH23" s="59">
        <f t="shared" si="8"/>
        <v>870.87368504523579</v>
      </c>
      <c r="BI23" s="59">
        <f ca="1">AVERAGE(OFFSET($BH$3,0,0,'Données projet'!$E$11+1,1))-AVERAGE(OFFSET($H$3,0,0,'Données projet'!$E$11+1,1))</f>
        <v>247.43282553724879</v>
      </c>
      <c r="BJ23" s="59">
        <f t="shared" si="38"/>
        <v>637.29471578895527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275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231.18060579932569</v>
      </c>
      <c r="BS23" s="22">
        <f t="shared" si="9"/>
        <v>231.18060579932569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95</v>
      </c>
      <c r="BW23" s="12">
        <f>VLOOKUP(A23,'Données projet'!$A$113:$I$133,9,0)</f>
        <v>4.75</v>
      </c>
      <c r="BX23" s="12">
        <f t="array" ref="BX23">INDEX(BW:BW,MIN(IF(ISNUMBER(BW23:BW219),ROW(BW23:BW219),"")))</f>
        <v>4.75</v>
      </c>
      <c r="BY23" s="12">
        <f>IF('Données projet'!$A$114&gt;35,BY22+BX23-CG22,IF(A23&lt;'Données projet'!$A$114,$BV$205^A23,IF(A23='Données projet'!$A$114,'Données projet'!$B$114,BY22+BX23-CG22)))</f>
        <v>95</v>
      </c>
      <c r="BZ23" s="13">
        <f>BY23*VLOOKUP('Données projet'!$B$12,Paramètres!$A$1:$I$89,3,0)*VLOOKUP('Données projet'!$B$12,Paramètres!$A$1:$I$89,5,0)</f>
        <v>77.064000000000007</v>
      </c>
      <c r="CA23" s="13">
        <f t="shared" si="39"/>
        <v>21.417762186678065</v>
      </c>
      <c r="CB23" s="20">
        <f t="shared" si="10"/>
        <v>171.52240247513097</v>
      </c>
      <c r="CC23" s="59">
        <f t="shared" si="11"/>
        <v>464.85573580846426</v>
      </c>
      <c r="CD23" s="59">
        <f ca="1">AVERAGE(OFFSET($CC$3,0,0,'Données projet'!$E$12+1,1))-AVERAGE(OFFSET($H$3,0,0,'Données projet'!$E$12+1,1))</f>
        <v>230.68538392491388</v>
      </c>
      <c r="CE23" s="59">
        <f t="shared" si="40"/>
        <v>267.97457956620724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4.1289404005276058</v>
      </c>
      <c r="CM23" s="21">
        <f>EXP(-LN(2)/2)*CM22+(1-EXP(-LN(2)/2))/(LN(2)/2)*CG23*CJ23*VLOOKUP('Données projet'!$B$12,Paramètres!$A$1:$I$89,3,0)*0.475*44/12</f>
        <v>8.2279321061248272</v>
      </c>
      <c r="CN23" s="22">
        <f t="shared" si="12"/>
        <v>12.356872506652433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17.303918552006422</v>
      </c>
      <c r="CV23" s="13">
        <f t="shared" si="41"/>
        <v>5.7223775960671075</v>
      </c>
      <c r="CW23" s="20">
        <f t="shared" si="13"/>
        <v>40.104132457894728</v>
      </c>
      <c r="CX23" s="59">
        <f t="shared" si="14"/>
        <v>333.43746579122802</v>
      </c>
      <c r="CY23" s="59">
        <f ca="1">AVERAGE(OFFSET($CX$3,0,0,'Données projet'!$E$13+1,1))-AVERAGE(OFFSET($H$3,0,0,'Données projet'!$E$13+1,1))</f>
        <v>242.1473060698724</v>
      </c>
      <c r="CZ23" s="59">
        <f t="shared" si="42"/>
        <v>96.127995920458659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0</v>
      </c>
      <c r="EP23" s="59">
        <f t="shared" si="46"/>
        <v>0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16.266666666666666</v>
      </c>
      <c r="N24" s="13">
        <f>IF('Données projet'!$A$36&gt;35,N23+M24-V23,IF(A24&lt;'Données projet'!$A$36,$K$205^A24,IF(A24='Données projet'!$A$36,'Données projet'!$B$36,N23+M24-V23)))</f>
        <v>167.26666666666665</v>
      </c>
      <c r="O24" s="13">
        <f>N24*VLOOKUP('Données projet'!$B$9,Paramètres!$A$1:$I$89,3,0)*VLOOKUP('Données projet'!$B$9,Paramètres!$A$1:$I$89,5,0)</f>
        <v>100.02546666666667</v>
      </c>
      <c r="P24" s="13">
        <f t="shared" si="33"/>
        <v>26.968064540592223</v>
      </c>
      <c r="Q24" s="20">
        <f t="shared" si="2"/>
        <v>221.18040018597591</v>
      </c>
      <c r="R24" s="59">
        <f t="shared" si="0"/>
        <v>514.5137335193092</v>
      </c>
      <c r="S24" s="59">
        <f ca="1">AVERAGE(OFFSET($R$3,0,0,'Données projet'!$E$9+1,1))-AVERAGE(OFFSET($H$3,0,0,'Données projet'!$E$9+1,1))</f>
        <v>179.86010141761648</v>
      </c>
      <c r="T24" s="59">
        <f t="shared" si="34"/>
        <v>367.01744242396057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4.1297447000146477</v>
      </c>
      <c r="AA24" s="21">
        <f>EXP(-LN(2)/25)*AA23+(1-EXP(-LN(2)/25))/(LN(2)/25)*Calculateur!V24*Calculateur!X24*VLOOKUP('Données projet'!$B$9,Paramètres!$A$1:$I$89,3,0)*0.475*44/12</f>
        <v>13.433294815244935</v>
      </c>
      <c r="AB24" s="21">
        <f>EXP(-LN(2)/2)*AB23+(1-EXP(-LN(2)/2))/(LN(2)/2)*V24*Y24*VLOOKUP('Données projet'!$B$9,Paramètres!$A$1:$I$89,3,0)*0.475*44/12</f>
        <v>12.376056198671872</v>
      </c>
      <c r="AC24" s="22">
        <f t="shared" si="3"/>
        <v>29.939095713931454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108.80000000000001</v>
      </c>
      <c r="AJ24" s="13">
        <f>AI24*VLOOKUP('Données projet'!$B$10,Paramètres!$A$1:$I$89,3,0)*VLOOKUP('Données projet'!$B$10,Paramètres!$A$1:$I$89,5,0)</f>
        <v>65.062400000000011</v>
      </c>
      <c r="AK24" s="13">
        <f t="shared" si="35"/>
        <v>18.442106385941074</v>
      </c>
      <c r="AL24" s="20">
        <f t="shared" si="4"/>
        <v>145.43701528884739</v>
      </c>
      <c r="AM24" s="59">
        <f t="shared" si="5"/>
        <v>438.77034862218068</v>
      </c>
      <c r="AN24" s="59">
        <f ca="1">AVERAGE(OFFSET($AM$3,0,0,'Données projet'!$E$10+1,1))-AVERAGE(OFFSET($H$3,0,0,'Données projet'!$E$10+1,1))</f>
        <v>318.09371753144256</v>
      </c>
      <c r="AO24" s="59">
        <f t="shared" si="36"/>
        <v>298.61479562586919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6.3982208191688121</v>
      </c>
      <c r="AW24" s="21">
        <f>EXP(-LN(2)/2)*AW23+(1-EXP(-LN(2)/2))/(LN(2)/2)*AQ24*AT24*VLOOKUP('Données projet'!$B$10,Paramètres!$A$1:$I$89,3,0)*0.475*44/12</f>
        <v>8.857138865587217</v>
      </c>
      <c r="AX24" s="21">
        <f t="shared" si="6"/>
        <v>15.25535968475603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33</v>
      </c>
      <c r="BD24" s="12">
        <f>IF('Données projet'!$A$88&gt;35,BD23+BC24-BL23,IF(A24&lt;'Données projet'!$A$88,$BA$205^A24,IF(A24='Données projet'!$A$88,'Données projet'!$B$88,BD23+BC24-BL23)))</f>
        <v>63.999999999999943</v>
      </c>
      <c r="BE24" s="13">
        <f>BD24*VLOOKUP('Données projet'!$B$11,Paramètres!$A$1:$I$89,3,0)*VLOOKUP('Données projet'!$B$11,Paramètres!$A$1:$I$89,5,0)</f>
        <v>55.91039999999996</v>
      </c>
      <c r="BF24" s="13">
        <f t="shared" si="37"/>
        <v>16.130080159534284</v>
      </c>
      <c r="BG24" s="20">
        <f t="shared" si="7"/>
        <v>125.47050294452214</v>
      </c>
      <c r="BH24" s="59">
        <f t="shared" si="8"/>
        <v>418.80383627785545</v>
      </c>
      <c r="BI24" s="59">
        <f ca="1">AVERAGE(OFFSET($BH$3,0,0,'Données projet'!$E$11+1,1))-AVERAGE(OFFSET($H$3,0,0,'Données projet'!$E$11+1,1))</f>
        <v>247.43282553724879</v>
      </c>
      <c r="BJ24" s="59">
        <f t="shared" si="38"/>
        <v>637.29471578895527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163.46937403951731</v>
      </c>
      <c r="BS24" s="22">
        <f t="shared" si="9"/>
        <v>163.46937403951731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12.2</v>
      </c>
      <c r="BY24" s="12">
        <f>IF('Données projet'!$A$114&gt;35,BY23+BX24-CG23,IF(A24&lt;'Données projet'!$A$114,$BV$205^A24,IF(A24='Données projet'!$A$114,'Données projet'!$B$114,BY23+BX24-CG23)))</f>
        <v>64.2</v>
      </c>
      <c r="BZ24" s="13">
        <f>BY24*VLOOKUP('Données projet'!$B$12,Paramètres!$A$1:$I$89,3,0)*VLOOKUP('Données projet'!$B$12,Paramètres!$A$1:$I$89,5,0)</f>
        <v>52.079039999999999</v>
      </c>
      <c r="CA24" s="13">
        <f t="shared" si="39"/>
        <v>15.149401133573162</v>
      </c>
      <c r="CB24" s="20">
        <f t="shared" si="10"/>
        <v>117.08953497430657</v>
      </c>
      <c r="CC24" s="59">
        <f t="shared" si="11"/>
        <v>410.42286830763987</v>
      </c>
      <c r="CD24" s="59">
        <f ca="1">AVERAGE(OFFSET($CC$3,0,0,'Données projet'!$E$12+1,1))-AVERAGE(OFFSET($H$3,0,0,'Données projet'!$E$12+1,1))</f>
        <v>230.68538392491388</v>
      </c>
      <c r="CE24" s="59">
        <f t="shared" si="40"/>
        <v>267.97457956620724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4.0160343081436398</v>
      </c>
      <c r="CM24" s="21">
        <f>EXP(-LN(2)/2)*CM23+(1-EXP(-LN(2)/2))/(LN(2)/2)*CG24*CJ24*VLOOKUP('Données projet'!$B$12,Paramètres!$A$1:$I$89,3,0)*0.475*44/12</f>
        <v>5.8180265873833781</v>
      </c>
      <c r="CN24" s="22">
        <f t="shared" si="12"/>
        <v>9.834060895527017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19.82573570942974</v>
      </c>
      <c r="CV24" s="13">
        <f t="shared" si="41"/>
        <v>6.4533301696051613</v>
      </c>
      <c r="CW24" s="20">
        <f t="shared" si="13"/>
        <v>45.769373072652449</v>
      </c>
      <c r="CX24" s="59">
        <f t="shared" si="14"/>
        <v>339.10270640598577</v>
      </c>
      <c r="CY24" s="59">
        <f ca="1">AVERAGE(OFFSET($CX$3,0,0,'Données projet'!$E$13+1,1))-AVERAGE(OFFSET($H$3,0,0,'Données projet'!$E$13+1,1))</f>
        <v>242.1473060698724</v>
      </c>
      <c r="CZ24" s="59">
        <f t="shared" si="42"/>
        <v>96.127995920458659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0</v>
      </c>
      <c r="EP24" s="59">
        <f t="shared" si="46"/>
        <v>0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16.266666666666666</v>
      </c>
      <c r="N25" s="13">
        <f>IF('Données projet'!$A$36&gt;35,N24+M25-V24,IF(A25&lt;'Données projet'!$A$36,$K$205^A25,IF(A25='Données projet'!$A$36,'Données projet'!$B$36,N24+M25-V24)))</f>
        <v>183.5333333333333</v>
      </c>
      <c r="O25" s="13">
        <f>N25*VLOOKUP('Données projet'!$B$9,Paramètres!$A$1:$I$89,3,0)*VLOOKUP('Données projet'!$B$9,Paramètres!$A$1:$I$89,5,0)</f>
        <v>109.75293333333333</v>
      </c>
      <c r="P25" s="13">
        <f t="shared" si="33"/>
        <v>29.272766123113275</v>
      </c>
      <c r="Q25" s="20">
        <f t="shared" si="2"/>
        <v>242.13642655331114</v>
      </c>
      <c r="R25" s="59">
        <f t="shared" si="0"/>
        <v>535.4697598866444</v>
      </c>
      <c r="S25" s="59">
        <f ca="1">AVERAGE(OFFSET($R$3,0,0,'Données projet'!$E$9+1,1))-AVERAGE(OFFSET($H$3,0,0,'Données projet'!$E$9+1,1))</f>
        <v>179.86010141761648</v>
      </c>
      <c r="T25" s="59">
        <f t="shared" si="34"/>
        <v>367.01744242396057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4.0487629253429072</v>
      </c>
      <c r="AA25" s="21">
        <f>EXP(-LN(2)/25)*AA24+(1-EXP(-LN(2)/25))/(LN(2)/25)*Calculateur!V25*Calculateur!X25*VLOOKUP('Données projet'!$B$9,Paramètres!$A$1:$I$89,3,0)*0.475*44/12</f>
        <v>13.06596066209579</v>
      </c>
      <c r="AB25" s="21">
        <f>EXP(-LN(2)/2)*AB24+(1-EXP(-LN(2)/2))/(LN(2)/2)*V25*Y25*VLOOKUP('Données projet'!$B$9,Paramètres!$A$1:$I$89,3,0)*0.475*44/12</f>
        <v>8.7511932624266873</v>
      </c>
      <c r="AC25" s="22">
        <f t="shared" si="3"/>
        <v>25.865916849865386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125.60000000000001</v>
      </c>
      <c r="AJ25" s="13">
        <f>AI25*VLOOKUP('Données projet'!$B$10,Paramètres!$A$1:$I$89,3,0)*VLOOKUP('Données projet'!$B$10,Paramètres!$A$1:$I$89,5,0)</f>
        <v>75.108800000000002</v>
      </c>
      <c r="AK25" s="13">
        <f t="shared" si="35"/>
        <v>20.936904708467228</v>
      </c>
      <c r="AL25" s="20">
        <f t="shared" si="4"/>
        <v>167.27960236724707</v>
      </c>
      <c r="AM25" s="59">
        <f t="shared" si="5"/>
        <v>460.61293570058035</v>
      </c>
      <c r="AN25" s="59">
        <f ca="1">AVERAGE(OFFSET($AM$3,0,0,'Données projet'!$E$10+1,1))-AVERAGE(OFFSET($H$3,0,0,'Données projet'!$E$10+1,1))</f>
        <v>318.09371753144256</v>
      </c>
      <c r="AO25" s="59">
        <f t="shared" si="36"/>
        <v>298.61479562586919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6.2232611344008317</v>
      </c>
      <c r="AW25" s="21">
        <f>EXP(-LN(2)/2)*AW24+(1-EXP(-LN(2)/2))/(LN(2)/2)*AQ25*AT25*VLOOKUP('Données projet'!$B$10,Paramètres!$A$1:$I$89,3,0)*0.475*44/12</f>
        <v>6.262942953767646</v>
      </c>
      <c r="AX25" s="21">
        <f t="shared" si="6"/>
        <v>12.486204088168478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33</v>
      </c>
      <c r="BD25" s="12">
        <f>IF('Données projet'!$A$88&gt;35,BD24+BC25-BL24,IF(A25&lt;'Données projet'!$A$88,$BA$205^A25,IF(A25='Données projet'!$A$88,'Données projet'!$B$88,BD24+BC25-BL24)))</f>
        <v>96.999999999999943</v>
      </c>
      <c r="BE25" s="13">
        <f>BD25*VLOOKUP('Données projet'!$B$11,Paramètres!$A$1:$I$89,3,0)*VLOOKUP('Données projet'!$B$11,Paramètres!$A$1:$I$89,5,0)</f>
        <v>84.739199999999954</v>
      </c>
      <c r="BF25" s="13">
        <f t="shared" si="37"/>
        <v>23.292033444816493</v>
      </c>
      <c r="BG25" s="20">
        <f t="shared" si="7"/>
        <v>188.15439824972199</v>
      </c>
      <c r="BH25" s="59">
        <f t="shared" si="8"/>
        <v>481.48773158305528</v>
      </c>
      <c r="BI25" s="59">
        <f ca="1">AVERAGE(OFFSET($BH$3,0,0,'Données projet'!$E$11+1,1))-AVERAGE(OFFSET($H$3,0,0,'Données projet'!$E$11+1,1))</f>
        <v>247.43282553724879</v>
      </c>
      <c r="BJ25" s="59">
        <f t="shared" si="38"/>
        <v>637.29471578895527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115.59030289966286</v>
      </c>
      <c r="BS25" s="22">
        <f t="shared" si="9"/>
        <v>115.59030289966286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12.2</v>
      </c>
      <c r="BY25" s="12">
        <f>IF('Données projet'!$A$114&gt;35,BY24+BX25-CG24,IF(A25&lt;'Données projet'!$A$114,$BV$205^A25,IF(A25='Données projet'!$A$114,'Données projet'!$B$114,BY24+BX25-CG24)))</f>
        <v>76.400000000000006</v>
      </c>
      <c r="BZ25" s="13">
        <f>BY25*VLOOKUP('Données projet'!$B$12,Paramètres!$A$1:$I$89,3,0)*VLOOKUP('Données projet'!$B$12,Paramètres!$A$1:$I$89,5,0)</f>
        <v>61.975680000000004</v>
      </c>
      <c r="CA25" s="13">
        <f t="shared" si="39"/>
        <v>17.666837160010601</v>
      </c>
      <c r="CB25" s="20">
        <f t="shared" si="10"/>
        <v>138.71071738701849</v>
      </c>
      <c r="CC25" s="59">
        <f t="shared" si="11"/>
        <v>432.04405072035183</v>
      </c>
      <c r="CD25" s="59">
        <f ca="1">AVERAGE(OFFSET($CC$3,0,0,'Données projet'!$E$12+1,1))-AVERAGE(OFFSET($H$3,0,0,'Données projet'!$E$12+1,1))</f>
        <v>230.68538392491388</v>
      </c>
      <c r="CE25" s="59">
        <f t="shared" si="40"/>
        <v>267.97457956620724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3.9062156387933866</v>
      </c>
      <c r="CM25" s="21">
        <f>EXP(-LN(2)/2)*CM24+(1-EXP(-LN(2)/2))/(LN(2)/2)*CG25*CJ25*VLOOKUP('Données projet'!$B$12,Paramètres!$A$1:$I$89,3,0)*0.475*44/12</f>
        <v>4.1139660530624145</v>
      </c>
      <c r="CN25" s="22">
        <f t="shared" si="12"/>
        <v>8.0201816918558002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22.715074347976607</v>
      </c>
      <c r="CV25" s="13">
        <f t="shared" si="41"/>
        <v>7.2776515668169814</v>
      </c>
      <c r="CW25" s="20">
        <f t="shared" si="13"/>
        <v>52.237330968265496</v>
      </c>
      <c r="CX25" s="59">
        <f t="shared" si="14"/>
        <v>345.57066430159881</v>
      </c>
      <c r="CY25" s="59">
        <f ca="1">AVERAGE(OFFSET($CX$3,0,0,'Données projet'!$E$13+1,1))-AVERAGE(OFFSET($H$3,0,0,'Données projet'!$E$13+1,1))</f>
        <v>242.1473060698724</v>
      </c>
      <c r="CZ25" s="59">
        <f t="shared" si="42"/>
        <v>96.127995920458659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0</v>
      </c>
      <c r="EP25" s="59">
        <f t="shared" si="46"/>
        <v>0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16.266666666666666</v>
      </c>
      <c r="N26" s="13">
        <f>IF('Données projet'!$A$36&gt;35,N25+M26-V25,IF(A26&lt;'Données projet'!$A$36,$K$205^A26,IF(A26='Données projet'!$A$36,'Données projet'!$B$36,N25+M26-V25)))</f>
        <v>199.79999999999995</v>
      </c>
      <c r="O26" s="13">
        <f>N26*VLOOKUP('Données projet'!$B$9,Paramètres!$A$1:$I$89,3,0)*VLOOKUP('Données projet'!$B$9,Paramètres!$A$1:$I$89,5,0)</f>
        <v>119.48039999999999</v>
      </c>
      <c r="P26" s="13">
        <f t="shared" si="33"/>
        <v>31.553780537454941</v>
      </c>
      <c r="Q26" s="20">
        <f t="shared" si="2"/>
        <v>263.05119776940063</v>
      </c>
      <c r="R26" s="59">
        <f t="shared" si="0"/>
        <v>556.38453110273394</v>
      </c>
      <c r="S26" s="59">
        <f ca="1">AVERAGE(OFFSET($R$3,0,0,'Données projet'!$E$9+1,1))-AVERAGE(OFFSET($H$3,0,0,'Données projet'!$E$9+1,1))</f>
        <v>179.86010141761648</v>
      </c>
      <c r="T26" s="59">
        <f t="shared" si="34"/>
        <v>367.01744242396057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3.9693691538784743</v>
      </c>
      <c r="AA26" s="21">
        <f>EXP(-LN(2)/25)*AA25+(1-EXP(-LN(2)/25))/(LN(2)/25)*Calculateur!V26*Calculateur!X26*VLOOKUP('Données projet'!$B$9,Paramètres!$A$1:$I$89,3,0)*0.475*44/12</f>
        <v>12.708671280681772</v>
      </c>
      <c r="AB26" s="21">
        <f>EXP(-LN(2)/2)*AB25+(1-EXP(-LN(2)/2))/(LN(2)/2)*V26*Y26*VLOOKUP('Données projet'!$B$9,Paramètres!$A$1:$I$89,3,0)*0.475*44/12</f>
        <v>6.1880280993359369</v>
      </c>
      <c r="AC26" s="22">
        <f t="shared" si="3"/>
        <v>22.866068533896183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142.4</v>
      </c>
      <c r="AJ26" s="13">
        <f>AI26*VLOOKUP('Données projet'!$B$10,Paramètres!$A$1:$I$89,3,0)*VLOOKUP('Données projet'!$B$10,Paramètres!$A$1:$I$89,5,0)</f>
        <v>85.155200000000008</v>
      </c>
      <c r="AK26" s="13">
        <f t="shared" si="35"/>
        <v>23.393039685495143</v>
      </c>
      <c r="AL26" s="20">
        <f t="shared" si="4"/>
        <v>189.05485078557072</v>
      </c>
      <c r="AM26" s="59">
        <f t="shared" si="5"/>
        <v>482.38818411890406</v>
      </c>
      <c r="AN26" s="59">
        <f ca="1">AVERAGE(OFFSET($AM$3,0,0,'Données projet'!$E$10+1,1))-AVERAGE(OFFSET($H$3,0,0,'Données projet'!$E$10+1,1))</f>
        <v>318.09371753144256</v>
      </c>
      <c r="AO26" s="59">
        <f t="shared" si="36"/>
        <v>298.61479562586919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6.0530857314135611</v>
      </c>
      <c r="AW26" s="21">
        <f>EXP(-LN(2)/2)*AW25+(1-EXP(-LN(2)/2))/(LN(2)/2)*AQ26*AT26*VLOOKUP('Données projet'!$B$10,Paramètres!$A$1:$I$89,3,0)*0.475*44/12</f>
        <v>4.4285694327936085</v>
      </c>
      <c r="AX26" s="21">
        <f t="shared" si="6"/>
        <v>10.481655164207169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33</v>
      </c>
      <c r="BD26" s="12">
        <f>IF('Données projet'!$A$88&gt;35,BD25+BC26-BL25,IF(A26&lt;'Données projet'!$A$88,$BA$205^A26,IF(A26='Données projet'!$A$88,'Données projet'!$B$88,BD25+BC26-BL25)))</f>
        <v>129.99999999999994</v>
      </c>
      <c r="BE26" s="13">
        <f>BD26*VLOOKUP('Données projet'!$B$11,Paramètres!$A$1:$I$89,3,0)*VLOOKUP('Données projet'!$B$11,Paramètres!$A$1:$I$89,5,0)</f>
        <v>113.56799999999996</v>
      </c>
      <c r="BF26" s="13">
        <f t="shared" si="37"/>
        <v>30.170065062058185</v>
      </c>
      <c r="BG26" s="20">
        <f t="shared" si="7"/>
        <v>250.34379664975123</v>
      </c>
      <c r="BH26" s="59">
        <f t="shared" si="8"/>
        <v>543.67712998308457</v>
      </c>
      <c r="BI26" s="59">
        <f ca="1">AVERAGE(OFFSET($BH$3,0,0,'Données projet'!$E$11+1,1))-AVERAGE(OFFSET($H$3,0,0,'Données projet'!$E$11+1,1))</f>
        <v>247.43282553724879</v>
      </c>
      <c r="BJ26" s="59">
        <f t="shared" si="38"/>
        <v>637.29471578895527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81.734687019758667</v>
      </c>
      <c r="BS26" s="22">
        <f t="shared" si="9"/>
        <v>81.734687019758667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projet'!$B$12,Paramètres!$A$1:$I$89,3,0)*VLOOKUP('Données projet'!$B$12,Paramètres!$A$1:$I$89,5,0)</f>
        <v>71.872320000000002</v>
      </c>
      <c r="CA26" s="13">
        <f t="shared" si="39"/>
        <v>20.137703912312322</v>
      </c>
      <c r="CB26" s="20">
        <f t="shared" si="10"/>
        <v>160.25079164727728</v>
      </c>
      <c r="CC26" s="59">
        <f t="shared" si="11"/>
        <v>453.58412498061057</v>
      </c>
      <c r="CD26" s="59">
        <f ca="1">AVERAGE(OFFSET($CC$3,0,0,'Données projet'!$E$12+1,1))-AVERAGE(OFFSET($H$3,0,0,'Données projet'!$E$12+1,1))</f>
        <v>230.68538392491388</v>
      </c>
      <c r="CE26" s="59">
        <f t="shared" si="40"/>
        <v>267.97457956620724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3.7993999667316287</v>
      </c>
      <c r="CM26" s="21">
        <f>EXP(-LN(2)/2)*CM25+(1-EXP(-LN(2)/2))/(LN(2)/2)*CG26*CJ26*VLOOKUP('Données projet'!$B$12,Paramètres!$A$1:$I$89,3,0)*0.475*44/12</f>
        <v>2.9090132936916895</v>
      </c>
      <c r="CN26" s="22">
        <f t="shared" si="12"/>
        <v>6.7084132604233186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26.025495860347377</v>
      </c>
      <c r="CV26" s="13">
        <f t="shared" si="41"/>
        <v>8.2072683306135854</v>
      </c>
      <c r="CW26" s="20">
        <f t="shared" si="13"/>
        <v>59.622064299257012</v>
      </c>
      <c r="CX26" s="59">
        <f t="shared" si="14"/>
        <v>352.95539763259035</v>
      </c>
      <c r="CY26" s="59">
        <f ca="1">AVERAGE(OFFSET($CX$3,0,0,'Données projet'!$E$13+1,1))-AVERAGE(OFFSET($H$3,0,0,'Données projet'!$E$13+1,1))</f>
        <v>242.1473060698724</v>
      </c>
      <c r="CZ26" s="59">
        <f t="shared" si="42"/>
        <v>96.127995920458659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0</v>
      </c>
      <c r="EP26" s="59">
        <f t="shared" si="46"/>
        <v>0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16.266666666666666</v>
      </c>
      <c r="N27" s="13">
        <f>IF('Données projet'!$A$36&gt;35,N26+M27-V26,IF(A27&lt;'Données projet'!$A$36,$K$205^A27,IF(A27='Données projet'!$A$36,'Données projet'!$B$36,N26+M27-V26)))</f>
        <v>216.06666666666661</v>
      </c>
      <c r="O27" s="13">
        <f>N27*VLOOKUP('Données projet'!$B$9,Paramètres!$A$1:$I$89,3,0)*VLOOKUP('Données projet'!$B$9,Paramètres!$A$1:$I$89,5,0)</f>
        <v>129.20786666666663</v>
      </c>
      <c r="P27" s="13">
        <f t="shared" si="33"/>
        <v>33.813255517558389</v>
      </c>
      <c r="Q27" s="20">
        <f t="shared" si="2"/>
        <v>283.92845447085858</v>
      </c>
      <c r="R27" s="59">
        <f t="shared" si="0"/>
        <v>577.26178780419195</v>
      </c>
      <c r="S27" s="59">
        <f ca="1">AVERAGE(OFFSET($R$3,0,0,'Données projet'!$E$9+1,1))-AVERAGE(OFFSET($H$3,0,0,'Données projet'!$E$9+1,1))</f>
        <v>179.86010141761648</v>
      </c>
      <c r="T27" s="59">
        <f t="shared" si="34"/>
        <v>367.01744242396057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3.8915322458470398</v>
      </c>
      <c r="AA27" s="21">
        <f>EXP(-LN(2)/25)*AA26+(1-EXP(-LN(2)/25))/(LN(2)/25)*Calculateur!V27*Calculateur!X27*VLOOKUP('Données projet'!$B$9,Paramètres!$A$1:$I$89,3,0)*0.475*44/12</f>
        <v>12.361151996191552</v>
      </c>
      <c r="AB27" s="21">
        <f>EXP(-LN(2)/2)*AB26+(1-EXP(-LN(2)/2))/(LN(2)/2)*V27*Y27*VLOOKUP('Données projet'!$B$9,Paramètres!$A$1:$I$89,3,0)*0.475*44/12</f>
        <v>4.3755966312133445</v>
      </c>
      <c r="AC27" s="22">
        <f t="shared" si="3"/>
        <v>20.628280873251935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159.20000000000002</v>
      </c>
      <c r="AJ27" s="13">
        <f>AI27*VLOOKUP('Données projet'!$B$10,Paramètres!$A$1:$I$89,3,0)*VLOOKUP('Données projet'!$B$10,Paramètres!$A$1:$I$89,5,0)</f>
        <v>95.201600000000028</v>
      </c>
      <c r="AK27" s="13">
        <f t="shared" si="35"/>
        <v>25.815593972186814</v>
      </c>
      <c r="AL27" s="20">
        <f t="shared" si="4"/>
        <v>210.77161283489207</v>
      </c>
      <c r="AM27" s="59">
        <f t="shared" si="5"/>
        <v>504.10494616822541</v>
      </c>
      <c r="AN27" s="59">
        <f ca="1">AVERAGE(OFFSET($AM$3,0,0,'Données projet'!$E$10+1,1))-AVERAGE(OFFSET($H$3,0,0,'Données projet'!$E$10+1,1))</f>
        <v>318.09371753144256</v>
      </c>
      <c r="AO27" s="59">
        <f t="shared" si="36"/>
        <v>298.61479562586919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5.8875637837701129</v>
      </c>
      <c r="AW27" s="21">
        <f>EXP(-LN(2)/2)*AW26+(1-EXP(-LN(2)/2))/(LN(2)/2)*AQ27*AT27*VLOOKUP('Données projet'!$B$10,Paramètres!$A$1:$I$89,3,0)*0.475*44/12</f>
        <v>3.131471476883823</v>
      </c>
      <c r="AX27" s="21">
        <f t="shared" si="6"/>
        <v>9.0190352606539363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33</v>
      </c>
      <c r="BD27" s="12">
        <f>IF('Données projet'!$A$88&gt;35,BD26+BC27-BL26,IF(A27&lt;'Données projet'!$A$88,$BA$205^A27,IF(A27='Données projet'!$A$88,'Données projet'!$B$88,BD26+BC27-BL26)))</f>
        <v>162.99999999999994</v>
      </c>
      <c r="BE27" s="13">
        <f>BD27*VLOOKUP('Données projet'!$B$11,Paramètres!$A$1:$I$89,3,0)*VLOOKUP('Données projet'!$B$11,Paramètres!$A$1:$I$89,5,0)</f>
        <v>142.39679999999996</v>
      </c>
      <c r="BF27" s="13">
        <f t="shared" si="37"/>
        <v>36.84553508447695</v>
      </c>
      <c r="BG27" s="20">
        <f t="shared" si="7"/>
        <v>312.18040027213061</v>
      </c>
      <c r="BH27" s="59">
        <f t="shared" si="8"/>
        <v>605.51373360546393</v>
      </c>
      <c r="BI27" s="59">
        <f ca="1">AVERAGE(OFFSET($BH$3,0,0,'Données projet'!$E$11+1,1))-AVERAGE(OFFSET($H$3,0,0,'Données projet'!$E$11+1,1))</f>
        <v>247.43282553724879</v>
      </c>
      <c r="BJ27" s="59">
        <f t="shared" si="38"/>
        <v>637.29471578895527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57.795151449831444</v>
      </c>
      <c r="BS27" s="22">
        <f t="shared" si="9"/>
        <v>57.795151449831444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12.2</v>
      </c>
      <c r="BY27" s="12">
        <f>IF('Données projet'!$A$114&gt;35,BY26+BX27-CG26,IF(A27&lt;'Données projet'!$A$114,$BV$205^A27,IF(A27='Données projet'!$A$114,'Données projet'!$B$114,BY26+BX27-CG26)))</f>
        <v>100.80000000000001</v>
      </c>
      <c r="BZ27" s="13">
        <f>BY27*VLOOKUP('Données projet'!$B$12,Paramètres!$A$1:$I$89,3,0)*VLOOKUP('Données projet'!$B$12,Paramètres!$A$1:$I$89,5,0)</f>
        <v>81.768960000000021</v>
      </c>
      <c r="CA27" s="13">
        <f t="shared" si="39"/>
        <v>22.569151954451023</v>
      </c>
      <c r="CB27" s="20">
        <f t="shared" si="10"/>
        <v>181.72221165400222</v>
      </c>
      <c r="CC27" s="59">
        <f t="shared" si="11"/>
        <v>475.05554498733557</v>
      </c>
      <c r="CD27" s="59">
        <f ca="1">AVERAGE(OFFSET($CC$3,0,0,'Données projet'!$E$12+1,1))-AVERAGE(OFFSET($H$3,0,0,'Données projet'!$E$12+1,1))</f>
        <v>230.68538392491388</v>
      </c>
      <c r="CE27" s="59">
        <f t="shared" si="40"/>
        <v>267.97457956620724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3.6955051748395915</v>
      </c>
      <c r="CM27" s="21">
        <f>EXP(-LN(2)/2)*CM26+(1-EXP(-LN(2)/2))/(LN(2)/2)*CG27*CJ27*VLOOKUP('Données projet'!$B$12,Paramètres!$A$1:$I$89,3,0)*0.475*44/12</f>
        <v>2.0569830265312077</v>
      </c>
      <c r="CN27" s="22">
        <f t="shared" si="12"/>
        <v>5.7524882013707987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29.818367503485312</v>
      </c>
      <c r="CV27" s="13">
        <f t="shared" si="41"/>
        <v>9.255630450600643</v>
      </c>
      <c r="CW27" s="20">
        <f t="shared" si="13"/>
        <v>68.053879770033035</v>
      </c>
      <c r="CX27" s="59">
        <f t="shared" si="14"/>
        <v>361.38721310336632</v>
      </c>
      <c r="CY27" s="59">
        <f ca="1">AVERAGE(OFFSET($CX$3,0,0,'Données projet'!$E$13+1,1))-AVERAGE(OFFSET($H$3,0,0,'Données projet'!$E$13+1,1))</f>
        <v>242.1473060698724</v>
      </c>
      <c r="CZ27" s="59">
        <f t="shared" si="42"/>
        <v>96.127995920458659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0</v>
      </c>
      <c r="EP27" s="59">
        <f t="shared" si="46"/>
        <v>0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16.266666666666666</v>
      </c>
      <c r="N28" s="13">
        <f>IF('Données projet'!$A$36&gt;35,N27+M28-V27,IF(A28&lt;'Données projet'!$A$36,$K$205^A28,IF(A28='Données projet'!$A$36,'Données projet'!$B$36,N27+M28-V27)))</f>
        <v>232.33333333333326</v>
      </c>
      <c r="O28" s="13">
        <f>N28*VLOOKUP('Données projet'!$B$9,Paramètres!$A$1:$I$89,3,0)*VLOOKUP('Données projet'!$B$9,Paramètres!$A$1:$I$89,5,0)</f>
        <v>138.93533333333329</v>
      </c>
      <c r="P28" s="13">
        <f t="shared" si="33"/>
        <v>36.052997055960645</v>
      </c>
      <c r="Q28" s="20">
        <f t="shared" si="2"/>
        <v>304.77134209468687</v>
      </c>
      <c r="R28" s="59">
        <f t="shared" si="0"/>
        <v>598.10467542802019</v>
      </c>
      <c r="S28" s="59">
        <f ca="1">AVERAGE(OFFSET($R$3,0,0,'Données projet'!$E$9+1,1))-AVERAGE(OFFSET($H$3,0,0,'Données projet'!$E$9+1,1))</f>
        <v>179.86010141761648</v>
      </c>
      <c r="T28" s="59">
        <f t="shared" si="34"/>
        <v>367.01744242396057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3.8152216721062757</v>
      </c>
      <c r="AA28" s="21">
        <f>EXP(-LN(2)/25)*AA27+(1-EXP(-LN(2)/25))/(LN(2)/25)*Calculateur!V28*Calculateur!X28*VLOOKUP('Données projet'!$B$9,Paramètres!$A$1:$I$89,3,0)*0.475*44/12</f>
        <v>12.023135644810962</v>
      </c>
      <c r="AB28" s="21">
        <f>EXP(-LN(2)/2)*AB27+(1-EXP(-LN(2)/2))/(LN(2)/2)*V28*Y28*VLOOKUP('Données projet'!$B$9,Paramètres!$A$1:$I$89,3,0)*0.475*44/12</f>
        <v>3.0940140496679689</v>
      </c>
      <c r="AC28" s="22">
        <f t="shared" si="3"/>
        <v>18.932371366585208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176.00000000000003</v>
      </c>
      <c r="AJ28" s="13">
        <f>AI28*VLOOKUP('Données projet'!$B$10,Paramètres!$A$1:$I$89,3,0)*VLOOKUP('Données projet'!$B$10,Paramètres!$A$1:$I$89,5,0)</f>
        <v>105.24800000000003</v>
      </c>
      <c r="AK28" s="13">
        <f t="shared" si="35"/>
        <v>28.208515027560551</v>
      </c>
      <c r="AL28" s="20">
        <f t="shared" si="4"/>
        <v>232.43676367300134</v>
      </c>
      <c r="AM28" s="59">
        <f t="shared" si="5"/>
        <v>525.77009700633471</v>
      </c>
      <c r="AN28" s="59">
        <f ca="1">AVERAGE(OFFSET($AM$3,0,0,'Données projet'!$E$10+1,1))-AVERAGE(OFFSET($H$3,0,0,'Données projet'!$E$10+1,1))</f>
        <v>318.09371753144256</v>
      </c>
      <c r="AO28" s="59">
        <f t="shared" si="36"/>
        <v>298.61479562586919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5.7265680424893963</v>
      </c>
      <c r="AW28" s="21">
        <f>EXP(-LN(2)/2)*AW27+(1-EXP(-LN(2)/2))/(LN(2)/2)*AQ28*AT28*VLOOKUP('Données projet'!$B$10,Paramètres!$A$1:$I$89,3,0)*0.475*44/12</f>
        <v>2.2142847163968042</v>
      </c>
      <c r="AX28" s="21">
        <f t="shared" si="6"/>
        <v>7.9408527588862006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33</v>
      </c>
      <c r="BD28" s="12">
        <f>IF('Données projet'!$A$88&gt;35,BD27+BC28-BL27,IF(A28&lt;'Données projet'!$A$88,$BA$205^A28,IF(A28='Données projet'!$A$88,'Données projet'!$B$88,BD27+BC28-BL27)))</f>
        <v>195.99999999999994</v>
      </c>
      <c r="BE28" s="13">
        <f>BD28*VLOOKUP('Données projet'!$B$11,Paramètres!$A$1:$I$89,3,0)*VLOOKUP('Données projet'!$B$11,Paramètres!$A$1:$I$89,5,0)</f>
        <v>171.22559999999996</v>
      </c>
      <c r="BF28" s="13">
        <f t="shared" si="37"/>
        <v>43.364402348589557</v>
      </c>
      <c r="BG28" s="20">
        <f t="shared" si="7"/>
        <v>373.74425409046006</v>
      </c>
      <c r="BH28" s="59">
        <f t="shared" si="8"/>
        <v>667.07758742379337</v>
      </c>
      <c r="BI28" s="59">
        <f ca="1">AVERAGE(OFFSET($BH$3,0,0,'Données projet'!$E$11+1,1))-AVERAGE(OFFSET($H$3,0,0,'Données projet'!$E$11+1,1))</f>
        <v>247.43282553724879</v>
      </c>
      <c r="BJ28" s="59">
        <f t="shared" si="38"/>
        <v>637.29471578895527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40.867343509879341</v>
      </c>
      <c r="BS28" s="22">
        <f t="shared" si="9"/>
        <v>40.867343509879341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12.2</v>
      </c>
      <c r="BY28" s="12">
        <f>IF('Données projet'!$A$114&gt;35,BY27+BX28-CG27,IF(A28&lt;'Données projet'!$A$114,$BV$205^A28,IF(A28='Données projet'!$A$114,'Données projet'!$B$114,BY27+BX28-CG27)))</f>
        <v>113.00000000000001</v>
      </c>
      <c r="BZ28" s="13">
        <f>BY28*VLOOKUP('Données projet'!$B$12,Paramètres!$A$1:$I$89,3,0)*VLOOKUP('Données projet'!$B$12,Paramètres!$A$1:$I$89,5,0)</f>
        <v>91.665600000000026</v>
      </c>
      <c r="CA28" s="13">
        <f t="shared" si="39"/>
        <v>24.966497888207439</v>
      </c>
      <c r="CB28" s="20">
        <f t="shared" si="10"/>
        <v>203.1342371552947</v>
      </c>
      <c r="CC28" s="59">
        <f t="shared" si="11"/>
        <v>496.46757048862798</v>
      </c>
      <c r="CD28" s="59">
        <f ca="1">AVERAGE(OFFSET($CC$3,0,0,'Données projet'!$E$12+1,1))-AVERAGE(OFFSET($H$3,0,0,'Données projet'!$E$12+1,1))</f>
        <v>230.68538392491388</v>
      </c>
      <c r="CE28" s="59">
        <f t="shared" si="40"/>
        <v>267.97457956620724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3.5944513914954319</v>
      </c>
      <c r="CM28" s="21">
        <f>EXP(-LN(2)/2)*CM27+(1-EXP(-LN(2)/2))/(LN(2)/2)*CG28*CJ28*VLOOKUP('Données projet'!$B$12,Paramètres!$A$1:$I$89,3,0)*0.475*44/12</f>
        <v>1.454506646845845</v>
      </c>
      <c r="CN28" s="22">
        <f t="shared" si="12"/>
        <v>5.0489580383412767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34.164000000000001</v>
      </c>
      <c r="CV28" s="13">
        <f t="shared" si="41"/>
        <v>10.43790596178561</v>
      </c>
      <c r="CW28" s="20">
        <f t="shared" si="13"/>
        <v>77.681652883443277</v>
      </c>
      <c r="CX28" s="59">
        <f t="shared" si="14"/>
        <v>371.01498621677661</v>
      </c>
      <c r="CY28" s="59">
        <f ca="1">AVERAGE(OFFSET($CX$3,0,0,'Données projet'!$E$13+1,1))-AVERAGE(OFFSET($H$3,0,0,'Données projet'!$E$13+1,1))</f>
        <v>242.1473060698724</v>
      </c>
      <c r="CZ28" s="59">
        <f t="shared" si="42"/>
        <v>96.127995920458659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0</v>
      </c>
      <c r="EP28" s="59">
        <f t="shared" si="46"/>
        <v>0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16.266666666666666</v>
      </c>
      <c r="N29" s="13">
        <f>IF('Données projet'!$A$36&gt;35,N28+M29-V28,IF(A29&lt;'Données projet'!$A$36,$K$205^A29,IF(A29='Données projet'!$A$36,'Données projet'!$B$36,N28+M29-V28)))</f>
        <v>248.59999999999991</v>
      </c>
      <c r="O29" s="13">
        <f>N29*VLOOKUP('Données projet'!$B$9,Paramètres!$A$1:$I$89,3,0)*VLOOKUP('Données projet'!$B$9,Paramètres!$A$1:$I$89,5,0)</f>
        <v>148.66279999999995</v>
      </c>
      <c r="P29" s="13">
        <f t="shared" si="33"/>
        <v>38.27454393199833</v>
      </c>
      <c r="Q29" s="20">
        <f t="shared" si="2"/>
        <v>325.58254068156361</v>
      </c>
      <c r="R29" s="59">
        <f t="shared" si="0"/>
        <v>618.91587401489687</v>
      </c>
      <c r="S29" s="59">
        <f ca="1">AVERAGE(OFFSET($R$3,0,0,'Données projet'!$E$9+1,1))-AVERAGE(OFFSET($H$3,0,0,'Données projet'!$E$9+1,1))</f>
        <v>179.86010141761648</v>
      </c>
      <c r="T29" s="59">
        <f t="shared" si="34"/>
        <v>367.01744242396057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3.7404075021717138</v>
      </c>
      <c r="AA29" s="21">
        <f>EXP(-LN(2)/25)*AA28+(1-EXP(-LN(2)/25))/(LN(2)/25)*Calculateur!V29*Calculateur!X29*VLOOKUP('Données projet'!$B$9,Paramètres!$A$1:$I$89,3,0)*0.475*44/12</f>
        <v>11.694362368334382</v>
      </c>
      <c r="AB29" s="21">
        <f>EXP(-LN(2)/2)*AB28+(1-EXP(-LN(2)/2))/(LN(2)/2)*V29*Y29*VLOOKUP('Données projet'!$B$9,Paramètres!$A$1:$I$89,3,0)*0.475*44/12</f>
        <v>2.1877983156066723</v>
      </c>
      <c r="AC29" s="22">
        <f t="shared" si="3"/>
        <v>17.622568186112765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192.80000000000004</v>
      </c>
      <c r="AJ29" s="13">
        <f>AI29*VLOOKUP('Données projet'!$B$10,Paramètres!$A$1:$I$89,3,0)*VLOOKUP('Données projet'!$B$10,Paramètres!$A$1:$I$89,5,0)</f>
        <v>115.29440000000002</v>
      </c>
      <c r="AK29" s="13">
        <f t="shared" si="35"/>
        <v>30.574953299781679</v>
      </c>
      <c r="AL29" s="20">
        <f t="shared" si="4"/>
        <v>254.05579033045311</v>
      </c>
      <c r="AM29" s="59">
        <f t="shared" si="5"/>
        <v>547.38912366378645</v>
      </c>
      <c r="AN29" s="59">
        <f ca="1">AVERAGE(OFFSET($AM$3,0,0,'Données projet'!$E$10+1,1))-AVERAGE(OFFSET($H$3,0,0,'Données projet'!$E$10+1,1))</f>
        <v>318.09371753144256</v>
      </c>
      <c r="AO29" s="59">
        <f t="shared" si="36"/>
        <v>298.61479562586919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5.5699747382203988</v>
      </c>
      <c r="AW29" s="21">
        <f>EXP(-LN(2)/2)*AW28+(1-EXP(-LN(2)/2))/(LN(2)/2)*AQ29*AT29*VLOOKUP('Données projet'!$B$10,Paramètres!$A$1:$I$89,3,0)*0.475*44/12</f>
        <v>1.5657357384419115</v>
      </c>
      <c r="AX29" s="21">
        <f t="shared" si="6"/>
        <v>7.1357104766623101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33</v>
      </c>
      <c r="BD29" s="12">
        <f>IF('Données projet'!$A$88&gt;35,BD28+BC29-BL28,IF(A29&lt;'Données projet'!$A$88,$BA$205^A29,IF(A29='Données projet'!$A$88,'Données projet'!$B$88,BD28+BC29-BL28)))</f>
        <v>228.99999999999994</v>
      </c>
      <c r="BE29" s="13">
        <f>BD29*VLOOKUP('Données projet'!$B$11,Paramètres!$A$1:$I$89,3,0)*VLOOKUP('Données projet'!$B$11,Paramètres!$A$1:$I$89,5,0)</f>
        <v>200.05439999999999</v>
      </c>
      <c r="BF29" s="13">
        <f t="shared" si="37"/>
        <v>49.756123009618186</v>
      </c>
      <c r="BG29" s="20">
        <f t="shared" si="7"/>
        <v>435.08666090841831</v>
      </c>
      <c r="BH29" s="59">
        <f t="shared" si="8"/>
        <v>728.41999424175162</v>
      </c>
      <c r="BI29" s="59">
        <f ca="1">AVERAGE(OFFSET($BH$3,0,0,'Données projet'!$E$11+1,1))-AVERAGE(OFFSET($H$3,0,0,'Données projet'!$E$11+1,1))</f>
        <v>247.43282553724879</v>
      </c>
      <c r="BJ29" s="59">
        <f t="shared" si="38"/>
        <v>637.29471578895527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28.897575724915725</v>
      </c>
      <c r="BS29" s="22">
        <f t="shared" si="9"/>
        <v>28.897575724915725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12.2</v>
      </c>
      <c r="BY29" s="12">
        <f>IF('Données projet'!$A$114&gt;35,BY28+BX29-CG28,IF(A29&lt;'Données projet'!$A$114,$BV$205^A29,IF(A29='Données projet'!$A$114,'Données projet'!$B$114,BY28+BX29-CG28)))</f>
        <v>125.20000000000002</v>
      </c>
      <c r="BZ29" s="13">
        <f>BY29*VLOOKUP('Données projet'!$B$12,Paramètres!$A$1:$I$89,3,0)*VLOOKUP('Données projet'!$B$12,Paramètres!$A$1:$I$89,5,0)</f>
        <v>101.56224000000003</v>
      </c>
      <c r="CA29" s="13">
        <f t="shared" si="39"/>
        <v>27.333843239980084</v>
      </c>
      <c r="CB29" s="20">
        <f t="shared" si="10"/>
        <v>224.49401164296532</v>
      </c>
      <c r="CC29" s="59">
        <f t="shared" si="11"/>
        <v>517.8273449762986</v>
      </c>
      <c r="CD29" s="59">
        <f ca="1">AVERAGE(OFFSET($CC$3,0,0,'Données projet'!$E$12+1,1))-AVERAGE(OFFSET($H$3,0,0,'Données projet'!$E$12+1,1))</f>
        <v>230.68538392491388</v>
      </c>
      <c r="CE29" s="59">
        <f t="shared" si="40"/>
        <v>267.97457956620724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3.4961609291710061</v>
      </c>
      <c r="CM29" s="21">
        <f>EXP(-LN(2)/2)*CM28+(1-EXP(-LN(2)/2))/(LN(2)/2)*CG29*CJ29*VLOOKUP('Données projet'!$B$12,Paramètres!$A$1:$I$89,3,0)*0.475*44/12</f>
        <v>1.0284915132656038</v>
      </c>
      <c r="CN29" s="22">
        <f t="shared" si="12"/>
        <v>4.5246524424366097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39.630239999999993</v>
      </c>
      <c r="CV29" s="13">
        <f t="shared" si="41"/>
        <v>11.900589068958134</v>
      </c>
      <c r="CW29" s="20">
        <f t="shared" si="13"/>
        <v>89.749527295102055</v>
      </c>
      <c r="CX29" s="59">
        <f t="shared" si="14"/>
        <v>383.08286062843536</v>
      </c>
      <c r="CY29" s="59">
        <f ca="1">AVERAGE(OFFSET($CX$3,0,0,'Données projet'!$E$13+1,1))-AVERAGE(OFFSET($H$3,0,0,'Données projet'!$E$13+1,1))</f>
        <v>242.1473060698724</v>
      </c>
      <c r="CZ29" s="59">
        <f t="shared" si="42"/>
        <v>96.127995920458659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0</v>
      </c>
      <c r="EP29" s="59">
        <f t="shared" si="46"/>
        <v>0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16.266666666666666</v>
      </c>
      <c r="N30" s="13">
        <f>IF('Données projet'!$A$36&gt;35,N29+M30-V29,IF(A30&lt;'Données projet'!$A$36,$K$205^A30,IF(A30='Données projet'!$A$36,'Données projet'!$B$36,N29+M30-V29)))</f>
        <v>264.86666666666656</v>
      </c>
      <c r="O30" s="13">
        <f>N30*VLOOKUP('Données projet'!$B$9,Paramètres!$A$1:$I$89,3,0)*VLOOKUP('Données projet'!$B$9,Paramètres!$A$1:$I$89,5,0)</f>
        <v>158.39026666666661</v>
      </c>
      <c r="P30" s="13">
        <f t="shared" si="33"/>
        <v>40.479222161880493</v>
      </c>
      <c r="Q30" s="20">
        <f t="shared" si="2"/>
        <v>346.36435970971957</v>
      </c>
      <c r="R30" s="59">
        <f t="shared" si="0"/>
        <v>639.69769304305282</v>
      </c>
      <c r="S30" s="59">
        <f ca="1">AVERAGE(OFFSET($R$3,0,0,'Données projet'!$E$9+1,1))-AVERAGE(OFFSET($H$3,0,0,'Données projet'!$E$9+1,1))</f>
        <v>179.86010141761648</v>
      </c>
      <c r="T30" s="59">
        <f t="shared" si="34"/>
        <v>367.01744242396057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3.6670603924774308</v>
      </c>
      <c r="AA30" s="21">
        <f>EXP(-LN(2)/25)*AA29+(1-EXP(-LN(2)/25))/(LN(2)/25)*Calculateur!V30*Calculateur!X30*VLOOKUP('Données projet'!$B$9,Paramètres!$A$1:$I$89,3,0)*0.475*44/12</f>
        <v>11.374579414392489</v>
      </c>
      <c r="AB30" s="21">
        <f>EXP(-LN(2)/2)*AB29+(1-EXP(-LN(2)/2))/(LN(2)/2)*V30*Y30*VLOOKUP('Données projet'!$B$9,Paramètres!$A$1:$I$89,3,0)*0.475*44/12</f>
        <v>1.5470070248339844</v>
      </c>
      <c r="AC30" s="22">
        <f t="shared" si="3"/>
        <v>16.588646831703905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209.60000000000005</v>
      </c>
      <c r="AJ30" s="13">
        <f>AI30*VLOOKUP('Données projet'!$B$10,Paramètres!$A$1:$I$89,3,0)*VLOOKUP('Données projet'!$B$10,Paramètres!$A$1:$I$89,5,0)</f>
        <v>125.34080000000004</v>
      </c>
      <c r="AK30" s="13">
        <f t="shared" si="35"/>
        <v>32.917478801659229</v>
      </c>
      <c r="AL30" s="20">
        <f t="shared" si="4"/>
        <v>275.63316891288991</v>
      </c>
      <c r="AM30" s="59">
        <f t="shared" si="5"/>
        <v>568.96650224622317</v>
      </c>
      <c r="AN30" s="59">
        <f ca="1">AVERAGE(OFFSET($AM$3,0,0,'Données projet'!$E$10+1,1))-AVERAGE(OFFSET($H$3,0,0,'Données projet'!$E$10+1,1))</f>
        <v>318.09371753144256</v>
      </c>
      <c r="AO30" s="59">
        <f t="shared" si="36"/>
        <v>298.61479562586919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5.4176634860915209</v>
      </c>
      <c r="AW30" s="21">
        <f>EXP(-LN(2)/2)*AW29+(1-EXP(-LN(2)/2))/(LN(2)/2)*AQ30*AT30*VLOOKUP('Données projet'!$B$10,Paramètres!$A$1:$I$89,3,0)*0.475*44/12</f>
        <v>1.1071423581984021</v>
      </c>
      <c r="AX30" s="21">
        <f t="shared" si="6"/>
        <v>6.5248058442899231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33</v>
      </c>
      <c r="BD30" s="12">
        <f>IF('Données projet'!$A$88&gt;35,BD29+BC30-BL29,IF(A30&lt;'Données projet'!$A$88,$BA$205^A30,IF(A30='Données projet'!$A$88,'Données projet'!$B$88,BD29+BC30-BL29)))</f>
        <v>261.99999999999994</v>
      </c>
      <c r="BE30" s="13">
        <f>BD30*VLOOKUP('Données projet'!$B$11,Paramètres!$A$1:$I$89,3,0)*VLOOKUP('Données projet'!$B$11,Paramètres!$A$1:$I$89,5,0)</f>
        <v>228.88319999999996</v>
      </c>
      <c r="BF30" s="13">
        <f t="shared" si="37"/>
        <v>56.041134895218484</v>
      </c>
      <c r="BG30" s="20">
        <f t="shared" si="7"/>
        <v>496.24321660917212</v>
      </c>
      <c r="BH30" s="59">
        <f t="shared" si="8"/>
        <v>789.57654994250538</v>
      </c>
      <c r="BI30" s="59">
        <f ca="1">AVERAGE(OFFSET($BH$3,0,0,'Données projet'!$E$11+1,1))-AVERAGE(OFFSET($H$3,0,0,'Données projet'!$E$11+1,1))</f>
        <v>247.43282553724879</v>
      </c>
      <c r="BJ30" s="59">
        <f t="shared" si="38"/>
        <v>637.29471578895527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20.433671754939674</v>
      </c>
      <c r="BS30" s="22">
        <f t="shared" si="9"/>
        <v>20.433671754939674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12.2</v>
      </c>
      <c r="BY30" s="12">
        <f>IF('Données projet'!$A$114&gt;35,BY29+BX30-CG29,IF(A30&lt;'Données projet'!$A$114,$BV$205^A30,IF(A30='Données projet'!$A$114,'Données projet'!$B$114,BY29+BX30-CG29)))</f>
        <v>137.4</v>
      </c>
      <c r="BZ30" s="13">
        <f>BY30*VLOOKUP('Données projet'!$B$12,Paramètres!$A$1:$I$89,3,0)*VLOOKUP('Données projet'!$B$12,Paramètres!$A$1:$I$89,5,0)</f>
        <v>111.45888000000002</v>
      </c>
      <c r="CA30" s="13">
        <f t="shared" si="39"/>
        <v>29.674444066375862</v>
      </c>
      <c r="CB30" s="20">
        <f t="shared" si="10"/>
        <v>245.80720608227134</v>
      </c>
      <c r="CC30" s="59">
        <f t="shared" si="11"/>
        <v>539.14053941560462</v>
      </c>
      <c r="CD30" s="59">
        <f ca="1">AVERAGE(OFFSET($CC$3,0,0,'Données projet'!$E$12+1,1))-AVERAGE(OFFSET($H$3,0,0,'Données projet'!$E$12+1,1))</f>
        <v>230.68538392491388</v>
      </c>
      <c r="CE30" s="59">
        <f t="shared" si="40"/>
        <v>267.97457956620724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3.4005582247077122</v>
      </c>
      <c r="CM30" s="21">
        <f>EXP(-LN(2)/2)*CM29+(1-EXP(-LN(2)/2))/(LN(2)/2)*CG30*CJ30*VLOOKUP('Données projet'!$B$12,Paramètres!$A$1:$I$89,3,0)*0.475*44/12</f>
        <v>0.72725332342292248</v>
      </c>
      <c r="CN30" s="22">
        <f t="shared" si="12"/>
        <v>4.1278115481306346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45.096479999999993</v>
      </c>
      <c r="CV30" s="13">
        <f t="shared" si="41"/>
        <v>13.339897895146274</v>
      </c>
      <c r="CW30" s="20">
        <f t="shared" si="13"/>
        <v>101.77669150071307</v>
      </c>
      <c r="CX30" s="59">
        <f t="shared" si="14"/>
        <v>395.11002483404638</v>
      </c>
      <c r="CY30" s="59">
        <f ca="1">AVERAGE(OFFSET($CX$3,0,0,'Données projet'!$E$13+1,1))-AVERAGE(OFFSET($H$3,0,0,'Données projet'!$E$13+1,1))</f>
        <v>242.1473060698724</v>
      </c>
      <c r="CZ30" s="59">
        <f t="shared" si="42"/>
        <v>96.127995920458659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0</v>
      </c>
      <c r="EP30" s="59">
        <f t="shared" si="46"/>
        <v>0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16.266666666666666</v>
      </c>
      <c r="N31" s="13">
        <f>IF('Données projet'!$A$36&gt;35,N30+M31-V30,IF(A31&lt;'Données projet'!$A$36,$K$205^A31,IF(A31='Données projet'!$A$36,'Données projet'!$B$36,N30+M31-V30)))</f>
        <v>281.13333333333321</v>
      </c>
      <c r="O31" s="13">
        <f>N31*VLOOKUP('Données projet'!$B$9,Paramètres!$A$1:$I$89,3,0)*VLOOKUP('Données projet'!$B$9,Paramètres!$A$1:$I$89,5,0)</f>
        <v>168.11773333333329</v>
      </c>
      <c r="P31" s="13">
        <f t="shared" si="33"/>
        <v>42.668185684520004</v>
      </c>
      <c r="Q31" s="20">
        <f t="shared" si="2"/>
        <v>367.11880895609448</v>
      </c>
      <c r="R31" s="59">
        <f t="shared" si="0"/>
        <v>660.4521422894278</v>
      </c>
      <c r="S31" s="59">
        <f ca="1">AVERAGE(OFFSET($R$3,0,0,'Données projet'!$E$9+1,1))-AVERAGE(OFFSET($H$3,0,0,'Données projet'!$E$9+1,1))</f>
        <v>179.86010141761648</v>
      </c>
      <c r="T31" s="59">
        <f t="shared" si="34"/>
        <v>367.01744242396057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3.5951515748669332</v>
      </c>
      <c r="AA31" s="21">
        <f>EXP(-LN(2)/25)*AA30+(1-EXP(-LN(2)/25))/(LN(2)/25)*Calculateur!V31*Calculateur!X31*VLOOKUP('Données projet'!$B$9,Paramètres!$A$1:$I$89,3,0)*0.475*44/12</f>
        <v>11.063540942142792</v>
      </c>
      <c r="AB31" s="21">
        <f>EXP(-LN(2)/2)*AB30+(1-EXP(-LN(2)/2))/(LN(2)/2)*V31*Y31*VLOOKUP('Données projet'!$B$9,Paramètres!$A$1:$I$89,3,0)*0.475*44/12</f>
        <v>1.0938991578033361</v>
      </c>
      <c r="AC31" s="22">
        <f t="shared" si="3"/>
        <v>15.752591674813061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226.40000000000006</v>
      </c>
      <c r="AJ31" s="13">
        <f>AI31*VLOOKUP('Données projet'!$B$10,Paramètres!$A$1:$I$89,3,0)*VLOOKUP('Données projet'!$B$10,Paramètres!$A$1:$I$89,5,0)</f>
        <v>135.38720000000004</v>
      </c>
      <c r="AK31" s="13">
        <f t="shared" si="35"/>
        <v>35.238226113459085</v>
      </c>
      <c r="AL31" s="20">
        <f t="shared" si="4"/>
        <v>297.17261714760798</v>
      </c>
      <c r="AM31" s="59">
        <f t="shared" si="5"/>
        <v>590.50595048094124</v>
      </c>
      <c r="AN31" s="59">
        <f ca="1">AVERAGE(OFFSET($AM$3,0,0,'Données projet'!$E$10+1,1))-AVERAGE(OFFSET($H$3,0,0,'Données projet'!$E$10+1,1))</f>
        <v>318.09371753144256</v>
      </c>
      <c r="AO31" s="59">
        <f t="shared" si="36"/>
        <v>298.61479562586919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5.2695171931618079</v>
      </c>
      <c r="AW31" s="21">
        <f>EXP(-LN(2)/2)*AW30+(1-EXP(-LN(2)/2))/(LN(2)/2)*AQ31*AT31*VLOOKUP('Données projet'!$B$10,Paramètres!$A$1:$I$89,3,0)*0.475*44/12</f>
        <v>0.78286786922095575</v>
      </c>
      <c r="AX31" s="21">
        <f t="shared" si="6"/>
        <v>6.052385062382764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33</v>
      </c>
      <c r="BD31" s="12">
        <f>IF('Données projet'!$A$88&gt;35,BD30+BC31-BL30,IF(A31&lt;'Données projet'!$A$88,$BA$205^A31,IF(A31='Données projet'!$A$88,'Données projet'!$B$88,BD30+BC31-BL30)))</f>
        <v>294.99999999999994</v>
      </c>
      <c r="BE31" s="13">
        <f>BD31*VLOOKUP('Données projet'!$B$11,Paramètres!$A$1:$I$89,3,0)*VLOOKUP('Données projet'!$B$11,Paramètres!$A$1:$I$89,5,0)</f>
        <v>257.71199999999999</v>
      </c>
      <c r="BF31" s="13">
        <f t="shared" si="37"/>
        <v>62.234418209404197</v>
      </c>
      <c r="BG31" s="20">
        <f t="shared" si="7"/>
        <v>557.2400117147123</v>
      </c>
      <c r="BH31" s="59">
        <f t="shared" si="8"/>
        <v>850.57334504804567</v>
      </c>
      <c r="BI31" s="59">
        <f ca="1">AVERAGE(OFFSET($BH$3,0,0,'Données projet'!$E$11+1,1))-AVERAGE(OFFSET($H$3,0,0,'Données projet'!$E$11+1,1))</f>
        <v>247.43282553724879</v>
      </c>
      <c r="BJ31" s="59">
        <f t="shared" si="38"/>
        <v>637.29471578895527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14.448787862457866</v>
      </c>
      <c r="BS31" s="22">
        <f t="shared" si="9"/>
        <v>14.448787862457866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12.2</v>
      </c>
      <c r="BY31" s="12">
        <f>IF('Données projet'!$A$114&gt;35,BY30+BX31-CG30,IF(A31&lt;'Données projet'!$A$114,$BV$205^A31,IF(A31='Données projet'!$A$114,'Données projet'!$B$114,BY30+BX31-CG30)))</f>
        <v>149.6</v>
      </c>
      <c r="BZ31" s="13">
        <f>BY31*VLOOKUP('Données projet'!$B$12,Paramètres!$A$1:$I$89,3,0)*VLOOKUP('Données projet'!$B$12,Paramètres!$A$1:$I$89,5,0)</f>
        <v>121.35552000000001</v>
      </c>
      <c r="CA31" s="13">
        <f t="shared" si="39"/>
        <v>31.990945095046595</v>
      </c>
      <c r="CB31" s="20">
        <f t="shared" si="10"/>
        <v>267.07842670720612</v>
      </c>
      <c r="CC31" s="59">
        <f t="shared" si="11"/>
        <v>560.41176004053943</v>
      </c>
      <c r="CD31" s="59">
        <f ca="1">AVERAGE(OFFSET($CC$3,0,0,'Données projet'!$E$12+1,1))-AVERAGE(OFFSET($H$3,0,0,'Données projet'!$E$12+1,1))</f>
        <v>230.68538392491388</v>
      </c>
      <c r="CE31" s="59">
        <f t="shared" si="40"/>
        <v>267.97457956620724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3.3075697812254949</v>
      </c>
      <c r="CM31" s="21">
        <f>EXP(-LN(2)/2)*CM30+(1-EXP(-LN(2)/2))/(LN(2)/2)*CG31*CJ31*VLOOKUP('Données projet'!$B$12,Paramètres!$A$1:$I$89,3,0)*0.475*44/12</f>
        <v>0.51424575663280192</v>
      </c>
      <c r="CN31" s="22">
        <f t="shared" si="12"/>
        <v>3.821815537858297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50.562719999999992</v>
      </c>
      <c r="CV31" s="13">
        <f t="shared" si="41"/>
        <v>14.758989764964552</v>
      </c>
      <c r="CW31" s="20">
        <f t="shared" si="13"/>
        <v>113.76864450731324</v>
      </c>
      <c r="CX31" s="59">
        <f t="shared" si="14"/>
        <v>407.10197784064655</v>
      </c>
      <c r="CY31" s="59">
        <f ca="1">AVERAGE(OFFSET($CX$3,0,0,'Données projet'!$E$13+1,1))-AVERAGE(OFFSET($H$3,0,0,'Données projet'!$E$13+1,1))</f>
        <v>242.1473060698724</v>
      </c>
      <c r="CZ31" s="59">
        <f t="shared" si="42"/>
        <v>96.127995920458659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0</v>
      </c>
      <c r="EP31" s="59">
        <f t="shared" si="46"/>
        <v>0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16.266666666666666</v>
      </c>
      <c r="N32" s="13">
        <f>IF('Données projet'!$A$36&gt;35,N31+M32-V31,IF(A32&lt;'Données projet'!$A$36,$K$205^A32,IF(A32='Données projet'!$A$36,'Données projet'!$B$36,N31+M32-V31)))</f>
        <v>297.39999999999986</v>
      </c>
      <c r="O32" s="13">
        <f>N32*VLOOKUP('Données projet'!$B$9,Paramètres!$A$1:$I$89,3,0)*VLOOKUP('Données projet'!$B$9,Paramètres!$A$1:$I$89,5,0)</f>
        <v>177.84519999999995</v>
      </c>
      <c r="P32" s="13">
        <f t="shared" si="33"/>
        <v>44.842447359713951</v>
      </c>
      <c r="Q32" s="20">
        <f t="shared" si="2"/>
        <v>387.84765248483501</v>
      </c>
      <c r="R32" s="59">
        <f t="shared" si="0"/>
        <v>681.18098581816832</v>
      </c>
      <c r="S32" s="59">
        <f ca="1">AVERAGE(OFFSET($R$3,0,0,'Données projet'!$E$9+1,1))-AVERAGE(OFFSET($H$3,0,0,'Données projet'!$E$9+1,1))</f>
        <v>179.86010141761648</v>
      </c>
      <c r="T32" s="59">
        <f t="shared" si="34"/>
        <v>367.01744242396057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3.5246528453097299</v>
      </c>
      <c r="AA32" s="21">
        <f>EXP(-LN(2)/25)*AA31+(1-EXP(-LN(2)/25))/(LN(2)/25)*Calculateur!V32*Calculateur!X32*VLOOKUP('Données projet'!$B$9,Paramètres!$A$1:$I$89,3,0)*0.475*44/12</f>
        <v>10.761007833273565</v>
      </c>
      <c r="AB32" s="21">
        <f>EXP(-LN(2)/2)*AB31+(1-EXP(-LN(2)/2))/(LN(2)/2)*V32*Y32*VLOOKUP('Données projet'!$B$9,Paramètres!$A$1:$I$89,3,0)*0.475*44/12</f>
        <v>0.77350351241699222</v>
      </c>
      <c r="AC32" s="22">
        <f t="shared" si="3"/>
        <v>15.059164191000287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243.20000000000007</v>
      </c>
      <c r="AJ32" s="13">
        <f>AI32*VLOOKUP('Données projet'!$B$10,Paramètres!$A$1:$I$89,3,0)*VLOOKUP('Données projet'!$B$10,Paramètres!$A$1:$I$89,5,0)</f>
        <v>145.43360000000007</v>
      </c>
      <c r="AK32" s="13">
        <f t="shared" si="35"/>
        <v>37.538995050574634</v>
      </c>
      <c r="AL32" s="20">
        <f t="shared" si="4"/>
        <v>318.67726971308429</v>
      </c>
      <c r="AM32" s="59">
        <f t="shared" si="5"/>
        <v>612.0106030464176</v>
      </c>
      <c r="AN32" s="59">
        <f ca="1">AVERAGE(OFFSET($AM$3,0,0,'Données projet'!$E$10+1,1))-AVERAGE(OFFSET($H$3,0,0,'Données projet'!$E$10+1,1))</f>
        <v>318.09371753144256</v>
      </c>
      <c r="AO32" s="59">
        <f t="shared" si="36"/>
        <v>298.61479562586919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5.1254219684029323</v>
      </c>
      <c r="AW32" s="21">
        <f>EXP(-LN(2)/2)*AW31+(1-EXP(-LN(2)/2))/(LN(2)/2)*AQ32*AT32*VLOOKUP('Données projet'!$B$10,Paramètres!$A$1:$I$89,3,0)*0.475*44/12</f>
        <v>0.55357117909920106</v>
      </c>
      <c r="AX32" s="21">
        <f t="shared" si="6"/>
        <v>5.6789931475021334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33</v>
      </c>
      <c r="BD32" s="12">
        <f>IF('Données projet'!$A$88&gt;35,BD31+BC32-BL31,IF(A32&lt;'Données projet'!$A$88,$BA$205^A32,IF(A32='Données projet'!$A$88,'Données projet'!$B$88,BD31+BC32-BL31)))</f>
        <v>327.99999999999994</v>
      </c>
      <c r="BE32" s="13">
        <f>BD32*VLOOKUP('Données projet'!$B$11,Paramètres!$A$1:$I$89,3,0)*VLOOKUP('Données projet'!$B$11,Paramètres!$A$1:$I$89,5,0)</f>
        <v>286.54079999999999</v>
      </c>
      <c r="BF32" s="13">
        <f t="shared" si="37"/>
        <v>68.347404831167935</v>
      </c>
      <c r="BG32" s="20">
        <f t="shared" si="7"/>
        <v>618.09695674761747</v>
      </c>
      <c r="BH32" s="59">
        <f t="shared" si="8"/>
        <v>911.43029008095073</v>
      </c>
      <c r="BI32" s="59">
        <f ca="1">AVERAGE(OFFSET($BH$3,0,0,'Données projet'!$E$11+1,1))-AVERAGE(OFFSET($H$3,0,0,'Données projet'!$E$11+1,1))</f>
        <v>247.43282553724879</v>
      </c>
      <c r="BJ32" s="59">
        <f t="shared" si="38"/>
        <v>637.29471578895527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10.216835877469839</v>
      </c>
      <c r="BS32" s="22">
        <f t="shared" si="9"/>
        <v>10.216835877469839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12.2</v>
      </c>
      <c r="BY32" s="12">
        <f>IF('Données projet'!$A$114&gt;35,BY31+BX32-CG31,IF(A32&lt;'Données projet'!$A$114,$BV$205^A32,IF(A32='Données projet'!$A$114,'Données projet'!$B$114,BY31+BX32-CG31)))</f>
        <v>161.79999999999998</v>
      </c>
      <c r="BZ32" s="13">
        <f>BY32*VLOOKUP('Données projet'!$B$12,Paramètres!$A$1:$I$89,3,0)*VLOOKUP('Données projet'!$B$12,Paramètres!$A$1:$I$89,5,0)</f>
        <v>131.25216</v>
      </c>
      <c r="CA32" s="13">
        <f t="shared" si="39"/>
        <v>34.285535125000187</v>
      </c>
      <c r="CB32" s="20">
        <f t="shared" si="10"/>
        <v>288.31148567604197</v>
      </c>
      <c r="CC32" s="59">
        <f t="shared" si="11"/>
        <v>581.64481900937528</v>
      </c>
      <c r="CD32" s="59">
        <f ca="1">AVERAGE(OFFSET($CC$3,0,0,'Données projet'!$E$12+1,1))-AVERAGE(OFFSET($H$3,0,0,'Données projet'!$E$12+1,1))</f>
        <v>230.68538392491388</v>
      </c>
      <c r="CE32" s="59">
        <f t="shared" si="40"/>
        <v>267.97457956620724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3.2171241116203486</v>
      </c>
      <c r="CM32" s="21">
        <f>EXP(-LN(2)/2)*CM31+(1-EXP(-LN(2)/2))/(LN(2)/2)*CG32*CJ32*VLOOKUP('Données projet'!$B$12,Paramètres!$A$1:$I$89,3,0)*0.475*44/12</f>
        <v>0.36362666171146124</v>
      </c>
      <c r="CN32" s="22">
        <f t="shared" si="12"/>
        <v>3.5807507733318098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56.028959999999984</v>
      </c>
      <c r="CV32" s="13">
        <f t="shared" si="41"/>
        <v>16.160299450101345</v>
      </c>
      <c r="CW32" s="20">
        <f t="shared" si="13"/>
        <v>125.72962687559315</v>
      </c>
      <c r="CX32" s="59">
        <f t="shared" si="14"/>
        <v>419.06296020892648</v>
      </c>
      <c r="CY32" s="59">
        <f ca="1">AVERAGE(OFFSET($CX$3,0,0,'Données projet'!$E$13+1,1))-AVERAGE(OFFSET($H$3,0,0,'Données projet'!$E$13+1,1))</f>
        <v>242.1473060698724</v>
      </c>
      <c r="CZ32" s="59">
        <f t="shared" si="42"/>
        <v>96.127995920458659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0</v>
      </c>
      <c r="EP32" s="59">
        <f t="shared" si="46"/>
        <v>0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16.266666666666666</v>
      </c>
      <c r="N33" s="13">
        <f>IF('Données projet'!$A$36&gt;35,N32+M33-V32,IF(A33&lt;'Données projet'!$A$36,$K$205^A33,IF(A33='Données projet'!$A$36,'Données projet'!$B$36,N32+M33-V32)))</f>
        <v>313.66666666666652</v>
      </c>
      <c r="O33" s="13">
        <f>N33*VLOOKUP('Données projet'!$B$9,Paramètres!$A$1:$I$89,3,0)*VLOOKUP('Données projet'!$B$9,Paramètres!$A$1:$I$89,5,0)</f>
        <v>187.57266666666661</v>
      </c>
      <c r="P33" s="13">
        <f t="shared" si="33"/>
        <v>47.002902990251329</v>
      </c>
      <c r="Q33" s="20">
        <f t="shared" si="2"/>
        <v>408.55245048579872</v>
      </c>
      <c r="R33" s="59">
        <f t="shared" si="0"/>
        <v>701.88578381913203</v>
      </c>
      <c r="S33" s="59">
        <f ca="1">AVERAGE(OFFSET($R$3,0,0,'Données projet'!$E$9+1,1))-AVERAGE(OFFSET($H$3,0,0,'Données projet'!$E$9+1,1))</f>
        <v>179.86010141761648</v>
      </c>
      <c r="T33" s="59">
        <f t="shared" si="34"/>
        <v>367.01744242396057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3.4555365528391642</v>
      </c>
      <c r="AA33" s="21">
        <f>EXP(-LN(2)/25)*AA32+(1-EXP(-LN(2)/25))/(LN(2)/25)*Calculateur!V33*Calculateur!X33*VLOOKUP('Données projet'!$B$9,Paramètres!$A$1:$I$89,3,0)*0.475*44/12</f>
        <v>10.466747508175892</v>
      </c>
      <c r="AB33" s="21">
        <f>EXP(-LN(2)/2)*AB32+(1-EXP(-LN(2)/2))/(LN(2)/2)*V33*Y33*VLOOKUP('Données projet'!$B$9,Paramètres!$A$1:$I$89,3,0)*0.475*44/12</f>
        <v>0.54694957890166807</v>
      </c>
      <c r="AC33" s="22">
        <f t="shared" si="3"/>
        <v>14.469233639916723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260.00000000000006</v>
      </c>
      <c r="AJ33" s="13">
        <f>AI33*VLOOKUP('Données projet'!$B$10,Paramètres!$A$1:$I$89,3,0)*VLOOKUP('Données projet'!$B$10,Paramètres!$A$1:$I$89,5,0)</f>
        <v>155.48000000000005</v>
      </c>
      <c r="AK33" s="13">
        <f t="shared" si="35"/>
        <v>39.821322691506545</v>
      </c>
      <c r="AL33" s="20">
        <f t="shared" si="4"/>
        <v>340.14980368770728</v>
      </c>
      <c r="AM33" s="59">
        <f t="shared" si="5"/>
        <v>633.48313702104065</v>
      </c>
      <c r="AN33" s="59">
        <f ca="1">AVERAGE(OFFSET($AM$3,0,0,'Données projet'!$E$10+1,1))-AVERAGE(OFFSET($H$3,0,0,'Données projet'!$E$10+1,1))</f>
        <v>318.09371753144256</v>
      </c>
      <c r="AO33" s="59">
        <f t="shared" si="36"/>
        <v>298.61479562586919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20.666033451208115</v>
      </c>
      <c r="AW33" s="21">
        <f>EXP(-LN(2)/2)*AW32+(1-EXP(-LN(2)/2))/(LN(2)/2)*AQ33*AT33*VLOOKUP('Données projet'!$B$10,Paramètres!$A$1:$I$89,3,0)*0.475*44/12</f>
        <v>30.250437638518935</v>
      </c>
      <c r="AX33" s="21">
        <f t="shared" si="6"/>
        <v>54.414860340323102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361</v>
      </c>
      <c r="BB33" s="12">
        <f>VLOOKUP(A33,'Données projet'!$A$87:$I$107,9,0)</f>
        <v>33</v>
      </c>
      <c r="BC33" s="12">
        <f t="array" ref="BC33">INDEX(BB:BB,MIN(IF(ISNUMBER(BB33:BB229),ROW(BB33:BB229),"")))</f>
        <v>33</v>
      </c>
      <c r="BD33" s="12">
        <f>IF('Données projet'!$A$88&gt;35,BD32+BC33-BL32,IF(A33&lt;'Données projet'!$A$88,$BA$205^A33,IF(A33='Données projet'!$A$88,'Données projet'!$B$88,BD32+BC33-BL32)))</f>
        <v>360.99999999999994</v>
      </c>
      <c r="BE33" s="13">
        <f>BD33*VLOOKUP('Données projet'!$B$11,Paramètres!$A$1:$I$89,3,0)*VLOOKUP('Données projet'!$B$11,Paramètres!$A$1:$I$89,5,0)</f>
        <v>315.36959999999999</v>
      </c>
      <c r="BF33" s="13">
        <f t="shared" si="37"/>
        <v>74.389093120072786</v>
      </c>
      <c r="BG33" s="20">
        <f t="shared" si="7"/>
        <v>678.82972385079347</v>
      </c>
      <c r="BH33" s="59">
        <f t="shared" si="8"/>
        <v>972.16305718412673</v>
      </c>
      <c r="BI33" s="59">
        <f ca="1">AVERAGE(OFFSET($BH$3,0,0,'Données projet'!$E$11+1,1))-AVERAGE(OFFSET($H$3,0,0,'Données projet'!$E$11+1,1))</f>
        <v>247.43282553724879</v>
      </c>
      <c r="BJ33" s="59">
        <f t="shared" si="38"/>
        <v>637.29471578895527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325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275.11055552599078</v>
      </c>
      <c r="BS33" s="22">
        <f t="shared" si="9"/>
        <v>275.11055552599078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174</v>
      </c>
      <c r="BW33" s="12">
        <f>VLOOKUP(A33,'Données projet'!$A$113:$I$133,9,0)</f>
        <v>12.2</v>
      </c>
      <c r="BX33" s="12">
        <f t="array" ref="BX33">INDEX(BW:BW,MIN(IF(ISNUMBER(BW33:BW229),ROW(BW33:BW229),"")))</f>
        <v>12.2</v>
      </c>
      <c r="BY33" s="12">
        <f>IF('Données projet'!$A$114&gt;35,BY32+BX33-CG32,IF(A33&lt;'Données projet'!$A$114,$BV$205^A33,IF(A33='Données projet'!$A$114,'Données projet'!$B$114,BY32+BX33-CG32)))</f>
        <v>173.99999999999997</v>
      </c>
      <c r="BZ33" s="13">
        <f>BY33*VLOOKUP('Données projet'!$B$12,Paramètres!$A$1:$I$89,3,0)*VLOOKUP('Données projet'!$B$12,Paramètres!$A$1:$I$89,5,0)</f>
        <v>141.14879999999999</v>
      </c>
      <c r="CA33" s="13">
        <f t="shared" si="39"/>
        <v>36.560054140504484</v>
      </c>
      <c r="CB33" s="20">
        <f t="shared" si="10"/>
        <v>309.50958762804532</v>
      </c>
      <c r="CC33" s="59">
        <f t="shared" si="11"/>
        <v>602.8429209613787</v>
      </c>
      <c r="CD33" s="59">
        <f ca="1">AVERAGE(OFFSET($CC$3,0,0,'Données projet'!$E$12+1,1))-AVERAGE(OFFSET($H$3,0,0,'Données projet'!$E$12+1,1))</f>
        <v>230.68538392491388</v>
      </c>
      <c r="CE33" s="59">
        <f t="shared" si="40"/>
        <v>267.97457956620724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8.5063763912707451</v>
      </c>
      <c r="CM33" s="21">
        <f>EXP(-LN(2)/2)*CM32+(1-EXP(-LN(2)/2))/(LN(2)/2)*CG33*CJ33*VLOOKUP('Données projet'!$B$12,Paramètres!$A$1:$I$89,3,0)*0.475*44/12</f>
        <v>10.972569342106874</v>
      </c>
      <c r="CN33" s="22">
        <f t="shared" si="12"/>
        <v>19.478945733377621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61.495199999999983</v>
      </c>
      <c r="CV33" s="13">
        <f t="shared" si="41"/>
        <v>17.545759224285259</v>
      </c>
      <c r="CW33" s="20">
        <f t="shared" si="13"/>
        <v>137.6630039822968</v>
      </c>
      <c r="CX33" s="59">
        <f t="shared" si="14"/>
        <v>430.99633731563011</v>
      </c>
      <c r="CY33" s="59">
        <f ca="1">AVERAGE(OFFSET($CX$3,0,0,'Données projet'!$E$13+1,1))-AVERAGE(OFFSET($H$3,0,0,'Données projet'!$E$13+1,1))</f>
        <v>242.1473060698724</v>
      </c>
      <c r="CZ33" s="59">
        <f t="shared" si="42"/>
        <v>96.127995920458659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0</v>
      </c>
      <c r="EP33" s="59">
        <f t="shared" si="46"/>
        <v>0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16.266666666666666</v>
      </c>
      <c r="N34" s="13">
        <f>IF('Données projet'!$A$36&gt;35,N33+M34-V33,IF(A34&lt;'Données projet'!$A$36,$K$205^A34,IF(A34='Données projet'!$A$36,'Données projet'!$B$36,N33+M34-V33)))</f>
        <v>329.93333333333317</v>
      </c>
      <c r="O34" s="13">
        <f>N34*VLOOKUP('Données projet'!$B$9,Paramètres!$A$1:$I$89,3,0)*VLOOKUP('Données projet'!$B$9,Paramètres!$A$1:$I$89,5,0)</f>
        <v>197.30013333333326</v>
      </c>
      <c r="P34" s="13">
        <f t="shared" si="33"/>
        <v>49.15035021891218</v>
      </c>
      <c r="Q34" s="20">
        <f t="shared" si="2"/>
        <v>429.23459218682746</v>
      </c>
      <c r="R34" s="59">
        <f t="shared" si="0"/>
        <v>722.56792552016077</v>
      </c>
      <c r="S34" s="59">
        <f ca="1">AVERAGE(OFFSET($R$3,0,0,'Données projet'!$E$9+1,1))-AVERAGE(OFFSET($H$3,0,0,'Données projet'!$E$9+1,1))</f>
        <v>179.86010141761648</v>
      </c>
      <c r="T34" s="59">
        <f t="shared" si="34"/>
        <v>367.01744242396057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3.3877755887071705</v>
      </c>
      <c r="AA34" s="21">
        <f>EXP(-LN(2)/25)*AA33+(1-EXP(-LN(2)/25))/(LN(2)/25)*Calculateur!V34*Calculateur!X34*VLOOKUP('Données projet'!$B$9,Paramètres!$A$1:$I$89,3,0)*0.475*44/12</f>
        <v>10.180533747142492</v>
      </c>
      <c r="AB34" s="21">
        <f>EXP(-LN(2)/2)*AB33+(1-EXP(-LN(2)/2))/(LN(2)/2)*V34*Y34*VLOOKUP('Données projet'!$B$9,Paramètres!$A$1:$I$89,3,0)*0.475*44/12</f>
        <v>0.38675175620849611</v>
      </c>
      <c r="AC34" s="22">
        <f t="shared" si="3"/>
        <v>13.955061092058159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</v>
      </c>
      <c r="AI34" s="13">
        <f>IF('Données projet'!$A$62&gt;35,AI33+AH34-AQ33,IF(A34&lt;'Données projet'!$A$62,$AF$205^A34,IF(A34='Données projet'!$A$62,'Données projet'!$B$62,AI33+AH34-AQ33)))</f>
        <v>180.70000000000005</v>
      </c>
      <c r="AJ34" s="13">
        <f>AI34*VLOOKUP('Données projet'!$B$10,Paramètres!$A$1:$I$89,3,0)*VLOOKUP('Données projet'!$B$10,Paramètres!$A$1:$I$89,5,0)</f>
        <v>108.05860000000004</v>
      </c>
      <c r="AK34" s="13">
        <f t="shared" si="35"/>
        <v>28.87310263521136</v>
      </c>
      <c r="AL34" s="20">
        <f t="shared" si="4"/>
        <v>238.48938208965981</v>
      </c>
      <c r="AM34" s="59">
        <f t="shared" si="5"/>
        <v>531.82271542299316</v>
      </c>
      <c r="AN34" s="59">
        <f ca="1">AVERAGE(OFFSET($AM$3,0,0,'Données projet'!$E$10+1,1))-AVERAGE(OFFSET($H$3,0,0,'Données projet'!$E$10+1,1))</f>
        <v>318.09371753144256</v>
      </c>
      <c r="AO34" s="59">
        <f t="shared" si="36"/>
        <v>298.61479562586919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20.100919679705363</v>
      </c>
      <c r="AW34" s="21">
        <f>EXP(-LN(2)/2)*AW33+(1-EXP(-LN(2)/2))/(LN(2)/2)*AQ34*AT34*VLOOKUP('Données projet'!$B$10,Paramètres!$A$1:$I$89,3,0)*0.475*44/12</f>
        <v>21.390289588057513</v>
      </c>
      <c r="AX34" s="21">
        <f t="shared" si="6"/>
        <v>44.920997238961483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35.999999999999943</v>
      </c>
      <c r="BE34" s="13">
        <f>BD34*VLOOKUP('Données projet'!$B$11,Paramètres!$A$1:$I$89,3,0)*VLOOKUP('Données projet'!$B$11,Paramètres!$A$1:$I$89,5,0)</f>
        <v>31.449599999999958</v>
      </c>
      <c r="BF34" s="13">
        <f t="shared" si="37"/>
        <v>9.7016318496336709</v>
      </c>
      <c r="BG34" s="20">
        <f t="shared" si="7"/>
        <v>71.671728804778567</v>
      </c>
      <c r="BH34" s="59">
        <f t="shared" si="8"/>
        <v>365.0050621381119</v>
      </c>
      <c r="BI34" s="59">
        <f ca="1">AVERAGE(OFFSET($BH$3,0,0,'Données projet'!$E$11+1,1))-AVERAGE(OFFSET($H$3,0,0,'Données projet'!$E$11+1,1))</f>
        <v>247.43282553724879</v>
      </c>
      <c r="BJ34" s="59">
        <f t="shared" si="38"/>
        <v>637.29471578895527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194.5325393884263</v>
      </c>
      <c r="BS34" s="22">
        <f t="shared" si="9"/>
        <v>194.5325393884263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10.199999999999999</v>
      </c>
      <c r="BY34" s="12">
        <f>IF('Données projet'!$A$114&gt;35,BY33+BX34-CG33,IF(A34&lt;'Données projet'!$A$114,$BV$205^A34,IF(A34='Données projet'!$A$114,'Données projet'!$B$114,BY33+BX34-CG33)))</f>
        <v>128.19999999999996</v>
      </c>
      <c r="BZ34" s="13">
        <f>BY34*VLOOKUP('Données projet'!$B$12,Paramètres!$A$1:$I$89,3,0)*VLOOKUP('Données projet'!$B$12,Paramètres!$A$1:$I$89,5,0)</f>
        <v>103.99583999999999</v>
      </c>
      <c r="CA34" s="13">
        <f t="shared" si="39"/>
        <v>27.911769723878031</v>
      </c>
      <c r="CB34" s="20">
        <f t="shared" si="10"/>
        <v>229.73908693575422</v>
      </c>
      <c r="CC34" s="59">
        <f t="shared" si="11"/>
        <v>523.0724202690875</v>
      </c>
      <c r="CD34" s="59">
        <f ca="1">AVERAGE(OFFSET($CC$3,0,0,'Données projet'!$E$12+1,1))-AVERAGE(OFFSET($H$3,0,0,'Données projet'!$E$12+1,1))</f>
        <v>230.68538392491388</v>
      </c>
      <c r="CE34" s="59">
        <f t="shared" si="40"/>
        <v>267.97457956620724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8.2737690815205536</v>
      </c>
      <c r="CM34" s="21">
        <f>EXP(-LN(2)/2)*CM33+(1-EXP(-LN(2)/2))/(LN(2)/2)*CG34*CJ34*VLOOKUP('Données projet'!$B$12,Paramètres!$A$1:$I$89,3,0)*0.475*44/12</f>
        <v>7.7587781888433858</v>
      </c>
      <c r="CN34" s="22">
        <f t="shared" si="12"/>
        <v>16.032547270363938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59.199999999999989</v>
      </c>
      <c r="CU34" s="17">
        <f>CT34*VLOOKUP('Données projet'!$B$13,Paramètres!$A$1:$I$89,3,0)*VLOOKUP('Données projet'!$B$13,Paramètres!$A$1:$I$89,5,0)</f>
        <v>67.416959999999989</v>
      </c>
      <c r="CV34" s="13">
        <f t="shared" si="41"/>
        <v>19.030600798613836</v>
      </c>
      <c r="CW34" s="20">
        <f t="shared" si="13"/>
        <v>150.56283505758572</v>
      </c>
      <c r="CX34" s="59">
        <f t="shared" si="14"/>
        <v>443.896168390919</v>
      </c>
      <c r="CY34" s="59">
        <f ca="1">AVERAGE(OFFSET($CX$3,0,0,'Données projet'!$E$13+1,1))-AVERAGE(OFFSET($H$3,0,0,'Données projet'!$E$13+1,1))</f>
        <v>242.1473060698724</v>
      </c>
      <c r="CZ34" s="59">
        <f t="shared" si="42"/>
        <v>96.127995920458659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0</v>
      </c>
      <c r="EP34" s="59">
        <f t="shared" si="46"/>
        <v>0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16.266666666666666</v>
      </c>
      <c r="N35" s="13">
        <f>IF('Données projet'!$A$36&gt;35,N34+M35-V34,IF(A35&lt;'Données projet'!$A$36,$K$205^A35,IF(A35='Données projet'!$A$36,'Données projet'!$B$36,N34+M35-V34)))</f>
        <v>346.19999999999982</v>
      </c>
      <c r="O35" s="13">
        <f>N35*VLOOKUP('Données projet'!$B$9,Paramètres!$A$1:$I$89,3,0)*VLOOKUP('Données projet'!$B$9,Paramètres!$A$1:$I$89,5,0)</f>
        <v>207.02759999999992</v>
      </c>
      <c r="P35" s="13">
        <f t="shared" si="33"/>
        <v>51.285503592951095</v>
      </c>
      <c r="Q35" s="20">
        <f t="shared" ref="Q35:Q66" si="53">(O35+P35)*0.475*44/12</f>
        <v>449.89532209105636</v>
      </c>
      <c r="R35" s="59">
        <f t="shared" si="0"/>
        <v>743.22865542438967</v>
      </c>
      <c r="S35" s="59">
        <f ca="1">AVERAGE(OFFSET($R$3,0,0,'Données projet'!$E$9+1,1))-AVERAGE(OFFSET($H$3,0,0,'Données projet'!$E$9+1,1))</f>
        <v>179.86010141761648</v>
      </c>
      <c r="T35" s="59">
        <f t="shared" si="34"/>
        <v>367.01744242396057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3.3213433757516979</v>
      </c>
      <c r="AA35" s="21">
        <f>EXP(-LN(2)/25)*AA34+(1-EXP(-LN(2)/25))/(LN(2)/25)*Calculateur!V35*Calculateur!X35*VLOOKUP('Données projet'!$B$9,Paramètres!$A$1:$I$89,3,0)*0.475*44/12</f>
        <v>9.9021465164558791</v>
      </c>
      <c r="AB35" s="21">
        <f>EXP(-LN(2)/2)*AB34+(1-EXP(-LN(2)/2))/(LN(2)/2)*V35*Y35*VLOOKUP('Données projet'!$B$9,Paramètres!$A$1:$I$89,3,0)*0.475*44/12</f>
        <v>0.27347478945083403</v>
      </c>
      <c r="AC35" s="22">
        <f t="shared" si="3"/>
        <v>13.496964681658412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</v>
      </c>
      <c r="AI35" s="13">
        <f>IF('Données projet'!$A$62&gt;35,AI34+AH35-AQ34,IF(A35&lt;'Données projet'!$A$62,$AF$205^A35,IF(A35='Données projet'!$A$62,'Données projet'!$B$62,AI34+AH35-AQ34)))</f>
        <v>199.40000000000003</v>
      </c>
      <c r="AJ35" s="13">
        <f>AI35*VLOOKUP('Données projet'!$B$10,Paramètres!$A$1:$I$89,3,0)*VLOOKUP('Données projet'!$B$10,Paramètres!$A$1:$I$89,5,0)</f>
        <v>119.24120000000002</v>
      </c>
      <c r="AK35" s="13">
        <f t="shared" si="35"/>
        <v>31.497956370300944</v>
      </c>
      <c r="AL35" s="20">
        <f t="shared" si="4"/>
        <v>262.53736401160751</v>
      </c>
      <c r="AM35" s="59">
        <f t="shared" si="5"/>
        <v>555.87069734494082</v>
      </c>
      <c r="AN35" s="59">
        <f ca="1">AVERAGE(OFFSET($AM$3,0,0,'Données projet'!$E$10+1,1))-AVERAGE(OFFSET($H$3,0,0,'Données projet'!$E$10+1,1))</f>
        <v>318.09371753144256</v>
      </c>
      <c r="AO35" s="59">
        <f t="shared" si="36"/>
        <v>298.61479562586919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19.551258974002394</v>
      </c>
      <c r="AW35" s="21">
        <f>EXP(-LN(2)/2)*AW34+(1-EXP(-LN(2)/2))/(LN(2)/2)*AQ35*AT35*VLOOKUP('Données projet'!$B$10,Paramètres!$A$1:$I$89,3,0)*0.475*44/12</f>
        <v>15.125218819259471</v>
      </c>
      <c r="AX35" s="21">
        <f t="shared" si="6"/>
        <v>38.039009714309366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35.999999999999943</v>
      </c>
      <c r="BE35" s="13">
        <f>BD35*VLOOKUP('Données projet'!$B$11,Paramètres!$A$1:$I$89,3,0)*VLOOKUP('Données projet'!$B$11,Paramètres!$A$1:$I$89,5,0)</f>
        <v>31.449599999999958</v>
      </c>
      <c r="BF35" s="13">
        <f t="shared" si="37"/>
        <v>9.7016318496336709</v>
      </c>
      <c r="BG35" s="20">
        <f t="shared" si="7"/>
        <v>71.671728804778567</v>
      </c>
      <c r="BH35" s="59">
        <f t="shared" si="8"/>
        <v>365.0050621381119</v>
      </c>
      <c r="BI35" s="59">
        <f ca="1">AVERAGE(OFFSET($BH$3,0,0,'Données projet'!$E$11+1,1))-AVERAGE(OFFSET($H$3,0,0,'Données projet'!$E$11+1,1))</f>
        <v>247.43282553724879</v>
      </c>
      <c r="BJ35" s="59">
        <f t="shared" si="38"/>
        <v>637.29471578895527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137.55527776299542</v>
      </c>
      <c r="BS35" s="22">
        <f t="shared" si="9"/>
        <v>137.55527776299542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10.199999999999999</v>
      </c>
      <c r="BY35" s="12">
        <f>IF('Données projet'!$A$114&gt;35,BY34+BX35-CG34,IF(A35&lt;'Données projet'!$A$114,$BV$205^A35,IF(A35='Données projet'!$A$114,'Données projet'!$B$114,BY34+BX35-CG34)))</f>
        <v>138.39999999999995</v>
      </c>
      <c r="BZ35" s="13">
        <f>BY35*VLOOKUP('Données projet'!$B$12,Paramètres!$A$1:$I$89,3,0)*VLOOKUP('Données projet'!$B$12,Paramètres!$A$1:$I$89,5,0)</f>
        <v>112.27007999999996</v>
      </c>
      <c r="CA35" s="13">
        <f t="shared" si="39"/>
        <v>29.86519561157689</v>
      </c>
      <c r="CB35" s="20">
        <f t="shared" si="10"/>
        <v>247.552271690163</v>
      </c>
      <c r="CC35" s="59">
        <f t="shared" si="11"/>
        <v>540.88560502349628</v>
      </c>
      <c r="CD35" s="59">
        <f ca="1">AVERAGE(OFFSET($CC$3,0,0,'Données projet'!$E$12+1,1))-AVERAGE(OFFSET($H$3,0,0,'Données projet'!$E$12+1,1))</f>
        <v>230.68538392491388</v>
      </c>
      <c r="CE35" s="59">
        <f t="shared" si="40"/>
        <v>267.97457956620724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8.0475224308877689</v>
      </c>
      <c r="CM35" s="21">
        <f>EXP(-LN(2)/2)*CM34+(1-EXP(-LN(2)/2))/(LN(2)/2)*CG35*CJ35*VLOOKUP('Données projet'!$B$12,Paramètres!$A$1:$I$89,3,0)*0.475*44/12</f>
        <v>5.4862846710534381</v>
      </c>
      <c r="CN35" s="22">
        <f t="shared" si="12"/>
        <v>13.533807101941207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64.399999999999991</v>
      </c>
      <c r="CU35" s="17">
        <f>CT35*VLOOKUP('Données projet'!$B$13,Paramètres!$A$1:$I$89,3,0)*VLOOKUP('Données projet'!$B$13,Paramètres!$A$1:$I$89,5,0)</f>
        <v>73.338719999999995</v>
      </c>
      <c r="CV35" s="13">
        <f t="shared" si="41"/>
        <v>20.500317703224091</v>
      </c>
      <c r="CW35" s="20">
        <f t="shared" si="13"/>
        <v>163.43632399978193</v>
      </c>
      <c r="CX35" s="59">
        <f t="shared" si="14"/>
        <v>456.76965733311522</v>
      </c>
      <c r="CY35" s="59">
        <f ca="1">AVERAGE(OFFSET($CX$3,0,0,'Données projet'!$E$13+1,1))-AVERAGE(OFFSET($H$3,0,0,'Données projet'!$E$13+1,1))</f>
        <v>242.1473060698724</v>
      </c>
      <c r="CZ35" s="59">
        <f t="shared" si="42"/>
        <v>96.127995920458659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0</v>
      </c>
      <c r="EP35" s="59">
        <f t="shared" si="46"/>
        <v>0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16.266666666666666</v>
      </c>
      <c r="N36" s="13">
        <f>IF('Données projet'!$A$36&gt;35,N35+M36-V35,IF(A36&lt;'Données projet'!$A$36,$K$205^A36,IF(A36='Données projet'!$A$36,'Données projet'!$B$36,N35+M36-V35)))</f>
        <v>362.46666666666647</v>
      </c>
      <c r="O36" s="13">
        <f>N36*VLOOKUP('Données projet'!$B$9,Paramètres!$A$1:$I$89,3,0)*VLOOKUP('Données projet'!$B$9,Paramètres!$A$1:$I$89,5,0)</f>
        <v>216.75506666666658</v>
      </c>
      <c r="P36" s="13">
        <f t="shared" si="33"/>
        <v>53.409006717119425</v>
      </c>
      <c r="Q36" s="20">
        <f t="shared" si="53"/>
        <v>470.53576114342724</v>
      </c>
      <c r="R36" s="59">
        <f t="shared" si="0"/>
        <v>763.86909447676055</v>
      </c>
      <c r="S36" s="59">
        <f ca="1">AVERAGE(OFFSET($R$3,0,0,'Données projet'!$E$9+1,1))-AVERAGE(OFFSET($H$3,0,0,'Données projet'!$E$9+1,1))</f>
        <v>179.86010141761648</v>
      </c>
      <c r="T36" s="59">
        <f t="shared" si="34"/>
        <v>367.01744242396057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3.2562138579726332</v>
      </c>
      <c r="AA36" s="21">
        <f>EXP(-LN(2)/25)*AA35+(1-EXP(-LN(2)/25))/(LN(2)/25)*Calculateur!V36*Calculateur!X36*VLOOKUP('Données projet'!$B$9,Paramètres!$A$1:$I$89,3,0)*0.475*44/12</f>
        <v>9.6313717992321397</v>
      </c>
      <c r="AB36" s="21">
        <f>EXP(-LN(2)/2)*AB35+(1-EXP(-LN(2)/2))/(LN(2)/2)*V36*Y36*VLOOKUP('Données projet'!$B$9,Paramètres!$A$1:$I$89,3,0)*0.475*44/12</f>
        <v>0.19337587810424806</v>
      </c>
      <c r="AC36" s="22">
        <f t="shared" si="3"/>
        <v>13.080961535309022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</v>
      </c>
      <c r="AI36" s="13">
        <f>IF('Données projet'!$A$62&gt;35,AI35+AH36-AQ35,IF(A36&lt;'Données projet'!$A$62,$AF$205^A36,IF(A36='Données projet'!$A$62,'Données projet'!$B$62,AI35+AH36-AQ35)))</f>
        <v>218.10000000000002</v>
      </c>
      <c r="AJ36" s="13">
        <f>AI36*VLOOKUP('Données projet'!$B$10,Paramètres!$A$1:$I$89,3,0)*VLOOKUP('Données projet'!$B$10,Paramètres!$A$1:$I$89,5,0)</f>
        <v>130.42380000000003</v>
      </c>
      <c r="AK36" s="13">
        <f t="shared" si="35"/>
        <v>34.094268511751807</v>
      </c>
      <c r="AL36" s="20">
        <f t="shared" si="4"/>
        <v>286.53563599130109</v>
      </c>
      <c r="AM36" s="59">
        <f t="shared" si="5"/>
        <v>579.86896932463446</v>
      </c>
      <c r="AN36" s="59">
        <f ca="1">AVERAGE(OFFSET($AM$3,0,0,'Données projet'!$E$10+1,1))-AVERAGE(OFFSET($H$3,0,0,'Données projet'!$E$10+1,1))</f>
        <v>318.09371753144256</v>
      </c>
      <c r="AO36" s="59">
        <f t="shared" si="36"/>
        <v>298.61479562586919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19.016628769202274</v>
      </c>
      <c r="AW36" s="21">
        <f>EXP(-LN(2)/2)*AW35+(1-EXP(-LN(2)/2))/(LN(2)/2)*AQ36*AT36*VLOOKUP('Données projet'!$B$10,Paramètres!$A$1:$I$89,3,0)*0.475*44/12</f>
        <v>10.695144794028758</v>
      </c>
      <c r="AX36" s="21">
        <f t="shared" si="6"/>
        <v>33.008368284248746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35.999999999999943</v>
      </c>
      <c r="BE36" s="13">
        <f>BD36*VLOOKUP('Données projet'!$B$11,Paramètres!$A$1:$I$89,3,0)*VLOOKUP('Données projet'!$B$11,Paramètres!$A$1:$I$89,5,0)</f>
        <v>31.449599999999958</v>
      </c>
      <c r="BF36" s="13">
        <f t="shared" si="37"/>
        <v>9.7016318496336709</v>
      </c>
      <c r="BG36" s="20">
        <f t="shared" si="7"/>
        <v>71.671728804778567</v>
      </c>
      <c r="BH36" s="59">
        <f t="shared" si="8"/>
        <v>365.0050621381119</v>
      </c>
      <c r="BI36" s="59">
        <f ca="1">AVERAGE(OFFSET($BH$3,0,0,'Données projet'!$E$11+1,1))-AVERAGE(OFFSET($H$3,0,0,'Données projet'!$E$11+1,1))</f>
        <v>247.43282553724879</v>
      </c>
      <c r="BJ36" s="59">
        <f t="shared" si="38"/>
        <v>637.29471578895527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97.266269694213179</v>
      </c>
      <c r="BS36" s="22">
        <f t="shared" si="9"/>
        <v>97.266269694213179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10.199999999999999</v>
      </c>
      <c r="BY36" s="12">
        <f>IF('Données projet'!$A$114&gt;35,BY35+BX36-CG35,IF(A36&lt;'Données projet'!$A$114,$BV$205^A36,IF(A36='Données projet'!$A$114,'Données projet'!$B$114,BY35+BX36-CG35)))</f>
        <v>148.59999999999994</v>
      </c>
      <c r="BZ36" s="13">
        <f>BY36*VLOOKUP('Données projet'!$B$12,Paramètres!$A$1:$I$89,3,0)*VLOOKUP('Données projet'!$B$12,Paramètres!$A$1:$I$89,5,0)</f>
        <v>120.54431999999997</v>
      </c>
      <c r="CA36" s="13">
        <f t="shared" si="39"/>
        <v>31.80191953664422</v>
      </c>
      <c r="CB36" s="20">
        <f t="shared" si="10"/>
        <v>265.33636719298863</v>
      </c>
      <c r="CC36" s="59">
        <f t="shared" si="11"/>
        <v>558.669700526322</v>
      </c>
      <c r="CD36" s="59">
        <f ca="1">AVERAGE(OFFSET($CC$3,0,0,'Données projet'!$E$12+1,1))-AVERAGE(OFFSET($H$3,0,0,'Données projet'!$E$12+1,1))</f>
        <v>230.68538392491388</v>
      </c>
      <c r="CE36" s="59">
        <f t="shared" si="40"/>
        <v>267.97457956620724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7.8274625068143306</v>
      </c>
      <c r="CM36" s="21">
        <f>EXP(-LN(2)/2)*CM35+(1-EXP(-LN(2)/2))/(LN(2)/2)*CG36*CJ36*VLOOKUP('Données projet'!$B$12,Paramètres!$A$1:$I$89,3,0)*0.475*44/12</f>
        <v>3.8793890944216938</v>
      </c>
      <c r="CN36" s="22">
        <f t="shared" si="12"/>
        <v>11.706851601236025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69.599999999999994</v>
      </c>
      <c r="CU36" s="17">
        <f>CT36*VLOOKUP('Données projet'!$B$13,Paramètres!$A$1:$I$89,3,0)*VLOOKUP('Données projet'!$B$13,Paramètres!$A$1:$I$89,5,0)</f>
        <v>79.260479999999987</v>
      </c>
      <c r="CV36" s="13">
        <f t="shared" si="41"/>
        <v>21.956270028417133</v>
      </c>
      <c r="CW36" s="20">
        <f t="shared" si="13"/>
        <v>176.28583963282645</v>
      </c>
      <c r="CX36" s="59">
        <f t="shared" si="14"/>
        <v>469.61917296615979</v>
      </c>
      <c r="CY36" s="59">
        <f ca="1">AVERAGE(OFFSET($CX$3,0,0,'Données projet'!$E$13+1,1))-AVERAGE(OFFSET($H$3,0,0,'Données projet'!$E$13+1,1))</f>
        <v>242.1473060698724</v>
      </c>
      <c r="CZ36" s="59">
        <f t="shared" si="42"/>
        <v>96.127995920458659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0</v>
      </c>
      <c r="EP36" s="59">
        <f t="shared" si="46"/>
        <v>0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16.266666666666666</v>
      </c>
      <c r="N37" s="13">
        <f>IF('Données projet'!$A$36&gt;35,N36+M37-V36,IF(A37&lt;'Données projet'!$A$36,$K$205^A37,IF(A37='Données projet'!$A$36,'Données projet'!$B$36,N36+M37-V36)))</f>
        <v>378.73333333333312</v>
      </c>
      <c r="O37" s="13">
        <f>N37*VLOOKUP('Données projet'!$B$9,Paramètres!$A$1:$I$89,3,0)*VLOOKUP('Données projet'!$B$9,Paramètres!$A$1:$I$89,5,0)</f>
        <v>226.48253333333324</v>
      </c>
      <c r="P37" s="13">
        <f t="shared" si="33"/>
        <v>55.521442163454111</v>
      </c>
      <c r="Q37" s="20">
        <f t="shared" si="53"/>
        <v>491.15692399023789</v>
      </c>
      <c r="R37" s="59">
        <f t="shared" si="0"/>
        <v>784.4902573235712</v>
      </c>
      <c r="S37" s="59">
        <f ca="1">AVERAGE(OFFSET($R$3,0,0,'Données projet'!$E$9+1,1))-AVERAGE(OFFSET($H$3,0,0,'Données projet'!$E$9+1,1))</f>
        <v>179.86010141761648</v>
      </c>
      <c r="T37" s="59">
        <f t="shared" si="34"/>
        <v>367.01744242396057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3.1923614903121327</v>
      </c>
      <c r="AA37" s="21">
        <f>EXP(-LN(2)/25)*AA36+(1-EXP(-LN(2)/25))/(LN(2)/25)*Calculateur!V37*Calculateur!X37*VLOOKUP('Données projet'!$B$9,Paramètres!$A$1:$I$89,3,0)*0.475*44/12</f>
        <v>9.3680014308903061</v>
      </c>
      <c r="AB37" s="21">
        <f>EXP(-LN(2)/2)*AB36+(1-EXP(-LN(2)/2))/(LN(2)/2)*V37*Y37*VLOOKUP('Données projet'!$B$9,Paramètres!$A$1:$I$89,3,0)*0.475*44/12</f>
        <v>0.13673739472541702</v>
      </c>
      <c r="AC37" s="22">
        <f t="shared" si="3"/>
        <v>12.697100315927855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18.7</v>
      </c>
      <c r="AI37" s="13">
        <f>IF('Données projet'!$A$62&gt;35,AI36+AH37-AQ36,IF(A37&lt;'Données projet'!$A$62,$AF$205^A37,IF(A37='Données projet'!$A$62,'Données projet'!$B$62,AI36+AH37-AQ36)))</f>
        <v>236.8</v>
      </c>
      <c r="AJ37" s="13">
        <f>AI37*VLOOKUP('Données projet'!$B$10,Paramètres!$A$1:$I$89,3,0)*VLOOKUP('Données projet'!$B$10,Paramètres!$A$1:$I$89,5,0)</f>
        <v>141.60640000000001</v>
      </c>
      <c r="AK37" s="13">
        <f t="shared" si="35"/>
        <v>36.664764466112921</v>
      </c>
      <c r="AL37" s="20">
        <f t="shared" si="4"/>
        <v>310.48894477848006</v>
      </c>
      <c r="AM37" s="59">
        <f t="shared" si="5"/>
        <v>603.82227811181338</v>
      </c>
      <c r="AN37" s="59">
        <f ca="1">AVERAGE(OFFSET($AM$3,0,0,'Données projet'!$E$10+1,1))-AVERAGE(OFFSET($H$3,0,0,'Données projet'!$E$10+1,1))</f>
        <v>318.09371753144256</v>
      </c>
      <c r="AO37" s="59">
        <f t="shared" si="36"/>
        <v>298.61479562586919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18.496618055467394</v>
      </c>
      <c r="AW37" s="21">
        <f>EXP(-LN(2)/2)*AW36+(1-EXP(-LN(2)/2))/(LN(2)/2)*AQ37*AT37*VLOOKUP('Données projet'!$B$10,Paramètres!$A$1:$I$89,3,0)*0.475*44/12</f>
        <v>7.5626094096297365</v>
      </c>
      <c r="AX37" s="21">
        <f t="shared" si="6"/>
        <v>29.291177974359925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35.999999999999943</v>
      </c>
      <c r="BE37" s="13">
        <f>BD37*VLOOKUP('Données projet'!$B$11,Paramètres!$A$1:$I$89,3,0)*VLOOKUP('Données projet'!$B$11,Paramètres!$A$1:$I$89,5,0)</f>
        <v>31.449599999999958</v>
      </c>
      <c r="BF37" s="13">
        <f t="shared" si="37"/>
        <v>9.7016318496336709</v>
      </c>
      <c r="BG37" s="20">
        <f t="shared" si="7"/>
        <v>71.671728804778567</v>
      </c>
      <c r="BH37" s="59">
        <f t="shared" si="8"/>
        <v>365.0050621381119</v>
      </c>
      <c r="BI37" s="59">
        <f ca="1">AVERAGE(OFFSET($BH$3,0,0,'Données projet'!$E$11+1,1))-AVERAGE(OFFSET($H$3,0,0,'Données projet'!$E$11+1,1))</f>
        <v>247.43282553724879</v>
      </c>
      <c r="BJ37" s="59">
        <f t="shared" si="38"/>
        <v>637.29471578895527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68.777638881497722</v>
      </c>
      <c r="BS37" s="22">
        <f t="shared" si="9"/>
        <v>68.777638881497722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10.199999999999999</v>
      </c>
      <c r="BY37" s="12">
        <f>IF('Données projet'!$A$114&gt;35,BY36+BX37-CG36,IF(A37&lt;'Données projet'!$A$114,$BV$205^A37,IF(A37='Données projet'!$A$114,'Données projet'!$B$114,BY36+BX37-CG36)))</f>
        <v>158.79999999999993</v>
      </c>
      <c r="BZ37" s="13">
        <f>BY37*VLOOKUP('Données projet'!$B$12,Paramètres!$A$1:$I$89,3,0)*VLOOKUP('Données projet'!$B$12,Paramètres!$A$1:$I$89,5,0)</f>
        <v>128.81855999999996</v>
      </c>
      <c r="CA37" s="13">
        <f t="shared" si="39"/>
        <v>33.723218352057046</v>
      </c>
      <c r="CB37" s="20">
        <f t="shared" si="10"/>
        <v>283.09359729649924</v>
      </c>
      <c r="CC37" s="59">
        <f t="shared" si="11"/>
        <v>576.42693062983255</v>
      </c>
      <c r="CD37" s="59">
        <f ca="1">AVERAGE(OFFSET($CC$3,0,0,'Données projet'!$E$12+1,1))-AVERAGE(OFFSET($H$3,0,0,'Données projet'!$E$12+1,1))</f>
        <v>230.68538392491388</v>
      </c>
      <c r="CE37" s="59">
        <f t="shared" si="40"/>
        <v>267.97457956620724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7.6134201329371294</v>
      </c>
      <c r="CM37" s="21">
        <f>EXP(-LN(2)/2)*CM36+(1-EXP(-LN(2)/2))/(LN(2)/2)*CG37*CJ37*VLOOKUP('Données projet'!$B$12,Paramètres!$A$1:$I$89,3,0)*0.475*44/12</f>
        <v>2.7431423355267195</v>
      </c>
      <c r="CN37" s="22">
        <f t="shared" si="12"/>
        <v>10.356562468463849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</v>
      </c>
      <c r="CU37" s="17">
        <f>CT37*VLOOKUP('Données projet'!$B$13,Paramètres!$A$1:$I$89,3,0)*VLOOKUP('Données projet'!$B$13,Paramètres!$A$1:$I$89,5,0)</f>
        <v>85.182240000000007</v>
      </c>
      <c r="CV37" s="13">
        <f t="shared" si="41"/>
        <v>23.399603100318654</v>
      </c>
      <c r="CW37" s="20">
        <f t="shared" si="13"/>
        <v>189.11337673305502</v>
      </c>
      <c r="CX37" s="59">
        <f t="shared" si="14"/>
        <v>482.44671006638833</v>
      </c>
      <c r="CY37" s="59">
        <f ca="1">AVERAGE(OFFSET($CX$3,0,0,'Données projet'!$E$13+1,1))-AVERAGE(OFFSET($H$3,0,0,'Données projet'!$E$13+1,1))</f>
        <v>242.1473060698724</v>
      </c>
      <c r="CZ37" s="59">
        <f t="shared" si="42"/>
        <v>96.127995920458659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0</v>
      </c>
      <c r="EP37" s="59">
        <f t="shared" si="46"/>
        <v>0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395</v>
      </c>
      <c r="L38" s="12">
        <f>VLOOKUP(A38,'Données projet'!$A$35:$I$55,9,0)</f>
        <v>16.266666666666666</v>
      </c>
      <c r="M38" s="12">
        <f t="array" ref="M38">INDEX(L:L,MIN(IF(ISNUMBER(L38:L234),ROW(L38:L234),"")))</f>
        <v>16.266666666666666</v>
      </c>
      <c r="N38" s="13">
        <f>IF('Données projet'!$A$36&gt;35,N37+M38-V37,IF(A38&lt;'Données projet'!$A$36,$K$205^A38,IF(A38='Données projet'!$A$36,'Données projet'!$B$36,N37+M38-V37)))</f>
        <v>394.99999999999977</v>
      </c>
      <c r="O38" s="13">
        <f>N38*VLOOKUP('Données projet'!$B$9,Paramètres!$A$1:$I$89,3,0)*VLOOKUP('Données projet'!$B$9,Paramètres!$A$1:$I$89,5,0)</f>
        <v>236.20999999999989</v>
      </c>
      <c r="P38" s="13">
        <f t="shared" si="33"/>
        <v>57.62333963053873</v>
      </c>
      <c r="Q38" s="20">
        <f t="shared" si="53"/>
        <v>511.75973318985467</v>
      </c>
      <c r="R38" s="59">
        <f t="shared" si="0"/>
        <v>805.09306652318799</v>
      </c>
      <c r="S38" s="59">
        <f ca="1">AVERAGE(OFFSET($R$3,0,0,'Données projet'!$E$9+1,1))-AVERAGE(OFFSET($H$3,0,0,'Données projet'!$E$9+1,1))</f>
        <v>179.86010141761648</v>
      </c>
      <c r="T38" s="59">
        <f t="shared" si="34"/>
        <v>367.01744242396057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395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59.532363432122651</v>
      </c>
      <c r="AA38" s="21">
        <f>EXP(-LN(2)/25)*AA37+(1-EXP(-LN(2)/25))/(LN(2)/25)*Calculateur!V38*Calculateur!X38*VLOOKUP('Données projet'!$B$9,Paramètres!$A$1:$I$89,3,0)*0.475*44/12</f>
        <v>51.247225689772705</v>
      </c>
      <c r="AB38" s="21">
        <f>EXP(-LN(2)/2)*AB37+(1-EXP(-LN(2)/2))/(LN(2)/2)*V38*Y38*VLOOKUP('Données projet'!$B$9,Paramètres!$A$1:$I$89,3,0)*0.475*44/12</f>
        <v>80.330065238670059</v>
      </c>
      <c r="AC38" s="22">
        <f t="shared" si="3"/>
        <v>191.1096543605654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18.7</v>
      </c>
      <c r="AI38" s="13">
        <f>IF('Données projet'!$A$62&gt;35,AI37+AH38-AQ37,IF(A38&lt;'Données projet'!$A$62,$AF$205^A38,IF(A38='Données projet'!$A$62,'Données projet'!$B$62,AI37+AH38-AQ37)))</f>
        <v>255.5</v>
      </c>
      <c r="AJ38" s="13">
        <f>AI38*VLOOKUP('Données projet'!$B$10,Paramètres!$A$1:$I$89,3,0)*VLOOKUP('Données projet'!$B$10,Paramètres!$A$1:$I$89,5,0)</f>
        <v>152.78900000000002</v>
      </c>
      <c r="AK38" s="13">
        <f t="shared" si="35"/>
        <v>39.211714711932316</v>
      </c>
      <c r="AL38" s="20">
        <f t="shared" si="4"/>
        <v>334.40124478994881</v>
      </c>
      <c r="AM38" s="59">
        <f t="shared" si="5"/>
        <v>627.73457812328206</v>
      </c>
      <c r="AN38" s="59">
        <f ca="1">AVERAGE(OFFSET($AM$3,0,0,'Données projet'!$E$10+1,1))-AVERAGE(OFFSET($H$3,0,0,'Données projet'!$E$10+1,1))</f>
        <v>318.09371753144256</v>
      </c>
      <c r="AO38" s="59">
        <f t="shared" si="36"/>
        <v>298.61479562586919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17.990827062045771</v>
      </c>
      <c r="AW38" s="21">
        <f>EXP(-LN(2)/2)*AW37+(1-EXP(-LN(2)/2))/(LN(2)/2)*AQ38*AT38*VLOOKUP('Données projet'!$B$10,Paramètres!$A$1:$I$89,3,0)*0.475*44/12</f>
        <v>5.34757239701438</v>
      </c>
      <c r="AX38" s="21">
        <f t="shared" si="6"/>
        <v>26.506973390131463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35.999999999999943</v>
      </c>
      <c r="BE38" s="13">
        <f>BD38*VLOOKUP('Données projet'!$B$11,Paramètres!$A$1:$I$89,3,0)*VLOOKUP('Données projet'!$B$11,Paramètres!$A$1:$I$89,5,0)</f>
        <v>31.449599999999958</v>
      </c>
      <c r="BF38" s="13">
        <f t="shared" si="37"/>
        <v>9.7016318496336709</v>
      </c>
      <c r="BG38" s="20">
        <f t="shared" si="7"/>
        <v>71.671728804778567</v>
      </c>
      <c r="BH38" s="59">
        <f t="shared" si="8"/>
        <v>365.0050621381119</v>
      </c>
      <c r="BI38" s="59">
        <f ca="1">AVERAGE(OFFSET($BH$3,0,0,'Données projet'!$E$11+1,1))-AVERAGE(OFFSET($H$3,0,0,'Données projet'!$E$11+1,1))</f>
        <v>247.43282553724879</v>
      </c>
      <c r="BJ38" s="59">
        <f t="shared" si="38"/>
        <v>637.29471578895527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48.633134847106597</v>
      </c>
      <c r="BS38" s="22">
        <f t="shared" si="9"/>
        <v>48.633134847106597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10.199999999999999</v>
      </c>
      <c r="BY38" s="12">
        <f>IF('Données projet'!$A$114&gt;35,BY37+BX38-CG37,IF(A38&lt;'Données projet'!$A$114,$BV$205^A38,IF(A38='Données projet'!$A$114,'Données projet'!$B$114,BY37+BX38-CG37)))</f>
        <v>168.99999999999991</v>
      </c>
      <c r="BZ38" s="13">
        <f>BY38*VLOOKUP('Données projet'!$B$12,Paramètres!$A$1:$I$89,3,0)*VLOOKUP('Données projet'!$B$12,Paramètres!$A$1:$I$89,5,0)</f>
        <v>137.09279999999993</v>
      </c>
      <c r="CA38" s="13">
        <f t="shared" si="39"/>
        <v>35.630195607611064</v>
      </c>
      <c r="CB38" s="20">
        <f t="shared" si="10"/>
        <v>300.8258840165891</v>
      </c>
      <c r="CC38" s="59">
        <f t="shared" si="11"/>
        <v>594.15921734992241</v>
      </c>
      <c r="CD38" s="59">
        <f ca="1">AVERAGE(OFFSET($CC$3,0,0,'Données projet'!$E$12+1,1))-AVERAGE(OFFSET($H$3,0,0,'Données projet'!$E$12+1,1))</f>
        <v>230.68538392491388</v>
      </c>
      <c r="CE38" s="59">
        <f t="shared" si="40"/>
        <v>267.97457956620724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7.4052307590295996</v>
      </c>
      <c r="CM38" s="21">
        <f>EXP(-LN(2)/2)*CM37+(1-EXP(-LN(2)/2))/(LN(2)/2)*CG38*CJ38*VLOOKUP('Données projet'!$B$12,Paramètres!$A$1:$I$89,3,0)*0.475*44/12</f>
        <v>1.9396945472108471</v>
      </c>
      <c r="CN38" s="22">
        <f t="shared" si="12"/>
        <v>9.3449253062404463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</v>
      </c>
      <c r="CU38" s="17">
        <f>CT38*VLOOKUP('Données projet'!$B$13,Paramètres!$A$1:$I$89,3,0)*VLOOKUP('Données projet'!$B$13,Paramètres!$A$1:$I$89,5,0)</f>
        <v>91.103999999999999</v>
      </c>
      <c r="CV38" s="13">
        <f t="shared" si="41"/>
        <v>24.831293984707884</v>
      </c>
      <c r="CW38" s="20">
        <f t="shared" si="13"/>
        <v>201.92063702336623</v>
      </c>
      <c r="CX38" s="59">
        <f t="shared" si="14"/>
        <v>495.25397035669954</v>
      </c>
      <c r="CY38" s="59">
        <f ca="1">AVERAGE(OFFSET($CX$3,0,0,'Données projet'!$E$13+1,1))-AVERAGE(OFFSET($H$3,0,0,'Données projet'!$E$13+1,1))</f>
        <v>242.1473060698724</v>
      </c>
      <c r="CZ38" s="59">
        <f t="shared" si="42"/>
        <v>96.127995920458659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0</v>
      </c>
      <c r="EP38" s="59">
        <f t="shared" si="46"/>
        <v>0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-2.2737367544323206E-13</v>
      </c>
      <c r="O39" s="13">
        <f>N39*VLOOKUP('Données projet'!$B$9,Paramètres!$A$1:$I$89,3,0)*VLOOKUP('Données projet'!$B$9,Paramètres!$A$1:$I$89,5,0)</f>
        <v>-1.3596945791505279E-13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179.86010141761648</v>
      </c>
      <c r="T39" s="59">
        <f t="shared" si="34"/>
        <v>367.01744242396057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58.364970096374989</v>
      </c>
      <c r="AA39" s="21">
        <f>EXP(-LN(2)/25)*AA38+(1-EXP(-LN(2)/25))/(LN(2)/25)*Calculateur!V39*Calculateur!X39*VLOOKUP('Données projet'!$B$9,Paramètres!$A$1:$I$89,3,0)*0.475*44/12</f>
        <v>49.845867608311401</v>
      </c>
      <c r="AB39" s="21">
        <f>EXP(-LN(2)/2)*AB38+(1-EXP(-LN(2)/2))/(LN(2)/2)*V39*Y39*VLOOKUP('Données projet'!$B$9,Paramètres!$A$1:$I$89,3,0)*0.475*44/12</f>
        <v>56.801933863421361</v>
      </c>
      <c r="AC39" s="22">
        <f t="shared" si="3"/>
        <v>165.01277156810775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18.7</v>
      </c>
      <c r="AI39" s="13">
        <f>IF('Données projet'!$A$62&gt;35,AI38+AH39-AQ38,IF(A39&lt;'Données projet'!$A$62,$AF$205^A39,IF(A39='Données projet'!$A$62,'Données projet'!$B$62,AI38+AH39-AQ38)))</f>
        <v>274.2</v>
      </c>
      <c r="AJ39" s="13">
        <f>AI39*VLOOKUP('Données projet'!$B$10,Paramètres!$A$1:$I$89,3,0)*VLOOKUP('Données projet'!$B$10,Paramètres!$A$1:$I$89,5,0)</f>
        <v>163.97160000000002</v>
      </c>
      <c r="AK39" s="13">
        <f t="shared" si="35"/>
        <v>41.737038529665284</v>
      </c>
      <c r="AL39" s="20">
        <f t="shared" si="4"/>
        <v>358.27587877250039</v>
      </c>
      <c r="AM39" s="59">
        <f t="shared" si="5"/>
        <v>651.60921210583365</v>
      </c>
      <c r="AN39" s="59">
        <f ca="1">AVERAGE(OFFSET($AM$3,0,0,'Données projet'!$E$10+1,1))-AVERAGE(OFFSET($H$3,0,0,'Données projet'!$E$10+1,1))</f>
        <v>318.09371753144256</v>
      </c>
      <c r="AO39" s="59">
        <f t="shared" si="36"/>
        <v>298.61479562586919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17.498866949937653</v>
      </c>
      <c r="AW39" s="21">
        <f>EXP(-LN(2)/2)*AW38+(1-EXP(-LN(2)/2))/(LN(2)/2)*AQ39*AT39*VLOOKUP('Données projet'!$B$10,Paramètres!$A$1:$I$89,3,0)*0.475*44/12</f>
        <v>3.7813047048148691</v>
      </c>
      <c r="AX39" s="21">
        <f t="shared" si="6"/>
        <v>24.386611783674791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35.999999999999943</v>
      </c>
      <c r="BE39" s="13">
        <f>BD39*VLOOKUP('Données projet'!$B$11,Paramètres!$A$1:$I$89,3,0)*VLOOKUP('Données projet'!$B$11,Paramètres!$A$1:$I$89,5,0)</f>
        <v>31.449599999999958</v>
      </c>
      <c r="BF39" s="13">
        <f t="shared" si="37"/>
        <v>9.7016318496336709</v>
      </c>
      <c r="BG39" s="20">
        <f t="shared" si="7"/>
        <v>71.671728804778567</v>
      </c>
      <c r="BH39" s="59">
        <f t="shared" si="8"/>
        <v>365.0050621381119</v>
      </c>
      <c r="BI39" s="59">
        <f ca="1">AVERAGE(OFFSET($BH$3,0,0,'Données projet'!$E$11+1,1))-AVERAGE(OFFSET($H$3,0,0,'Données projet'!$E$11+1,1))</f>
        <v>247.43282553724879</v>
      </c>
      <c r="BJ39" s="59">
        <f t="shared" si="38"/>
        <v>637.29471578895527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34.388819440748868</v>
      </c>
      <c r="BS39" s="22">
        <f t="shared" si="9"/>
        <v>34.388819440748868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10.199999999999999</v>
      </c>
      <c r="BY39" s="12">
        <f>IF('Données projet'!$A$114&gt;35,BY38+BX39-CG38,IF(A39&lt;'Données projet'!$A$114,$BV$205^A39,IF(A39='Données projet'!$A$114,'Données projet'!$B$114,BY38+BX39-CG38)))</f>
        <v>179.1999999999999</v>
      </c>
      <c r="BZ39" s="13">
        <f>BY39*VLOOKUP('Données projet'!$B$12,Paramètres!$A$1:$I$89,3,0)*VLOOKUP('Données projet'!$B$12,Paramètres!$A$1:$I$89,5,0)</f>
        <v>145.36703999999995</v>
      </c>
      <c r="CA39" s="13">
        <f t="shared" si="39"/>
        <v>37.523814117080803</v>
      </c>
      <c r="CB39" s="20">
        <f t="shared" si="10"/>
        <v>318.53490425391561</v>
      </c>
      <c r="CC39" s="59">
        <f t="shared" si="11"/>
        <v>611.86823758724893</v>
      </c>
      <c r="CD39" s="59">
        <f ca="1">AVERAGE(OFFSET($CC$3,0,0,'Données projet'!$E$12+1,1))-AVERAGE(OFFSET($H$3,0,0,'Données projet'!$E$12+1,1))</f>
        <v>230.68538392491388</v>
      </c>
      <c r="CE39" s="59">
        <f t="shared" si="40"/>
        <v>267.97457956620724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7.2027343344997741</v>
      </c>
      <c r="CM39" s="21">
        <f>EXP(-LN(2)/2)*CM38+(1-EXP(-LN(2)/2))/(LN(2)/2)*CG39*CJ39*VLOOKUP('Données projet'!$B$12,Paramètres!$A$1:$I$89,3,0)*0.475*44/12</f>
        <v>1.37157116776336</v>
      </c>
      <c r="CN39" s="22">
        <f t="shared" si="12"/>
        <v>8.5743055022631331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</v>
      </c>
      <c r="CU39" s="17">
        <f>CT39*VLOOKUP('Données projet'!$B$13,Paramètres!$A$1:$I$89,3,0)*VLOOKUP('Données projet'!$B$13,Paramètres!$A$1:$I$89,5,0)</f>
        <v>97.025760000000005</v>
      </c>
      <c r="CV39" s="13">
        <f t="shared" si="41"/>
        <v>26.252185545896502</v>
      </c>
      <c r="CW39" s="20">
        <f t="shared" si="13"/>
        <v>214.70908849243639</v>
      </c>
      <c r="CX39" s="59">
        <f t="shared" si="14"/>
        <v>508.04242182576968</v>
      </c>
      <c r="CY39" s="59">
        <f ca="1">AVERAGE(OFFSET($CX$3,0,0,'Données projet'!$E$13+1,1))-AVERAGE(OFFSET($H$3,0,0,'Données projet'!$E$13+1,1))</f>
        <v>242.1473060698724</v>
      </c>
      <c r="CZ39" s="59">
        <f t="shared" si="42"/>
        <v>96.127995920458659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0</v>
      </c>
      <c r="EP39" s="59">
        <f t="shared" si="46"/>
        <v>0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-2.2737367544323206E-13</v>
      </c>
      <c r="O40" s="13">
        <f>N40*VLOOKUP('Données projet'!$B$9,Paramètres!$A$1:$I$89,3,0)*VLOOKUP('Données projet'!$B$9,Paramètres!$A$1:$I$89,5,0)</f>
        <v>-1.3596945791505279E-13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179.86010141761648</v>
      </c>
      <c r="T40" s="59">
        <f t="shared" si="34"/>
        <v>367.01744242396057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57.220468631901717</v>
      </c>
      <c r="AA40" s="21">
        <f>EXP(-LN(2)/25)*AA39+(1-EXP(-LN(2)/25))/(LN(2)/25)*Calculateur!V40*Calculateur!X40*VLOOKUP('Données projet'!$B$9,Paramètres!$A$1:$I$89,3,0)*0.475*44/12</f>
        <v>48.482829737281875</v>
      </c>
      <c r="AB40" s="21">
        <f>EXP(-LN(2)/2)*AB39+(1-EXP(-LN(2)/2))/(LN(2)/2)*V40*Y40*VLOOKUP('Données projet'!$B$9,Paramètres!$A$1:$I$89,3,0)*0.475*44/12</f>
        <v>40.165032619335037</v>
      </c>
      <c r="AC40" s="22">
        <f t="shared" si="3"/>
        <v>145.86833098851861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18.7</v>
      </c>
      <c r="AI40" s="13">
        <f>IF('Données projet'!$A$62&gt;35,AI39+AH40-AQ39,IF(A40&lt;'Données projet'!$A$62,$AF$205^A40,IF(A40='Données projet'!$A$62,'Données projet'!$B$62,AI39+AH40-AQ39)))</f>
        <v>292.89999999999998</v>
      </c>
      <c r="AJ40" s="13">
        <f>AI40*VLOOKUP('Données projet'!$B$10,Paramètres!$A$1:$I$89,3,0)*VLOOKUP('Données projet'!$B$10,Paramètres!$A$1:$I$89,5,0)</f>
        <v>175.15420000000003</v>
      </c>
      <c r="AK40" s="13">
        <f t="shared" si="35"/>
        <v>44.242378599029969</v>
      </c>
      <c r="AL40" s="20">
        <f t="shared" si="4"/>
        <v>382.1157077266439</v>
      </c>
      <c r="AM40" s="59">
        <f t="shared" si="5"/>
        <v>675.44904105997716</v>
      </c>
      <c r="AN40" s="59">
        <f ca="1">AVERAGE(OFFSET($AM$3,0,0,'Données projet'!$E$10+1,1))-AVERAGE(OFFSET($H$3,0,0,'Données projet'!$E$10+1,1))</f>
        <v>318.09371753144256</v>
      </c>
      <c r="AO40" s="59">
        <f t="shared" si="36"/>
        <v>298.61479562586919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17.020359512966191</v>
      </c>
      <c r="AW40" s="21">
        <f>EXP(-LN(2)/2)*AW39+(1-EXP(-LN(2)/2))/(LN(2)/2)*AQ40*AT40*VLOOKUP('Données projet'!$B$10,Paramètres!$A$1:$I$89,3,0)*0.475*44/12</f>
        <v>2.6737861985071905</v>
      </c>
      <c r="AX40" s="21">
        <f t="shared" si="6"/>
        <v>22.739670444208876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35.999999999999943</v>
      </c>
      <c r="BE40" s="13">
        <f>BD40*VLOOKUP('Données projet'!$B$11,Paramètres!$A$1:$I$89,3,0)*VLOOKUP('Données projet'!$B$11,Paramètres!$A$1:$I$89,5,0)</f>
        <v>31.449599999999958</v>
      </c>
      <c r="BF40" s="13">
        <f t="shared" si="37"/>
        <v>9.7016318496336709</v>
      </c>
      <c r="BG40" s="20">
        <f t="shared" si="7"/>
        <v>71.671728804778567</v>
      </c>
      <c r="BH40" s="59">
        <f t="shared" si="8"/>
        <v>365.0050621381119</v>
      </c>
      <c r="BI40" s="59">
        <f ca="1">AVERAGE(OFFSET($BH$3,0,0,'Données projet'!$E$11+1,1))-AVERAGE(OFFSET($H$3,0,0,'Données projet'!$E$11+1,1))</f>
        <v>247.43282553724879</v>
      </c>
      <c r="BJ40" s="59">
        <f t="shared" si="38"/>
        <v>637.29471578895527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24.316567423553302</v>
      </c>
      <c r="BS40" s="22">
        <f t="shared" si="9"/>
        <v>24.316567423553302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10.199999999999999</v>
      </c>
      <c r="BY40" s="12">
        <f>IF('Données projet'!$A$114&gt;35,BY39+BX40-CG39,IF(A40&lt;'Données projet'!$A$114,$BV$205^A40,IF(A40='Données projet'!$A$114,'Données projet'!$B$114,BY39+BX40-CG39)))</f>
        <v>189.39999999999989</v>
      </c>
      <c r="BZ40" s="13">
        <f>BY40*VLOOKUP('Données projet'!$B$12,Paramètres!$A$1:$I$89,3,0)*VLOOKUP('Données projet'!$B$12,Paramètres!$A$1:$I$89,5,0)</f>
        <v>153.64127999999991</v>
      </c>
      <c r="CA40" s="13">
        <f t="shared" si="39"/>
        <v>39.404920897415295</v>
      </c>
      <c r="CB40" s="20">
        <f t="shared" si="10"/>
        <v>336.22213322966473</v>
      </c>
      <c r="CC40" s="59">
        <f t="shared" si="11"/>
        <v>629.55546656299805</v>
      </c>
      <c r="CD40" s="59">
        <f ca="1">AVERAGE(OFFSET($CC$3,0,0,'Données projet'!$E$12+1,1))-AVERAGE(OFFSET($H$3,0,0,'Données projet'!$E$12+1,1))</f>
        <v>230.68538392491388</v>
      </c>
      <c r="CE40" s="59">
        <f t="shared" si="40"/>
        <v>267.97457956620724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7.0057751853475407</v>
      </c>
      <c r="CM40" s="21">
        <f>EXP(-LN(2)/2)*CM39+(1-EXP(-LN(2)/2))/(LN(2)/2)*CG40*CJ40*VLOOKUP('Données projet'!$B$12,Paramètres!$A$1:$I$89,3,0)*0.475*44/12</f>
        <v>0.96984727360542367</v>
      </c>
      <c r="CN40" s="22">
        <f t="shared" si="12"/>
        <v>7.9756224589529641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</v>
      </c>
      <c r="CU40" s="17">
        <f>CT40*VLOOKUP('Données projet'!$B$13,Paramètres!$A$1:$I$89,3,0)*VLOOKUP('Données projet'!$B$13,Paramètres!$A$1:$I$89,5,0)</f>
        <v>102.94752000000001</v>
      </c>
      <c r="CV40" s="13">
        <f t="shared" si="41"/>
        <v>27.663011949702902</v>
      </c>
      <c r="CW40" s="20">
        <f t="shared" si="13"/>
        <v>227.4800098123992</v>
      </c>
      <c r="CX40" s="59">
        <f t="shared" si="14"/>
        <v>520.81334314573246</v>
      </c>
      <c r="CY40" s="59">
        <f ca="1">AVERAGE(OFFSET($CX$3,0,0,'Données projet'!$E$13+1,1))-AVERAGE(OFFSET($H$3,0,0,'Données projet'!$E$13+1,1))</f>
        <v>242.1473060698724</v>
      </c>
      <c r="CZ40" s="59">
        <f t="shared" si="42"/>
        <v>96.127995920458659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0</v>
      </c>
      <c r="EP40" s="59">
        <f t="shared" si="46"/>
        <v>0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-2.2737367544323206E-13</v>
      </c>
      <c r="O41" s="13">
        <f>N41*VLOOKUP('Données projet'!$B$9,Paramètres!$A$1:$I$89,3,0)*VLOOKUP('Données projet'!$B$9,Paramètres!$A$1:$I$89,5,0)</f>
        <v>-1.3596945791505279E-13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179.86010141761648</v>
      </c>
      <c r="T41" s="59">
        <f t="shared" si="34"/>
        <v>367.01744242396057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56.098410143069799</v>
      </c>
      <c r="AA41" s="21">
        <f>EXP(-LN(2)/25)*AA40+(1-EXP(-LN(2)/25))/(LN(2)/25)*Calculateur!V41*Calculateur!X41*VLOOKUP('Données projet'!$B$9,Paramètres!$A$1:$I$89,3,0)*0.475*44/12</f>
        <v>47.157064208514697</v>
      </c>
      <c r="AB41" s="21">
        <f>EXP(-LN(2)/2)*AB40+(1-EXP(-LN(2)/2))/(LN(2)/2)*V41*Y41*VLOOKUP('Données projet'!$B$9,Paramètres!$A$1:$I$89,3,0)*0.475*44/12</f>
        <v>28.400966931710684</v>
      </c>
      <c r="AC41" s="22">
        <f t="shared" si="3"/>
        <v>131.65644128329518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18.7</v>
      </c>
      <c r="AI41" s="13">
        <f>IF('Données projet'!$A$62&gt;35,AI40+AH41-AQ40,IF(A41&lt;'Données projet'!$A$62,$AF$205^A41,IF(A41='Données projet'!$A$62,'Données projet'!$B$62,AI40+AH41-AQ40)))</f>
        <v>311.59999999999997</v>
      </c>
      <c r="AJ41" s="13">
        <f>AI41*VLOOKUP('Données projet'!$B$10,Paramètres!$A$1:$I$89,3,0)*VLOOKUP('Données projet'!$B$10,Paramètres!$A$1:$I$89,5,0)</f>
        <v>186.33679999999998</v>
      </c>
      <c r="AK41" s="13">
        <f t="shared" si="35"/>
        <v>46.729155989858626</v>
      </c>
      <c r="AL41" s="20">
        <f t="shared" si="4"/>
        <v>405.92320668233702</v>
      </c>
      <c r="AM41" s="59">
        <f t="shared" si="5"/>
        <v>699.25654001567034</v>
      </c>
      <c r="AN41" s="59">
        <f ca="1">AVERAGE(OFFSET($AM$3,0,0,'Données projet'!$E$10+1,1))-AVERAGE(OFFSET($H$3,0,0,'Données projet'!$E$10+1,1))</f>
        <v>318.09371753144256</v>
      </c>
      <c r="AO41" s="59">
        <f t="shared" si="36"/>
        <v>298.61479562586919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16.554936887022325</v>
      </c>
      <c r="AW41" s="21">
        <f>EXP(-LN(2)/2)*AW40+(1-EXP(-LN(2)/2))/(LN(2)/2)*AQ41*AT41*VLOOKUP('Données projet'!$B$10,Paramètres!$A$1:$I$89,3,0)*0.475*44/12</f>
        <v>1.8906523524074348</v>
      </c>
      <c r="AX41" s="21">
        <f t="shared" si="6"/>
        <v>21.431393089742976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35.999999999999943</v>
      </c>
      <c r="BE41" s="13">
        <f>BD41*VLOOKUP('Données projet'!$B$11,Paramètres!$A$1:$I$89,3,0)*VLOOKUP('Données projet'!$B$11,Paramètres!$A$1:$I$89,5,0)</f>
        <v>31.449599999999958</v>
      </c>
      <c r="BF41" s="13">
        <f t="shared" si="37"/>
        <v>9.7016318496336709</v>
      </c>
      <c r="BG41" s="20">
        <f t="shared" si="7"/>
        <v>71.671728804778567</v>
      </c>
      <c r="BH41" s="59">
        <f t="shared" si="8"/>
        <v>365.0050621381119</v>
      </c>
      <c r="BI41" s="59">
        <f ca="1">AVERAGE(OFFSET($BH$3,0,0,'Données projet'!$E$11+1,1))-AVERAGE(OFFSET($H$3,0,0,'Données projet'!$E$11+1,1))</f>
        <v>247.43282553724879</v>
      </c>
      <c r="BJ41" s="59">
        <f t="shared" si="38"/>
        <v>637.29471578895527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17.194409720374434</v>
      </c>
      <c r="BS41" s="22">
        <f t="shared" si="9"/>
        <v>17.194409720374434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10.199999999999999</v>
      </c>
      <c r="BY41" s="12">
        <f>IF('Données projet'!$A$114&gt;35,BY40+BX41-CG40,IF(A41&lt;'Données projet'!$A$114,$BV$205^A41,IF(A41='Données projet'!$A$114,'Données projet'!$B$114,BY40+BX41-CG40)))</f>
        <v>199.59999999999988</v>
      </c>
      <c r="BZ41" s="13">
        <f>BY41*VLOOKUP('Données projet'!$B$12,Paramètres!$A$1:$I$89,3,0)*VLOOKUP('Données projet'!$B$12,Paramètres!$A$1:$I$89,5,0)</f>
        <v>161.91551999999993</v>
      </c>
      <c r="CA41" s="13">
        <f t="shared" si="39"/>
        <v>41.274266582040376</v>
      </c>
      <c r="CB41" s="20">
        <f t="shared" si="10"/>
        <v>353.88887829705351</v>
      </c>
      <c r="CC41" s="59">
        <f t="shared" si="11"/>
        <v>647.22221163038682</v>
      </c>
      <c r="CD41" s="59">
        <f ca="1">AVERAGE(OFFSET($CC$3,0,0,'Données projet'!$E$12+1,1))-AVERAGE(OFFSET($H$3,0,0,'Données projet'!$E$12+1,1))</f>
        <v>230.68538392491388</v>
      </c>
      <c r="CE41" s="59">
        <f t="shared" si="40"/>
        <v>267.97457956620724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6.8142018944865068</v>
      </c>
      <c r="CM41" s="21">
        <f>EXP(-LN(2)/2)*CM40+(1-EXP(-LN(2)/2))/(LN(2)/2)*CG41*CJ41*VLOOKUP('Données projet'!$B$12,Paramètres!$A$1:$I$89,3,0)*0.475*44/12</f>
        <v>0.68578558388168009</v>
      </c>
      <c r="CN41" s="22">
        <f t="shared" si="12"/>
        <v>7.4999874783681868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95.600000000000009</v>
      </c>
      <c r="CU41" s="17">
        <f>CT41*VLOOKUP('Données projet'!$B$13,Paramètres!$A$1:$I$89,3,0)*VLOOKUP('Données projet'!$B$13,Paramètres!$A$1:$I$89,5,0)</f>
        <v>108.86928000000002</v>
      </c>
      <c r="CV41" s="13">
        <f t="shared" si="41"/>
        <v>29.064418129628898</v>
      </c>
      <c r="CW41" s="20">
        <f t="shared" si="13"/>
        <v>240.234524242437</v>
      </c>
      <c r="CX41" s="59">
        <f t="shared" si="14"/>
        <v>533.56785757577029</v>
      </c>
      <c r="CY41" s="59">
        <f ca="1">AVERAGE(OFFSET($CX$3,0,0,'Données projet'!$E$13+1,1))-AVERAGE(OFFSET($H$3,0,0,'Données projet'!$E$13+1,1))</f>
        <v>242.1473060698724</v>
      </c>
      <c r="CZ41" s="59">
        <f t="shared" si="42"/>
        <v>96.127995920458659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0</v>
      </c>
      <c r="EP41" s="59">
        <f t="shared" si="46"/>
        <v>0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-2.2737367544323206E-13</v>
      </c>
      <c r="O42" s="13">
        <f>N42*VLOOKUP('Données projet'!$B$9,Paramètres!$A$1:$I$89,3,0)*VLOOKUP('Données projet'!$B$9,Paramètres!$A$1:$I$89,5,0)</f>
        <v>-1.3596945791505279E-13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179.86010141761648</v>
      </c>
      <c r="T42" s="59">
        <f t="shared" si="34"/>
        <v>367.01744242396057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54.998354536815775</v>
      </c>
      <c r="AA42" s="21">
        <f>EXP(-LN(2)/25)*AA41+(1-EXP(-LN(2)/25))/(LN(2)/25)*Calculateur!V42*Calculateur!X42*VLOOKUP('Données projet'!$B$9,Paramètres!$A$1:$I$89,3,0)*0.475*44/12</f>
        <v>45.867551807850631</v>
      </c>
      <c r="AB42" s="21">
        <f>EXP(-LN(2)/2)*AB41+(1-EXP(-LN(2)/2))/(LN(2)/2)*V42*Y42*VLOOKUP('Données projet'!$B$9,Paramètres!$A$1:$I$89,3,0)*0.475*44/12</f>
        <v>20.082516309667518</v>
      </c>
      <c r="AC42" s="22">
        <f t="shared" si="3"/>
        <v>120.94842265433391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18.7</v>
      </c>
      <c r="AI42" s="13">
        <f>IF('Données projet'!$A$62&gt;35,AI41+AH42-AQ41,IF(A42&lt;'Données projet'!$A$62,$AF$205^A42,IF(A42='Données projet'!$A$62,'Données projet'!$B$62,AI41+AH42-AQ41)))</f>
        <v>330.29999999999995</v>
      </c>
      <c r="AJ42" s="13">
        <f>AI42*VLOOKUP('Données projet'!$B$10,Paramètres!$A$1:$I$89,3,0)*VLOOKUP('Données projet'!$B$10,Paramètres!$A$1:$I$89,5,0)</f>
        <v>197.51939999999999</v>
      </c>
      <c r="AK42" s="13">
        <f t="shared" si="35"/>
        <v>49.198611570482562</v>
      </c>
      <c r="AL42" s="20">
        <f t="shared" si="4"/>
        <v>429.70053681859048</v>
      </c>
      <c r="AM42" s="59">
        <f t="shared" si="5"/>
        <v>723.03387015192379</v>
      </c>
      <c r="AN42" s="59">
        <f ca="1">AVERAGE(OFFSET($AM$3,0,0,'Données projet'!$E$10+1,1))-AVERAGE(OFFSET($H$3,0,0,'Données projet'!$E$10+1,1))</f>
        <v>318.09371753144256</v>
      </c>
      <c r="AO42" s="59">
        <f t="shared" si="36"/>
        <v>298.61479562586919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16.102241267260407</v>
      </c>
      <c r="AW42" s="21">
        <f>EXP(-LN(2)/2)*AW41+(1-EXP(-LN(2)/2))/(LN(2)/2)*AQ42*AT42*VLOOKUP('Données projet'!$B$10,Paramètres!$A$1:$I$89,3,0)*0.475*44/12</f>
        <v>1.3368930992535955</v>
      </c>
      <c r="AX42" s="21">
        <f t="shared" si="6"/>
        <v>20.366388424483098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35.999999999999943</v>
      </c>
      <c r="BE42" s="13">
        <f>BD42*VLOOKUP('Données projet'!$B$11,Paramètres!$A$1:$I$89,3,0)*VLOOKUP('Données projet'!$B$11,Paramètres!$A$1:$I$89,5,0)</f>
        <v>31.449599999999958</v>
      </c>
      <c r="BF42" s="13">
        <f t="shared" si="37"/>
        <v>9.7016318496336709</v>
      </c>
      <c r="BG42" s="20">
        <f t="shared" si="7"/>
        <v>71.671728804778567</v>
      </c>
      <c r="BH42" s="59">
        <f t="shared" si="8"/>
        <v>365.0050621381119</v>
      </c>
      <c r="BI42" s="59">
        <f ca="1">AVERAGE(OFFSET($BH$3,0,0,'Données projet'!$E$11+1,1))-AVERAGE(OFFSET($H$3,0,0,'Données projet'!$E$11+1,1))</f>
        <v>247.43282553724879</v>
      </c>
      <c r="BJ42" s="59">
        <f t="shared" si="38"/>
        <v>637.29471578895527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12.158283711776651</v>
      </c>
      <c r="BS42" s="22">
        <f t="shared" si="9"/>
        <v>12.158283711776651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10.199999999999999</v>
      </c>
      <c r="BY42" s="12">
        <f>IF('Données projet'!$A$114&gt;35,BY41+BX42-CG41,IF(A42&lt;'Données projet'!$A$114,$BV$205^A42,IF(A42='Données projet'!$A$114,'Données projet'!$B$114,BY41+BX42-CG41)))</f>
        <v>209.79999999999987</v>
      </c>
      <c r="BZ42" s="13">
        <f>BY42*VLOOKUP('Données projet'!$B$12,Paramètres!$A$1:$I$89,3,0)*VLOOKUP('Données projet'!$B$12,Paramètres!$A$1:$I$89,5,0)</f>
        <v>170.18975999999989</v>
      </c>
      <c r="CA42" s="13">
        <f t="shared" si="39"/>
        <v>43.132520752965824</v>
      </c>
      <c r="CB42" s="20">
        <f t="shared" si="10"/>
        <v>371.53630564474861</v>
      </c>
      <c r="CC42" s="59">
        <f t="shared" si="11"/>
        <v>664.86963897808187</v>
      </c>
      <c r="CD42" s="59">
        <f ca="1">AVERAGE(OFFSET($CC$3,0,0,'Données projet'!$E$12+1,1))-AVERAGE(OFFSET($H$3,0,0,'Données projet'!$E$12+1,1))</f>
        <v>230.68538392491388</v>
      </c>
      <c r="CE42" s="59">
        <f t="shared" si="40"/>
        <v>267.97457956620724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6.6278671853384701</v>
      </c>
      <c r="CM42" s="21">
        <f>EXP(-LN(2)/2)*CM41+(1-EXP(-LN(2)/2))/(LN(2)/2)*CG42*CJ42*VLOOKUP('Données projet'!$B$12,Paramètres!$A$1:$I$89,3,0)*0.475*44/12</f>
        <v>0.48492363680271194</v>
      </c>
      <c r="CN42" s="22">
        <f t="shared" si="12"/>
        <v>7.1127908221411822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100.80000000000001</v>
      </c>
      <c r="CU42" s="17">
        <f>CT42*VLOOKUP('Données projet'!$B$13,Paramètres!$A$1:$I$89,3,0)*VLOOKUP('Données projet'!$B$13,Paramètres!$A$1:$I$89,5,0)</f>
        <v>114.79104000000001</v>
      </c>
      <c r="CV42" s="13">
        <f t="shared" si="41"/>
        <v>30.456974896543485</v>
      </c>
      <c r="CW42" s="20">
        <f t="shared" si="13"/>
        <v>252.97362594481328</v>
      </c>
      <c r="CX42" s="59">
        <f t="shared" si="14"/>
        <v>546.30695927814656</v>
      </c>
      <c r="CY42" s="59">
        <f ca="1">AVERAGE(OFFSET($CX$3,0,0,'Données projet'!$E$13+1,1))-AVERAGE(OFFSET($H$3,0,0,'Données projet'!$E$13+1,1))</f>
        <v>242.1473060698724</v>
      </c>
      <c r="CZ42" s="59">
        <f t="shared" si="42"/>
        <v>96.127995920458659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0</v>
      </c>
      <c r="EP42" s="59">
        <f t="shared" si="46"/>
        <v>0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-2.2737367544323206E-13</v>
      </c>
      <c r="O43" s="13">
        <f>N43*VLOOKUP('Données projet'!$B$9,Paramètres!$A$1:$I$89,3,0)*VLOOKUP('Données projet'!$B$9,Paramètres!$A$1:$I$89,5,0)</f>
        <v>-1.3596945791505279E-13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179.86010141761648</v>
      </c>
      <c r="T43" s="59">
        <f t="shared" si="34"/>
        <v>367.01744242396057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53.919870350032724</v>
      </c>
      <c r="AA43" s="21">
        <f>EXP(-LN(2)/25)*AA42+(1-EXP(-LN(2)/25))/(LN(2)/25)*Calculateur!V43*Calculateur!X43*VLOOKUP('Données projet'!$B$9,Paramètres!$A$1:$I$89,3,0)*0.475*44/12</f>
        <v>44.613301191595241</v>
      </c>
      <c r="AB43" s="21">
        <f>EXP(-LN(2)/2)*AB42+(1-EXP(-LN(2)/2))/(LN(2)/2)*V43*Y43*VLOOKUP('Données projet'!$B$9,Paramètres!$A$1:$I$89,3,0)*0.475*44/12</f>
        <v>14.200483465855342</v>
      </c>
      <c r="AC43" s="22">
        <f t="shared" si="3"/>
        <v>112.73365500748331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349</v>
      </c>
      <c r="AG43" s="12">
        <f>VLOOKUP(A43,'Données projet'!$A$61:$I$81,9,0)</f>
        <v>18.7</v>
      </c>
      <c r="AH43" s="12">
        <f t="array" ref="AH43">INDEX(AG:AG,MIN(IF(ISNUMBER(AG43:AG239),ROW(AG43:AG239),"")))</f>
        <v>18.7</v>
      </c>
      <c r="AI43" s="13">
        <f>IF('Données projet'!$A$62&gt;35,AI42+AH43-AQ42,IF(A43&lt;'Données projet'!$A$62,$AF$205^A43,IF(A43='Données projet'!$A$62,'Données projet'!$B$62,AI42+AH43-AQ42)))</f>
        <v>348.99999999999994</v>
      </c>
      <c r="AJ43" s="13">
        <f>AI43*VLOOKUP('Données projet'!$B$10,Paramètres!$A$1:$I$89,3,0)*VLOOKUP('Données projet'!$B$10,Paramètres!$A$1:$I$89,5,0)</f>
        <v>208.702</v>
      </c>
      <c r="AK43" s="13">
        <f t="shared" si="35"/>
        <v>51.651837769371248</v>
      </c>
      <c r="AL43" s="20">
        <f t="shared" si="4"/>
        <v>453.44960078165491</v>
      </c>
      <c r="AM43" s="59">
        <f t="shared" si="5"/>
        <v>746.78293411498817</v>
      </c>
      <c r="AN43" s="59">
        <f ca="1">AVERAGE(OFFSET($AM$3,0,0,'Données projet'!$E$10+1,1))-AVERAGE(OFFSET($H$3,0,0,'Données projet'!$E$10+1,1))</f>
        <v>318.09371753144256</v>
      </c>
      <c r="AO43" s="59">
        <f t="shared" si="36"/>
        <v>298.61479562586919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15.661924633027105</v>
      </c>
      <c r="AW43" s="21">
        <f>EXP(-LN(2)/2)*AW42+(1-EXP(-LN(2)/2))/(LN(2)/2)*AQ43*AT43*VLOOKUP('Données projet'!$B$10,Paramètres!$A$1:$I$89,3,0)*0.475*44/12</f>
        <v>0.94532617620371751</v>
      </c>
      <c r="AX43" s="21">
        <f t="shared" si="6"/>
        <v>19.477103200571822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35.999999999999943</v>
      </c>
      <c r="BE43" s="13">
        <f>BD43*VLOOKUP('Données projet'!$B$11,Paramètres!$A$1:$I$89,3,0)*VLOOKUP('Données projet'!$B$11,Paramètres!$A$1:$I$89,5,0)</f>
        <v>31.449599999999958</v>
      </c>
      <c r="BF43" s="13">
        <f t="shared" si="37"/>
        <v>9.7016318496336709</v>
      </c>
      <c r="BG43" s="20">
        <f t="shared" si="7"/>
        <v>71.671728804778567</v>
      </c>
      <c r="BH43" s="59">
        <f t="shared" si="8"/>
        <v>365.0050621381119</v>
      </c>
      <c r="BI43" s="59">
        <f ca="1">AVERAGE(OFFSET($BH$3,0,0,'Données projet'!$E$11+1,1))-AVERAGE(OFFSET($H$3,0,0,'Données projet'!$E$11+1,1))</f>
        <v>247.43282553724879</v>
      </c>
      <c r="BJ43" s="59">
        <f t="shared" si="38"/>
        <v>637.29471578895527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8.5972048601872171</v>
      </c>
      <c r="BS43" s="22">
        <f t="shared" si="9"/>
        <v>8.5972048601872171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220</v>
      </c>
      <c r="BW43" s="12">
        <f>VLOOKUP(A43,'Données projet'!$A$113:$I$133,9,0)</f>
        <v>10.199999999999999</v>
      </c>
      <c r="BX43" s="12">
        <f t="array" ref="BX43">INDEX(BW:BW,MIN(IF(ISNUMBER(BW43:BW239),ROW(BW43:BW239),"")))</f>
        <v>10.199999999999999</v>
      </c>
      <c r="BY43" s="12">
        <f>IF('Données projet'!$A$114&gt;35,BY42+BX43-CG42,IF(A43&lt;'Données projet'!$A$114,$BV$205^A43,IF(A43='Données projet'!$A$114,'Données projet'!$B$114,BY42+BX43-CG42)))</f>
        <v>219.99999999999986</v>
      </c>
      <c r="BZ43" s="13">
        <f>BY43*VLOOKUP('Données projet'!$B$12,Paramètres!$A$1:$I$89,3,0)*VLOOKUP('Données projet'!$B$12,Paramètres!$A$1:$I$89,5,0)</f>
        <v>178.46399999999991</v>
      </c>
      <c r="CA43" s="13">
        <f t="shared" si="39"/>
        <v>44.980284206661821</v>
      </c>
      <c r="CB43" s="20">
        <f t="shared" si="10"/>
        <v>389.16546165993583</v>
      </c>
      <c r="CC43" s="59">
        <f t="shared" si="11"/>
        <v>682.49879499326914</v>
      </c>
      <c r="CD43" s="59">
        <f ca="1">AVERAGE(OFFSET($CC$3,0,0,'Données projet'!$E$12+1,1))-AVERAGE(OFFSET($H$3,0,0,'Données projet'!$E$12+1,1))</f>
        <v>230.68538392491388</v>
      </c>
      <c r="CE43" s="59">
        <f t="shared" si="40"/>
        <v>267.97457956620724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6.4466278086110025</v>
      </c>
      <c r="CM43" s="21">
        <f>EXP(-LN(2)/2)*CM42+(1-EXP(-LN(2)/2))/(LN(2)/2)*CG43*CJ43*VLOOKUP('Données projet'!$B$12,Paramètres!$A$1:$I$89,3,0)*0.475*44/12</f>
        <v>0.3428927919408401</v>
      </c>
      <c r="CN43" s="22">
        <f t="shared" si="12"/>
        <v>6.7895206005518425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106.00000000000001</v>
      </c>
      <c r="CU43" s="17">
        <f>CT43*VLOOKUP('Données projet'!$B$13,Paramètres!$A$1:$I$89,3,0)*VLOOKUP('Données projet'!$B$13,Paramètres!$A$1:$I$89,5,0)</f>
        <v>120.71280000000002</v>
      </c>
      <c r="CV43" s="13">
        <f t="shared" si="41"/>
        <v>31.841190841691311</v>
      </c>
      <c r="CW43" s="20">
        <f t="shared" si="13"/>
        <v>265.69820071594569</v>
      </c>
      <c r="CX43" s="59">
        <f t="shared" si="14"/>
        <v>559.031534049279</v>
      </c>
      <c r="CY43" s="59">
        <f ca="1">AVERAGE(OFFSET($CX$3,0,0,'Données projet'!$E$13+1,1))-AVERAGE(OFFSET($H$3,0,0,'Données projet'!$E$13+1,1))</f>
        <v>242.1473060698724</v>
      </c>
      <c r="CZ43" s="59">
        <f t="shared" si="42"/>
        <v>96.127995920458659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0</v>
      </c>
      <c r="EP43" s="59">
        <f t="shared" si="46"/>
        <v>0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-2.2737367544323206E-13</v>
      </c>
      <c r="O44" s="13">
        <f>N44*VLOOKUP('Données projet'!$B$9,Paramètres!$A$1:$I$89,3,0)*VLOOKUP('Données projet'!$B$9,Paramètres!$A$1:$I$89,5,0)</f>
        <v>-1.3596945791505279E-13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179.86010141761648</v>
      </c>
      <c r="T44" s="59">
        <f t="shared" si="34"/>
        <v>367.01744242396057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52.862534580342086</v>
      </c>
      <c r="AA44" s="21">
        <f>EXP(-LN(2)/25)*AA43+(1-EXP(-LN(2)/25))/(LN(2)/25)*Calculateur!V44*Calculateur!X44*VLOOKUP('Données projet'!$B$9,Paramètres!$A$1:$I$89,3,0)*0.475*44/12</f>
        <v>43.393348124399523</v>
      </c>
      <c r="AB44" s="21">
        <f>EXP(-LN(2)/2)*AB43+(1-EXP(-LN(2)/2))/(LN(2)/2)*V44*Y44*VLOOKUP('Données projet'!$B$9,Paramètres!$A$1:$I$89,3,0)*0.475*44/12</f>
        <v>10.041258154833759</v>
      </c>
      <c r="AC44" s="22">
        <f t="shared" si="3"/>
        <v>106.29714085957536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18.399999999999999</v>
      </c>
      <c r="AI44" s="13">
        <f>IF('Données projet'!$A$62&gt;35,AI43+AH44-AQ43,IF(A44&lt;'Données projet'!$A$62,$AF$205^A44,IF(A44='Données projet'!$A$62,'Données projet'!$B$62,AI43+AH44-AQ43)))</f>
        <v>269.39999999999992</v>
      </c>
      <c r="AJ44" s="13">
        <f>AI44*VLOOKUP('Données projet'!$B$10,Paramètres!$A$1:$I$89,3,0)*VLOOKUP('Données projet'!$B$10,Paramètres!$A$1:$I$89,5,0)</f>
        <v>161.10119999999995</v>
      </c>
      <c r="AK44" s="13">
        <f t="shared" si="35"/>
        <v>41.090794903447097</v>
      </c>
      <c r="AL44" s="20">
        <f t="shared" si="4"/>
        <v>352.15105779017023</v>
      </c>
      <c r="AM44" s="59">
        <f t="shared" si="5"/>
        <v>645.48439112350354</v>
      </c>
      <c r="AN44" s="59">
        <f ca="1">AVERAGE(OFFSET($AM$3,0,0,'Données projet'!$E$10+1,1))-AVERAGE(OFFSET($H$3,0,0,'Données projet'!$E$10+1,1))</f>
        <v>318.09371753144256</v>
      </c>
      <c r="AO44" s="59">
        <f t="shared" si="36"/>
        <v>298.61479562586919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15.233648480312159</v>
      </c>
      <c r="AW44" s="21">
        <f>EXP(-LN(2)/2)*AW43+(1-EXP(-LN(2)/2))/(LN(2)/2)*AQ44*AT44*VLOOKUP('Données projet'!$B$10,Paramètres!$A$1:$I$89,3,0)*0.475*44/12</f>
        <v>0.66844654962679784</v>
      </c>
      <c r="AX44" s="21">
        <f t="shared" si="6"/>
        <v>18.715671366322876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35.999999999999943</v>
      </c>
      <c r="BE44" s="13">
        <f>BD44*VLOOKUP('Données projet'!$B$11,Paramètres!$A$1:$I$89,3,0)*VLOOKUP('Données projet'!$B$11,Paramètres!$A$1:$I$89,5,0)</f>
        <v>31.449599999999958</v>
      </c>
      <c r="BF44" s="13">
        <f t="shared" si="37"/>
        <v>9.7016318496336709</v>
      </c>
      <c r="BG44" s="20">
        <f t="shared" si="7"/>
        <v>71.671728804778567</v>
      </c>
      <c r="BH44" s="59">
        <f t="shared" si="8"/>
        <v>365.0050621381119</v>
      </c>
      <c r="BI44" s="59">
        <f ca="1">AVERAGE(OFFSET($BH$3,0,0,'Données projet'!$E$11+1,1))-AVERAGE(OFFSET($H$3,0,0,'Données projet'!$E$11+1,1))</f>
        <v>247.43282553724879</v>
      </c>
      <c r="BJ44" s="59">
        <f t="shared" si="38"/>
        <v>637.29471578895527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6.0791418558883255</v>
      </c>
      <c r="BS44" s="22">
        <f t="shared" si="9"/>
        <v>6.0791418558883255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</v>
      </c>
      <c r="BY44" s="12">
        <f>IF('Données projet'!$A$114&gt;35,BY43+BX44-CG43,IF(A44&lt;'Données projet'!$A$114,$BV$205^A44,IF(A44='Données projet'!$A$114,'Données projet'!$B$114,BY43+BX44-CG43)))</f>
        <v>171.69999999999985</v>
      </c>
      <c r="BZ44" s="13">
        <f>BY44*VLOOKUP('Données projet'!$B$12,Paramètres!$A$1:$I$89,3,0)*VLOOKUP('Données projet'!$B$12,Paramètres!$A$1:$I$89,5,0)</f>
        <v>139.28303999999989</v>
      </c>
      <c r="CA44" s="13">
        <f t="shared" si="39"/>
        <v>36.132710979898413</v>
      </c>
      <c r="CB44" s="20">
        <f t="shared" si="10"/>
        <v>305.51576628998953</v>
      </c>
      <c r="CC44" s="59">
        <f t="shared" si="11"/>
        <v>598.8490996233229</v>
      </c>
      <c r="CD44" s="59">
        <f ca="1">AVERAGE(OFFSET($CC$3,0,0,'Données projet'!$E$12+1,1))-AVERAGE(OFFSET($H$3,0,0,'Données projet'!$E$12+1,1))</f>
        <v>230.68538392491388</v>
      </c>
      <c r="CE44" s="59">
        <f t="shared" si="40"/>
        <v>267.97457956620724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6.2703444321711119</v>
      </c>
      <c r="CM44" s="21">
        <f>EXP(-LN(2)/2)*CM43+(1-EXP(-LN(2)/2))/(LN(2)/2)*CG44*CJ44*VLOOKUP('Données projet'!$B$12,Paramètres!$A$1:$I$89,3,0)*0.475*44/12</f>
        <v>0.242461818401356</v>
      </c>
      <c r="CN44" s="22">
        <f t="shared" si="12"/>
        <v>6.512806250572468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96.342480000000009</v>
      </c>
      <c r="CV44" s="13">
        <f t="shared" si="41"/>
        <v>26.088763268244669</v>
      </c>
      <c r="CW44" s="20">
        <f t="shared" si="13"/>
        <v>213.23441535885948</v>
      </c>
      <c r="CX44" s="59">
        <f t="shared" si="14"/>
        <v>506.56774869219282</v>
      </c>
      <c r="CY44" s="59">
        <f ca="1">AVERAGE(OFFSET($CX$3,0,0,'Données projet'!$E$13+1,1))-AVERAGE(OFFSET($H$3,0,0,'Données projet'!$E$13+1,1))</f>
        <v>242.1473060698724</v>
      </c>
      <c r="CZ44" s="59">
        <f t="shared" si="42"/>
        <v>96.127995920458659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0</v>
      </c>
      <c r="EP44" s="59">
        <f t="shared" si="46"/>
        <v>0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-2.2737367544323206E-13</v>
      </c>
      <c r="O45" s="13">
        <f>N45*VLOOKUP('Données projet'!$B$9,Paramètres!$A$1:$I$89,3,0)*VLOOKUP('Données projet'!$B$9,Paramètres!$A$1:$I$89,5,0)</f>
        <v>-1.3596945791505279E-13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179.86010141761648</v>
      </c>
      <c r="T45" s="59">
        <f t="shared" si="34"/>
        <v>367.01744242396057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51.82593252018394</v>
      </c>
      <c r="AA45" s="21">
        <f>EXP(-LN(2)/25)*AA44+(1-EXP(-LN(2)/25))/(LN(2)/25)*Calculateur!V45*Calculateur!X45*VLOOKUP('Données projet'!$B$9,Paramètres!$A$1:$I$89,3,0)*0.475*44/12</f>
        <v>42.206754737980816</v>
      </c>
      <c r="AB45" s="21">
        <f>EXP(-LN(2)/2)*AB44+(1-EXP(-LN(2)/2))/(LN(2)/2)*V45*Y45*VLOOKUP('Données projet'!$B$9,Paramètres!$A$1:$I$89,3,0)*0.475*44/12</f>
        <v>7.100241732927671</v>
      </c>
      <c r="AC45" s="22">
        <f t="shared" si="3"/>
        <v>101.13292899109243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18.399999999999999</v>
      </c>
      <c r="AI45" s="13">
        <f>IF('Données projet'!$A$62&gt;35,AI44+AH45-AQ44,IF(A45&lt;'Données projet'!$A$62,$AF$205^A45,IF(A45='Données projet'!$A$62,'Données projet'!$B$62,AI44+AH45-AQ44)))</f>
        <v>287.7999999999999</v>
      </c>
      <c r="AJ45" s="13">
        <f>AI45*VLOOKUP('Données projet'!$B$10,Paramètres!$A$1:$I$89,3,0)*VLOOKUP('Données projet'!$B$10,Paramètres!$A$1:$I$89,5,0)</f>
        <v>172.10439999999994</v>
      </c>
      <c r="AK45" s="13">
        <f t="shared" si="35"/>
        <v>43.561001176960517</v>
      </c>
      <c r="AL45" s="20">
        <f t="shared" si="4"/>
        <v>375.61724038320608</v>
      </c>
      <c r="AM45" s="59">
        <f t="shared" si="5"/>
        <v>668.95057371653934</v>
      </c>
      <c r="AN45" s="59">
        <f ca="1">AVERAGE(OFFSET($AM$3,0,0,'Données projet'!$E$10+1,1))-AVERAGE(OFFSET($H$3,0,0,'Données projet'!$E$10+1,1))</f>
        <v>318.09371753144256</v>
      </c>
      <c r="AO45" s="59">
        <f t="shared" si="36"/>
        <v>298.61479562586919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14.817083561515267</v>
      </c>
      <c r="AW45" s="21">
        <f>EXP(-LN(2)/2)*AW44+(1-EXP(-LN(2)/2))/(LN(2)/2)*AQ45*AT45*VLOOKUP('Données projet'!$B$10,Paramètres!$A$1:$I$89,3,0)*0.475*44/12</f>
        <v>0.47266308810185886</v>
      </c>
      <c r="AX45" s="21">
        <f t="shared" si="6"/>
        <v>18.048150470156667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35.999999999999943</v>
      </c>
      <c r="BE45" s="13">
        <f>BD45*VLOOKUP('Données projet'!$B$11,Paramètres!$A$1:$I$89,3,0)*VLOOKUP('Données projet'!$B$11,Paramètres!$A$1:$I$89,5,0)</f>
        <v>31.449599999999958</v>
      </c>
      <c r="BF45" s="13">
        <f t="shared" si="37"/>
        <v>9.7016318496336709</v>
      </c>
      <c r="BG45" s="20">
        <f t="shared" si="7"/>
        <v>71.671728804778567</v>
      </c>
      <c r="BH45" s="59">
        <f t="shared" si="8"/>
        <v>365.0050621381119</v>
      </c>
      <c r="BI45" s="59">
        <f ca="1">AVERAGE(OFFSET($BH$3,0,0,'Données projet'!$E$11+1,1))-AVERAGE(OFFSET($H$3,0,0,'Données projet'!$E$11+1,1))</f>
        <v>247.43282553724879</v>
      </c>
      <c r="BJ45" s="59">
        <f t="shared" si="38"/>
        <v>637.29471578895527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4.2986024300936085</v>
      </c>
      <c r="BS45" s="22">
        <f t="shared" si="9"/>
        <v>4.2986024300936085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</v>
      </c>
      <c r="BY45" s="12">
        <f>IF('Données projet'!$A$114&gt;35,BY44+BX45-CG44,IF(A45&lt;'Données projet'!$A$114,$BV$205^A45,IF(A45='Données projet'!$A$114,'Données projet'!$B$114,BY44+BX45-CG44)))</f>
        <v>179.39999999999984</v>
      </c>
      <c r="BZ45" s="13">
        <f>BY45*VLOOKUP('Données projet'!$B$12,Paramètres!$A$1:$I$89,3,0)*VLOOKUP('Données projet'!$B$12,Paramètres!$A$1:$I$89,5,0)</f>
        <v>145.52927999999986</v>
      </c>
      <c r="CA45" s="13">
        <f t="shared" si="39"/>
        <v>37.560816225769642</v>
      </c>
      <c r="CB45" s="20">
        <f t="shared" si="10"/>
        <v>318.88191759321518</v>
      </c>
      <c r="CC45" s="59">
        <f t="shared" si="11"/>
        <v>612.21525092654849</v>
      </c>
      <c r="CD45" s="59">
        <f ca="1">AVERAGE(OFFSET($CC$3,0,0,'Données projet'!$E$12+1,1))-AVERAGE(OFFSET($H$3,0,0,'Données projet'!$E$12+1,1))</f>
        <v>230.68538392491388</v>
      </c>
      <c r="CE45" s="59">
        <f t="shared" si="40"/>
        <v>267.97457956620724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6.0988815339303102</v>
      </c>
      <c r="CM45" s="21">
        <f>EXP(-LN(2)/2)*CM44+(1-EXP(-LN(2)/2))/(LN(2)/2)*CG45*CJ45*VLOOKUP('Données projet'!$B$12,Paramètres!$A$1:$I$89,3,0)*0.475*44/12</f>
        <v>0.17144639597042008</v>
      </c>
      <c r="CN45" s="22">
        <f t="shared" si="12"/>
        <v>6.2703279299007306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102.71976000000001</v>
      </c>
      <c r="CV45" s="13">
        <f t="shared" si="41"/>
        <v>27.608927464604609</v>
      </c>
      <c r="CW45" s="20">
        <f t="shared" si="13"/>
        <v>226.9891306675197</v>
      </c>
      <c r="CX45" s="59">
        <f t="shared" si="14"/>
        <v>520.32246400085296</v>
      </c>
      <c r="CY45" s="59">
        <f ca="1">AVERAGE(OFFSET($CX$3,0,0,'Données projet'!$E$13+1,1))-AVERAGE(OFFSET($H$3,0,0,'Données projet'!$E$13+1,1))</f>
        <v>242.1473060698724</v>
      </c>
      <c r="CZ45" s="59">
        <f t="shared" si="42"/>
        <v>96.127995920458659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0</v>
      </c>
      <c r="EP45" s="59">
        <f t="shared" si="46"/>
        <v>0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-2.2737367544323206E-13</v>
      </c>
      <c r="O46" s="13">
        <f>N46*VLOOKUP('Données projet'!$B$9,Paramètres!$A$1:$I$89,3,0)*VLOOKUP('Données projet'!$B$9,Paramètres!$A$1:$I$89,5,0)</f>
        <v>-1.3596945791505279E-13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179.86010141761648</v>
      </c>
      <c r="T46" s="59">
        <f t="shared" si="34"/>
        <v>367.01744242396057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50.809657594160676</v>
      </c>
      <c r="AA46" s="21">
        <f>EXP(-LN(2)/25)*AA45+(1-EXP(-LN(2)/25))/(LN(2)/25)*Calculateur!V46*Calculateur!X46*VLOOKUP('Données projet'!$B$9,Paramètres!$A$1:$I$89,3,0)*0.475*44/12</f>
        <v>41.052608810113966</v>
      </c>
      <c r="AB46" s="21">
        <f>EXP(-LN(2)/2)*AB45+(1-EXP(-LN(2)/2))/(LN(2)/2)*V46*Y46*VLOOKUP('Données projet'!$B$9,Paramètres!$A$1:$I$89,3,0)*0.475*44/12</f>
        <v>5.0206290774168796</v>
      </c>
      <c r="AC46" s="22">
        <f t="shared" si="3"/>
        <v>96.88289548169152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18.399999999999999</v>
      </c>
      <c r="AI46" s="13">
        <f>IF('Données projet'!$A$62&gt;35,AI45+AH46-AQ45,IF(A46&lt;'Données projet'!$A$62,$AF$205^A46,IF(A46='Données projet'!$A$62,'Données projet'!$B$62,AI45+AH46-AQ45)))</f>
        <v>306.19999999999987</v>
      </c>
      <c r="AJ46" s="13">
        <f>AI46*VLOOKUP('Données projet'!$B$10,Paramètres!$A$1:$I$89,3,0)*VLOOKUP('Données projet'!$B$10,Paramètres!$A$1:$I$89,5,0)</f>
        <v>183.10759999999993</v>
      </c>
      <c r="AK46" s="13">
        <f t="shared" si="35"/>
        <v>46.012879639356079</v>
      </c>
      <c r="AL46" s="20">
        <f t="shared" si="4"/>
        <v>399.05150203854504</v>
      </c>
      <c r="AM46" s="59">
        <f t="shared" si="5"/>
        <v>692.38483537187835</v>
      </c>
      <c r="AN46" s="59">
        <f ca="1">AVERAGE(OFFSET($AM$3,0,0,'Données projet'!$E$10+1,1))-AVERAGE(OFFSET($H$3,0,0,'Données projet'!$E$10+1,1))</f>
        <v>318.09371753144256</v>
      </c>
      <c r="AO46" s="59">
        <f t="shared" si="36"/>
        <v>298.61479562586919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14.411909632329072</v>
      </c>
      <c r="AW46" s="21">
        <f>EXP(-LN(2)/2)*AW45+(1-EXP(-LN(2)/2))/(LN(2)/2)*AQ46*AT46*VLOOKUP('Données projet'!$B$10,Paramètres!$A$1:$I$89,3,0)*0.475*44/12</f>
        <v>0.33422327481339897</v>
      </c>
      <c r="AX46" s="21">
        <f t="shared" si="6"/>
        <v>17.450446111221439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35.999999999999943</v>
      </c>
      <c r="BE46" s="13">
        <f>BD46*VLOOKUP('Données projet'!$B$11,Paramètres!$A$1:$I$89,3,0)*VLOOKUP('Données projet'!$B$11,Paramètres!$A$1:$I$89,5,0)</f>
        <v>31.449599999999958</v>
      </c>
      <c r="BF46" s="13">
        <f t="shared" si="37"/>
        <v>9.7016318496336709</v>
      </c>
      <c r="BG46" s="20">
        <f t="shared" si="7"/>
        <v>71.671728804778567</v>
      </c>
      <c r="BH46" s="59">
        <f t="shared" si="8"/>
        <v>365.0050621381119</v>
      </c>
      <c r="BI46" s="59">
        <f ca="1">AVERAGE(OFFSET($BH$3,0,0,'Données projet'!$E$11+1,1))-AVERAGE(OFFSET($H$3,0,0,'Données projet'!$E$11+1,1))</f>
        <v>247.43282553724879</v>
      </c>
      <c r="BJ46" s="59">
        <f t="shared" si="38"/>
        <v>637.29471578895527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3.0395709279441627</v>
      </c>
      <c r="BS46" s="22">
        <f t="shared" si="9"/>
        <v>3.0395709279441627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</v>
      </c>
      <c r="BY46" s="12">
        <f>IF('Données projet'!$A$114&gt;35,BY45+BX46-CG45,IF(A46&lt;'Données projet'!$A$114,$BV$205^A46,IF(A46='Données projet'!$A$114,'Données projet'!$B$114,BY45+BX46-CG45)))</f>
        <v>187.09999999999982</v>
      </c>
      <c r="BZ46" s="13">
        <f>BY46*VLOOKUP('Données projet'!$B$12,Paramètres!$A$1:$I$89,3,0)*VLOOKUP('Données projet'!$B$12,Paramètres!$A$1:$I$89,5,0)</f>
        <v>151.77551999999989</v>
      </c>
      <c r="CA46" s="13">
        <f t="shared" si="39"/>
        <v>38.98180216162384</v>
      </c>
      <c r="CB46" s="20">
        <f t="shared" si="10"/>
        <v>332.23566943149461</v>
      </c>
      <c r="CC46" s="59">
        <f t="shared" si="11"/>
        <v>625.56900276482793</v>
      </c>
      <c r="CD46" s="59">
        <f ca="1">AVERAGE(OFFSET($CC$3,0,0,'Données projet'!$E$12+1,1))-AVERAGE(OFFSET($H$3,0,0,'Données projet'!$E$12+1,1))</f>
        <v>230.68538392491388</v>
      </c>
      <c r="CE46" s="59">
        <f t="shared" si="40"/>
        <v>267.97457956620724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5.932107297658745</v>
      </c>
      <c r="CM46" s="21">
        <f>EXP(-LN(2)/2)*CM45+(1-EXP(-LN(2)/2))/(LN(2)/2)*CG46*CJ46*VLOOKUP('Données projet'!$B$12,Paramètres!$A$1:$I$89,3,0)*0.475*44/12</f>
        <v>0.12123090920067803</v>
      </c>
      <c r="CN46" s="22">
        <f t="shared" si="12"/>
        <v>6.053338206859423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109.09704000000001</v>
      </c>
      <c r="CV46" s="13">
        <f t="shared" si="41"/>
        <v>29.118138203692205</v>
      </c>
      <c r="CW46" s="20">
        <f t="shared" si="13"/>
        <v>240.72476870476387</v>
      </c>
      <c r="CX46" s="59">
        <f t="shared" si="14"/>
        <v>534.05810203809722</v>
      </c>
      <c r="CY46" s="59">
        <f ca="1">AVERAGE(OFFSET($CX$3,0,0,'Données projet'!$E$13+1,1))-AVERAGE(OFFSET($H$3,0,0,'Données projet'!$E$13+1,1))</f>
        <v>242.1473060698724</v>
      </c>
      <c r="CZ46" s="59">
        <f t="shared" si="42"/>
        <v>96.127995920458659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0</v>
      </c>
      <c r="EP46" s="59">
        <f t="shared" si="46"/>
        <v>0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-2.2737367544323206E-13</v>
      </c>
      <c r="O47" s="13">
        <f>N47*VLOOKUP('Données projet'!$B$9,Paramètres!$A$1:$I$89,3,0)*VLOOKUP('Données projet'!$B$9,Paramètres!$A$1:$I$89,5,0)</f>
        <v>-1.3596945791505279E-13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179.86010141761648</v>
      </c>
      <c r="T47" s="59">
        <f t="shared" si="34"/>
        <v>367.01744242396057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49.813311199570229</v>
      </c>
      <c r="AA47" s="21">
        <f>EXP(-LN(2)/25)*AA46+(1-EXP(-LN(2)/25))/(LN(2)/25)*Calculateur!V47*Calculateur!X47*VLOOKUP('Données projet'!$B$9,Paramètres!$A$1:$I$89,3,0)*0.475*44/12</f>
        <v>39.930023063338531</v>
      </c>
      <c r="AB47" s="21">
        <f>EXP(-LN(2)/2)*AB46+(1-EXP(-LN(2)/2))/(LN(2)/2)*V47*Y47*VLOOKUP('Données projet'!$B$9,Paramètres!$A$1:$I$89,3,0)*0.475*44/12</f>
        <v>3.5501208664638355</v>
      </c>
      <c r="AC47" s="22">
        <f t="shared" si="3"/>
        <v>93.293455129372603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18.399999999999999</v>
      </c>
      <c r="AI47" s="13">
        <f>IF('Données projet'!$A$62&gt;35,AI46+AH47-AQ46,IF(A47&lt;'Données projet'!$A$62,$AF$205^A47,IF(A47='Données projet'!$A$62,'Données projet'!$B$62,AI46+AH47-AQ46)))</f>
        <v>324.59999999999985</v>
      </c>
      <c r="AJ47" s="13">
        <f>AI47*VLOOKUP('Données projet'!$B$10,Paramètres!$A$1:$I$89,3,0)*VLOOKUP('Données projet'!$B$10,Paramètres!$A$1:$I$89,5,0)</f>
        <v>194.11079999999993</v>
      </c>
      <c r="AK47" s="13">
        <f t="shared" si="35"/>
        <v>48.447657061866487</v>
      </c>
      <c r="AL47" s="20">
        <f t="shared" si="4"/>
        <v>422.45597938275068</v>
      </c>
      <c r="AM47" s="59">
        <f t="shared" si="5"/>
        <v>715.78931271608394</v>
      </c>
      <c r="AN47" s="59">
        <f ca="1">AVERAGE(OFFSET($AM$3,0,0,'Données projet'!$E$10+1,1))-AVERAGE(OFFSET($H$3,0,0,'Données projet'!$E$10+1,1))</f>
        <v>318.09371753144256</v>
      </c>
      <c r="AO47" s="59">
        <f t="shared" si="36"/>
        <v>298.61479562586919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14.017815205543645</v>
      </c>
      <c r="AW47" s="21">
        <f>EXP(-LN(2)/2)*AW46+(1-EXP(-LN(2)/2))/(LN(2)/2)*AQ47*AT47*VLOOKUP('Données projet'!$B$10,Paramètres!$A$1:$I$89,3,0)*0.475*44/12</f>
        <v>0.23633154405092946</v>
      </c>
      <c r="AX47" s="21">
        <f t="shared" si="6"/>
        <v>16.905430021209735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35.999999999999943</v>
      </c>
      <c r="BE47" s="13">
        <f>BD47*VLOOKUP('Données projet'!$B$11,Paramètres!$A$1:$I$89,3,0)*VLOOKUP('Données projet'!$B$11,Paramètres!$A$1:$I$89,5,0)</f>
        <v>31.449599999999958</v>
      </c>
      <c r="BF47" s="13">
        <f t="shared" si="37"/>
        <v>9.7016318496336709</v>
      </c>
      <c r="BG47" s="20">
        <f t="shared" si="7"/>
        <v>71.671728804778567</v>
      </c>
      <c r="BH47" s="59">
        <f t="shared" si="8"/>
        <v>365.0050621381119</v>
      </c>
      <c r="BI47" s="59">
        <f ca="1">AVERAGE(OFFSET($BH$3,0,0,'Données projet'!$E$11+1,1))-AVERAGE(OFFSET($H$3,0,0,'Données projet'!$E$11+1,1))</f>
        <v>247.43282553724879</v>
      </c>
      <c r="BJ47" s="59">
        <f t="shared" si="38"/>
        <v>637.29471578895527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2.1493012150468043</v>
      </c>
      <c r="BS47" s="22">
        <f t="shared" si="9"/>
        <v>2.1493012150468043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</v>
      </c>
      <c r="BY47" s="12">
        <f>IF('Données projet'!$A$114&gt;35,BY46+BX47-CG46,IF(A47&lt;'Données projet'!$A$114,$BV$205^A47,IF(A47='Données projet'!$A$114,'Données projet'!$B$114,BY46+BX47-CG46)))</f>
        <v>194.79999999999981</v>
      </c>
      <c r="BZ47" s="13">
        <f>BY47*VLOOKUP('Données projet'!$B$12,Paramètres!$A$1:$I$89,3,0)*VLOOKUP('Données projet'!$B$12,Paramètres!$A$1:$I$89,5,0)</f>
        <v>158.02175999999986</v>
      </c>
      <c r="CA47" s="13">
        <f t="shared" si="39"/>
        <v>40.395995288758058</v>
      </c>
      <c r="CB47" s="20">
        <f t="shared" si="10"/>
        <v>345.57759046125335</v>
      </c>
      <c r="CC47" s="59">
        <f t="shared" si="11"/>
        <v>638.91092379458667</v>
      </c>
      <c r="CD47" s="59">
        <f ca="1">AVERAGE(OFFSET($CC$3,0,0,'Données projet'!$E$12+1,1))-AVERAGE(OFFSET($H$3,0,0,'Données projet'!$E$12+1,1))</f>
        <v>230.68538392491388</v>
      </c>
      <c r="CE47" s="59">
        <f t="shared" si="40"/>
        <v>267.97457956620724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5.7698935116483021</v>
      </c>
      <c r="CM47" s="21">
        <f>EXP(-LN(2)/2)*CM46+(1-EXP(-LN(2)/2))/(LN(2)/2)*CG47*CJ47*VLOOKUP('Données projet'!$B$12,Paramètres!$A$1:$I$89,3,0)*0.475*44/12</f>
        <v>8.5723197985210053E-2</v>
      </c>
      <c r="CN47" s="22">
        <f t="shared" si="12"/>
        <v>5.8556167096335123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115.47431999999999</v>
      </c>
      <c r="CV47" s="13">
        <f t="shared" si="41"/>
        <v>30.617108709605674</v>
      </c>
      <c r="CW47" s="20">
        <f t="shared" si="13"/>
        <v>254.44257166922989</v>
      </c>
      <c r="CX47" s="59">
        <f t="shared" si="14"/>
        <v>547.77590500256315</v>
      </c>
      <c r="CY47" s="59">
        <f ca="1">AVERAGE(OFFSET($CX$3,0,0,'Données projet'!$E$13+1,1))-AVERAGE(OFFSET($H$3,0,0,'Données projet'!$E$13+1,1))</f>
        <v>242.1473060698724</v>
      </c>
      <c r="CZ47" s="59">
        <f t="shared" si="42"/>
        <v>96.127995920458659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0</v>
      </c>
      <c r="EP47" s="59">
        <f t="shared" si="46"/>
        <v>0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-2.2737367544323206E-13</v>
      </c>
      <c r="O48" s="13">
        <f>N48*VLOOKUP('Données projet'!$B$9,Paramètres!$A$1:$I$89,3,0)*VLOOKUP('Données projet'!$B$9,Paramètres!$A$1:$I$89,5,0)</f>
        <v>-1.3596945791505279E-13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179.86010141761648</v>
      </c>
      <c r="T48" s="59">
        <f t="shared" si="34"/>
        <v>367.01744242396057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48.836502550066406</v>
      </c>
      <c r="AA48" s="21">
        <f>EXP(-LN(2)/25)*AA47+(1-EXP(-LN(2)/25))/(LN(2)/25)*Calculateur!V48*Calculateur!X48*VLOOKUP('Données projet'!$B$9,Paramètres!$A$1:$I$89,3,0)*0.475*44/12</f>
        <v>38.838134482842889</v>
      </c>
      <c r="AB48" s="21">
        <f>EXP(-LN(2)/2)*AB47+(1-EXP(-LN(2)/2))/(LN(2)/2)*V48*Y48*VLOOKUP('Données projet'!$B$9,Paramètres!$A$1:$I$89,3,0)*0.475*44/12</f>
        <v>2.5103145387084398</v>
      </c>
      <c r="AC48" s="22">
        <f t="shared" si="3"/>
        <v>90.184951571617731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18.399999999999999</v>
      </c>
      <c r="AI48" s="13">
        <f>IF('Données projet'!$A$62&gt;35,AI47+AH48-AQ47,IF(A48&lt;'Données projet'!$A$62,$AF$205^A48,IF(A48='Données projet'!$A$62,'Données projet'!$B$62,AI47+AH48-AQ47)))</f>
        <v>342.99999999999983</v>
      </c>
      <c r="AJ48" s="13">
        <f>AI48*VLOOKUP('Données projet'!$B$10,Paramètres!$A$1:$I$89,3,0)*VLOOKUP('Données projet'!$B$10,Paramètres!$A$1:$I$89,5,0)</f>
        <v>205.11399999999989</v>
      </c>
      <c r="AK48" s="13">
        <f t="shared" si="35"/>
        <v>50.86641328088502</v>
      </c>
      <c r="AL48" s="20">
        <f t="shared" si="4"/>
        <v>445.83255313087449</v>
      </c>
      <c r="AM48" s="59">
        <f t="shared" si="5"/>
        <v>739.1658864642078</v>
      </c>
      <c r="AN48" s="59">
        <f ca="1">AVERAGE(OFFSET($AM$3,0,0,'Données projet'!$E$10+1,1))-AVERAGE(OFFSET($H$3,0,0,'Données projet'!$E$10+1,1))</f>
        <v>318.09371753144256</v>
      </c>
      <c r="AO48" s="59">
        <f t="shared" si="36"/>
        <v>298.61479562586919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13.634497311583191</v>
      </c>
      <c r="AW48" s="21">
        <f>EXP(-LN(2)/2)*AW47+(1-EXP(-LN(2)/2))/(LN(2)/2)*AQ48*AT48*VLOOKUP('Données projet'!$B$10,Paramètres!$A$1:$I$89,3,0)*0.475*44/12</f>
        <v>0.16711163740669951</v>
      </c>
      <c r="AX48" s="21">
        <f t="shared" si="6"/>
        <v>16.400902172771794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35.999999999999943</v>
      </c>
      <c r="BE48" s="13">
        <f>BD48*VLOOKUP('Données projet'!$B$11,Paramètres!$A$1:$I$89,3,0)*VLOOKUP('Données projet'!$B$11,Paramètres!$A$1:$I$89,5,0)</f>
        <v>31.449599999999958</v>
      </c>
      <c r="BF48" s="13">
        <f t="shared" si="37"/>
        <v>9.7016318496336709</v>
      </c>
      <c r="BG48" s="20">
        <f t="shared" si="7"/>
        <v>71.671728804778567</v>
      </c>
      <c r="BH48" s="59">
        <f t="shared" si="8"/>
        <v>365.0050621381119</v>
      </c>
      <c r="BI48" s="59">
        <f ca="1">AVERAGE(OFFSET($BH$3,0,0,'Données projet'!$E$11+1,1))-AVERAGE(OFFSET($H$3,0,0,'Données projet'!$E$11+1,1))</f>
        <v>247.43282553724879</v>
      </c>
      <c r="BJ48" s="59">
        <f t="shared" si="38"/>
        <v>637.29471578895527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1.5197854639720814</v>
      </c>
      <c r="BS48" s="22">
        <f t="shared" si="9"/>
        <v>1.5197854639720814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</v>
      </c>
      <c r="BY48" s="12">
        <f>IF('Données projet'!$A$114&gt;35,BY47+BX48-CG47,IF(A48&lt;'Données projet'!$A$114,$BV$205^A48,IF(A48='Données projet'!$A$114,'Données projet'!$B$114,BY47+BX48-CG47)))</f>
        <v>202.4999999999998</v>
      </c>
      <c r="BZ48" s="13">
        <f>BY48*VLOOKUP('Données projet'!$B$12,Paramètres!$A$1:$I$89,3,0)*VLOOKUP('Données projet'!$B$12,Paramètres!$A$1:$I$89,5,0)</f>
        <v>164.26799999999986</v>
      </c>
      <c r="CA48" s="13">
        <f t="shared" si="39"/>
        <v>41.803694835525619</v>
      </c>
      <c r="CB48" s="20">
        <f t="shared" si="10"/>
        <v>358.90820183854021</v>
      </c>
      <c r="CC48" s="59">
        <f t="shared" si="11"/>
        <v>652.24153517187347</v>
      </c>
      <c r="CD48" s="59">
        <f ca="1">AVERAGE(OFFSET($CC$3,0,0,'Données projet'!$E$12+1,1))-AVERAGE(OFFSET($H$3,0,0,'Données projet'!$E$12+1,1))</f>
        <v>230.68538392491388</v>
      </c>
      <c r="CE48" s="59">
        <f t="shared" si="40"/>
        <v>267.97457956620724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5.612115470146767</v>
      </c>
      <c r="CM48" s="21">
        <f>EXP(-LN(2)/2)*CM47+(1-EXP(-LN(2)/2))/(LN(2)/2)*CG48*CJ48*VLOOKUP('Données projet'!$B$12,Paramètres!$A$1:$I$89,3,0)*0.475*44/12</f>
        <v>6.0615454600339021E-2</v>
      </c>
      <c r="CN48" s="22">
        <f t="shared" si="12"/>
        <v>5.6727309247471061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121.85159999999998</v>
      </c>
      <c r="CV48" s="13">
        <f t="shared" si="41"/>
        <v>32.106468978964038</v>
      </c>
      <c r="CW48" s="20">
        <f t="shared" si="13"/>
        <v>268.14363680502896</v>
      </c>
      <c r="CX48" s="59">
        <f t="shared" si="14"/>
        <v>561.47697013836228</v>
      </c>
      <c r="CY48" s="59">
        <f ca="1">AVERAGE(OFFSET($CX$3,0,0,'Données projet'!$E$13+1,1))-AVERAGE(OFFSET($H$3,0,0,'Données projet'!$E$13+1,1))</f>
        <v>242.1473060698724</v>
      </c>
      <c r="CZ48" s="59">
        <f t="shared" si="42"/>
        <v>96.127995920458659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0</v>
      </c>
      <c r="EP48" s="59">
        <f t="shared" si="46"/>
        <v>0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179.86010141761648</v>
      </c>
      <c r="T49" s="59">
        <f t="shared" si="34"/>
        <v>367.01744242396057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47.878848522384907</v>
      </c>
      <c r="AA49" s="21">
        <f>EXP(-LN(2)/25)*AA48+(1-EXP(-LN(2)/25))/(LN(2)/25)*Calculateur!V49*Calculateur!X49*VLOOKUP('Données projet'!$B$9,Paramètres!$A$1:$I$89,3,0)*0.475*44/12</f>
        <v>37.776103653000824</v>
      </c>
      <c r="AB49" s="21">
        <f>EXP(-LN(2)/2)*AB48+(1-EXP(-LN(2)/2))/(LN(2)/2)*V49*Y49*VLOOKUP('Données projet'!$B$9,Paramètres!$A$1:$I$89,3,0)*0.475*44/12</f>
        <v>1.7750604332319178</v>
      </c>
      <c r="AC49" s="22">
        <f t="shared" si="3"/>
        <v>87.430012608617645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18.399999999999999</v>
      </c>
      <c r="AI49" s="13">
        <f>IF('Données projet'!$A$62&gt;35,AI48+AH49-AQ48,IF(A49&lt;'Données projet'!$A$62,$AF$205^A49,IF(A49='Données projet'!$A$62,'Données projet'!$B$62,AI48+AH49-AQ48)))</f>
        <v>361.39999999999981</v>
      </c>
      <c r="AJ49" s="13">
        <f>AI49*VLOOKUP('Données projet'!$B$10,Paramètres!$A$1:$I$89,3,0)*VLOOKUP('Données projet'!$B$10,Paramètres!$A$1:$I$89,5,0)</f>
        <v>216.11719999999988</v>
      </c>
      <c r="AK49" s="13">
        <f t="shared" si="35"/>
        <v>53.270105735396356</v>
      </c>
      <c r="AL49" s="20">
        <f t="shared" si="4"/>
        <v>469.18289082248174</v>
      </c>
      <c r="AM49" s="59">
        <f t="shared" si="5"/>
        <v>762.51622415581505</v>
      </c>
      <c r="AN49" s="59">
        <f ca="1">AVERAGE(OFFSET($AM$3,0,0,'Données projet'!$E$10+1,1))-AVERAGE(OFFSET($H$3,0,0,'Données projet'!$E$10+1,1))</f>
        <v>318.09371753144256</v>
      </c>
      <c r="AO49" s="59">
        <f t="shared" si="36"/>
        <v>298.61479562586919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13.261661265590897</v>
      </c>
      <c r="AW49" s="21">
        <f>EXP(-LN(2)/2)*AW48+(1-EXP(-LN(2)/2))/(LN(2)/2)*AQ49*AT49*VLOOKUP('Données projet'!$B$10,Paramètres!$A$1:$I$89,3,0)*0.475*44/12</f>
        <v>0.11816577202546476</v>
      </c>
      <c r="AX49" s="21">
        <f t="shared" si="6"/>
        <v>15.928149706692224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35.999999999999943</v>
      </c>
      <c r="BE49" s="13">
        <f>BD49*VLOOKUP('Données projet'!$B$11,Paramètres!$A$1:$I$89,3,0)*VLOOKUP('Données projet'!$B$11,Paramètres!$A$1:$I$89,5,0)</f>
        <v>31.449599999999958</v>
      </c>
      <c r="BF49" s="13">
        <f t="shared" si="37"/>
        <v>9.7016318496336709</v>
      </c>
      <c r="BG49" s="20">
        <f t="shared" si="7"/>
        <v>71.671728804778567</v>
      </c>
      <c r="BH49" s="59">
        <f t="shared" si="8"/>
        <v>365.0050621381119</v>
      </c>
      <c r="BI49" s="59">
        <f ca="1">AVERAGE(OFFSET($BH$3,0,0,'Données projet'!$E$11+1,1))-AVERAGE(OFFSET($H$3,0,0,'Données projet'!$E$11+1,1))</f>
        <v>247.43282553724879</v>
      </c>
      <c r="BJ49" s="59">
        <f t="shared" si="38"/>
        <v>637.29471578895527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1.0746506075234021</v>
      </c>
      <c r="BS49" s="22">
        <f t="shared" si="9"/>
        <v>1.0746506075234021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</v>
      </c>
      <c r="BY49" s="12">
        <f>IF('Données projet'!$A$114&gt;35,BY48+BX49-CG48,IF(A49&lt;'Données projet'!$A$114,$BV$205^A49,IF(A49='Données projet'!$A$114,'Données projet'!$B$114,BY48+BX49-CG48)))</f>
        <v>210.19999999999979</v>
      </c>
      <c r="BZ49" s="13">
        <f>BY49*VLOOKUP('Données projet'!$B$12,Paramètres!$A$1:$I$89,3,0)*VLOOKUP('Données projet'!$B$12,Paramètres!$A$1:$I$89,5,0)</f>
        <v>170.51423999999983</v>
      </c>
      <c r="CA49" s="13">
        <f t="shared" si="39"/>
        <v>43.20517598524669</v>
      </c>
      <c r="CB49" s="20">
        <f t="shared" si="10"/>
        <v>372.22798284097098</v>
      </c>
      <c r="CC49" s="59">
        <f t="shared" si="11"/>
        <v>665.56131617430424</v>
      </c>
      <c r="CD49" s="59">
        <f ca="1">AVERAGE(OFFSET($CC$3,0,0,'Données projet'!$E$12+1,1))-AVERAGE(OFFSET($H$3,0,0,'Données projet'!$E$12+1,1))</f>
        <v>230.68538392491388</v>
      </c>
      <c r="CE49" s="59">
        <f t="shared" si="40"/>
        <v>267.97457956620724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5.4586518774872781</v>
      </c>
      <c r="CM49" s="21">
        <f>EXP(-LN(2)/2)*CM48+(1-EXP(-LN(2)/2))/(LN(2)/2)*CG49*CJ49*VLOOKUP('Données projet'!$B$12,Paramètres!$A$1:$I$89,3,0)*0.475*44/12</f>
        <v>4.2861598992605034E-2</v>
      </c>
      <c r="CN49" s="22">
        <f t="shared" si="12"/>
        <v>5.5015134764798832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112.59999999999998</v>
      </c>
      <c r="CU49" s="17">
        <f>CT49*VLOOKUP('Données projet'!$B$13,Paramètres!$A$1:$I$89,3,0)*VLOOKUP('Données projet'!$B$13,Paramètres!$A$1:$I$89,5,0)</f>
        <v>128.22887999999998</v>
      </c>
      <c r="CV49" s="13">
        <f t="shared" si="41"/>
        <v>33.586779340295337</v>
      </c>
      <c r="CW49" s="20">
        <f t="shared" si="13"/>
        <v>281.82894001768102</v>
      </c>
      <c r="CX49" s="59">
        <f t="shared" si="14"/>
        <v>575.16227335101439</v>
      </c>
      <c r="CY49" s="59">
        <f ca="1">AVERAGE(OFFSET($CX$3,0,0,'Données projet'!$E$13+1,1))-AVERAGE(OFFSET($H$3,0,0,'Données projet'!$E$13+1,1))</f>
        <v>242.1473060698724</v>
      </c>
      <c r="CZ49" s="59">
        <f t="shared" si="42"/>
        <v>96.127995920458659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0</v>
      </c>
      <c r="EP49" s="59">
        <f t="shared" si="46"/>
        <v>0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179.86010141761648</v>
      </c>
      <c r="T50" s="59">
        <f t="shared" si="34"/>
        <v>367.01744242396057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46.939973506074956</v>
      </c>
      <c r="AA50" s="21">
        <f>EXP(-LN(2)/25)*AA49+(1-EXP(-LN(2)/25))/(LN(2)/25)*Calculateur!V50*Calculateur!X50*VLOOKUP('Données projet'!$B$9,Paramètres!$A$1:$I$89,3,0)*0.475*44/12</f>
        <v>36.743114112050563</v>
      </c>
      <c r="AB50" s="21">
        <f>EXP(-LN(2)/2)*AB49+(1-EXP(-LN(2)/2))/(LN(2)/2)*V50*Y50*VLOOKUP('Données projet'!$B$9,Paramètres!$A$1:$I$89,3,0)*0.475*44/12</f>
        <v>1.2551572693542199</v>
      </c>
      <c r="AC50" s="22">
        <f t="shared" si="3"/>
        <v>84.938244887479726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18.399999999999999</v>
      </c>
      <c r="AI50" s="13">
        <f>IF('Données projet'!$A$62&gt;35,AI49+AH50-AQ49,IF(A50&lt;'Données projet'!$A$62,$AF$205^A50,IF(A50='Données projet'!$A$62,'Données projet'!$B$62,AI49+AH50-AQ49)))</f>
        <v>379.79999999999978</v>
      </c>
      <c r="AJ50" s="13">
        <f>AI50*VLOOKUP('Données projet'!$B$10,Paramètres!$A$1:$I$89,3,0)*VLOOKUP('Données projet'!$B$10,Paramètres!$A$1:$I$89,5,0)</f>
        <v>227.1203999999999</v>
      </c>
      <c r="AK50" s="13">
        <f t="shared" si="35"/>
        <v>55.65958886510915</v>
      </c>
      <c r="AL50" s="20">
        <f t="shared" si="4"/>
        <v>492.50848060673161</v>
      </c>
      <c r="AM50" s="59">
        <f t="shared" si="5"/>
        <v>785.84181394006487</v>
      </c>
      <c r="AN50" s="59">
        <f ca="1">AVERAGE(OFFSET($AM$3,0,0,'Données projet'!$E$10+1,1))-AVERAGE(OFFSET($H$3,0,0,'Données projet'!$E$10+1,1))</f>
        <v>318.09371753144256</v>
      </c>
      <c r="AO50" s="59">
        <f t="shared" si="36"/>
        <v>298.61479562586919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12.899020440882857</v>
      </c>
      <c r="AW50" s="21">
        <f>EXP(-LN(2)/2)*AW49+(1-EXP(-LN(2)/2))/(LN(2)/2)*AQ50*AT50*VLOOKUP('Données projet'!$B$10,Paramètres!$A$1:$I$89,3,0)*0.475*44/12</f>
        <v>8.3555818703349771E-2</v>
      </c>
      <c r="AX50" s="21">
        <f t="shared" si="6"/>
        <v>15.480927875444843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35.999999999999943</v>
      </c>
      <c r="BE50" s="13">
        <f>BD50*VLOOKUP('Données projet'!$B$11,Paramètres!$A$1:$I$89,3,0)*VLOOKUP('Données projet'!$B$11,Paramètres!$A$1:$I$89,5,0)</f>
        <v>31.449599999999958</v>
      </c>
      <c r="BF50" s="13">
        <f t="shared" si="37"/>
        <v>9.7016318496336709</v>
      </c>
      <c r="BG50" s="20">
        <f t="shared" si="7"/>
        <v>71.671728804778567</v>
      </c>
      <c r="BH50" s="59">
        <f t="shared" si="8"/>
        <v>365.0050621381119</v>
      </c>
      <c r="BI50" s="59">
        <f ca="1">AVERAGE(OFFSET($BH$3,0,0,'Données projet'!$E$11+1,1))-AVERAGE(OFFSET($H$3,0,0,'Données projet'!$E$11+1,1))</f>
        <v>247.43282553724879</v>
      </c>
      <c r="BJ50" s="59">
        <f t="shared" si="38"/>
        <v>637.29471578895527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0.75989273198604068</v>
      </c>
      <c r="BS50" s="22">
        <f t="shared" si="9"/>
        <v>0.75989273198604068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</v>
      </c>
      <c r="BY50" s="12">
        <f>IF('Données projet'!$A$114&gt;35,BY49+BX50-CG49,IF(A50&lt;'Données projet'!$A$114,$BV$205^A50,IF(A50='Données projet'!$A$114,'Données projet'!$B$114,BY49+BX50-CG49)))</f>
        <v>217.89999999999978</v>
      </c>
      <c r="BZ50" s="13">
        <f>BY50*VLOOKUP('Données projet'!$B$12,Paramètres!$A$1:$I$89,3,0)*VLOOKUP('Données projet'!$B$12,Paramètres!$A$1:$I$89,5,0)</f>
        <v>176.76047999999983</v>
      </c>
      <c r="CA50" s="13">
        <f t="shared" si="39"/>
        <v>44.600692617848637</v>
      </c>
      <c r="CB50" s="20">
        <f t="shared" si="10"/>
        <v>385.53737564275275</v>
      </c>
      <c r="CC50" s="59">
        <f t="shared" si="11"/>
        <v>678.87070897608601</v>
      </c>
      <c r="CD50" s="59">
        <f ca="1">AVERAGE(OFFSET($CC$3,0,0,'Données projet'!$E$12+1,1))-AVERAGE(OFFSET($H$3,0,0,'Données projet'!$E$12+1,1))</f>
        <v>230.68538392491388</v>
      </c>
      <c r="CE50" s="59">
        <f t="shared" si="40"/>
        <v>267.97457956620724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5.3093847548393622</v>
      </c>
      <c r="CM50" s="21">
        <f>EXP(-LN(2)/2)*CM49+(1-EXP(-LN(2)/2))/(LN(2)/2)*CG50*CJ50*VLOOKUP('Données projet'!$B$12,Paramètres!$A$1:$I$89,3,0)*0.475*44/12</f>
        <v>3.0307727300169514E-2</v>
      </c>
      <c r="CN50" s="22">
        <f t="shared" si="12"/>
        <v>5.3396924821395322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118.19999999999997</v>
      </c>
      <c r="CU50" s="17">
        <f>CT50*VLOOKUP('Données projet'!$B$13,Paramètres!$A$1:$I$89,3,0)*VLOOKUP('Données projet'!$B$13,Paramètres!$A$1:$I$89,5,0)</f>
        <v>134.60615999999996</v>
      </c>
      <c r="CV50" s="13">
        <f t="shared" si="41"/>
        <v>35.05854123936858</v>
      </c>
      <c r="CW50" s="20">
        <f t="shared" si="13"/>
        <v>295.49935465856686</v>
      </c>
      <c r="CX50" s="59">
        <f t="shared" si="14"/>
        <v>588.83268799190023</v>
      </c>
      <c r="CY50" s="59">
        <f ca="1">AVERAGE(OFFSET($CX$3,0,0,'Données projet'!$E$13+1,1))-AVERAGE(OFFSET($H$3,0,0,'Données projet'!$E$13+1,1))</f>
        <v>242.1473060698724</v>
      </c>
      <c r="CZ50" s="59">
        <f t="shared" si="42"/>
        <v>96.127995920458659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0</v>
      </c>
      <c r="EP50" s="59">
        <f t="shared" si="46"/>
        <v>0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179.86010141761648</v>
      </c>
      <c r="T51" s="59">
        <f t="shared" si="34"/>
        <v>367.01744242396057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46.019509256177635</v>
      </c>
      <c r="AA51" s="21">
        <f>EXP(-LN(2)/25)*AA50+(1-EXP(-LN(2)/25))/(LN(2)/25)*Calculateur!V51*Calculateur!X51*VLOOKUP('Données projet'!$B$9,Paramètres!$A$1:$I$89,3,0)*0.475*44/12</f>
        <v>35.738371724420148</v>
      </c>
      <c r="AB51" s="21">
        <f>EXP(-LN(2)/2)*AB50+(1-EXP(-LN(2)/2))/(LN(2)/2)*V51*Y51*VLOOKUP('Données projet'!$B$9,Paramètres!$A$1:$I$89,3,0)*0.475*44/12</f>
        <v>0.88753021661595888</v>
      </c>
      <c r="AC51" s="22">
        <f t="shared" si="3"/>
        <v>82.645411197213733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18.399999999999999</v>
      </c>
      <c r="AI51" s="13">
        <f>IF('Données projet'!$A$62&gt;35,AI50+AH51-AQ50,IF(A51&lt;'Données projet'!$A$62,$AF$205^A51,IF(A51='Données projet'!$A$62,'Données projet'!$B$62,AI50+AH51-AQ50)))</f>
        <v>398.19999999999976</v>
      </c>
      <c r="AJ51" s="13">
        <f>AI51*VLOOKUP('Données projet'!$B$10,Paramètres!$A$1:$I$89,3,0)*VLOOKUP('Données projet'!$B$10,Paramètres!$A$1:$I$89,5,0)</f>
        <v>238.1235999999999</v>
      </c>
      <c r="AK51" s="13">
        <f t="shared" si="35"/>
        <v>58.035629642885148</v>
      </c>
      <c r="AL51" s="20">
        <f t="shared" si="4"/>
        <v>515.81065829469151</v>
      </c>
      <c r="AM51" s="59">
        <f t="shared" si="5"/>
        <v>809.14399162802488</v>
      </c>
      <c r="AN51" s="59">
        <f ca="1">AVERAGE(OFFSET($AM$3,0,0,'Données projet'!$E$10+1,1))-AVERAGE(OFFSET($H$3,0,0,'Données projet'!$E$10+1,1))</f>
        <v>318.09371753144256</v>
      </c>
      <c r="AO51" s="59">
        <f t="shared" si="36"/>
        <v>298.61479562586919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12.546296048596911</v>
      </c>
      <c r="AW51" s="21">
        <f>EXP(-LN(2)/2)*AW50+(1-EXP(-LN(2)/2))/(LN(2)/2)*AQ51*AT51*VLOOKUP('Données projet'!$B$10,Paramètres!$A$1:$I$89,3,0)*0.475*44/12</f>
        <v>5.9082886012732386E-2</v>
      </c>
      <c r="AX51" s="21">
        <f t="shared" si="6"/>
        <v>15.05473939912531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35.999999999999943</v>
      </c>
      <c r="BE51" s="13">
        <f>BD51*VLOOKUP('Données projet'!$B$11,Paramètres!$A$1:$I$89,3,0)*VLOOKUP('Données projet'!$B$11,Paramètres!$A$1:$I$89,5,0)</f>
        <v>31.449599999999958</v>
      </c>
      <c r="BF51" s="13">
        <f t="shared" si="37"/>
        <v>9.7016318496336709</v>
      </c>
      <c r="BG51" s="20">
        <f t="shared" si="7"/>
        <v>71.671728804778567</v>
      </c>
      <c r="BH51" s="59">
        <f t="shared" si="8"/>
        <v>365.0050621381119</v>
      </c>
      <c r="BI51" s="59">
        <f ca="1">AVERAGE(OFFSET($BH$3,0,0,'Données projet'!$E$11+1,1))-AVERAGE(OFFSET($H$3,0,0,'Données projet'!$E$11+1,1))</f>
        <v>247.43282553724879</v>
      </c>
      <c r="BJ51" s="59">
        <f t="shared" si="38"/>
        <v>637.29471578895527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0.53732530376170107</v>
      </c>
      <c r="BS51" s="22">
        <f t="shared" si="9"/>
        <v>0.53732530376170107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</v>
      </c>
      <c r="BY51" s="12">
        <f>IF('Données projet'!$A$114&gt;35,BY50+BX51-CG50,IF(A51&lt;'Données projet'!$A$114,$BV$205^A51,IF(A51='Données projet'!$A$114,'Données projet'!$B$114,BY50+BX51-CG50)))</f>
        <v>225.59999999999977</v>
      </c>
      <c r="BZ51" s="13">
        <f>BY51*VLOOKUP('Données projet'!$B$12,Paramètres!$A$1:$I$89,3,0)*VLOOKUP('Données projet'!$B$12,Paramètres!$A$1:$I$89,5,0)</f>
        <v>183.00671999999983</v>
      </c>
      <c r="CA51" s="13">
        <f t="shared" si="39"/>
        <v>45.990479653087661</v>
      </c>
      <c r="CB51" s="20">
        <f t="shared" si="10"/>
        <v>398.83678939579403</v>
      </c>
      <c r="CC51" s="59">
        <f t="shared" si="11"/>
        <v>692.17012272912734</v>
      </c>
      <c r="CD51" s="59">
        <f ca="1">AVERAGE(OFFSET($CC$3,0,0,'Données projet'!$E$12+1,1))-AVERAGE(OFFSET($H$3,0,0,'Données projet'!$E$12+1,1))</f>
        <v>230.68538392491388</v>
      </c>
      <c r="CE51" s="59">
        <f t="shared" si="40"/>
        <v>267.97457956620724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5.1641993495098708</v>
      </c>
      <c r="CM51" s="21">
        <f>EXP(-LN(2)/2)*CM50+(1-EXP(-LN(2)/2))/(LN(2)/2)*CG51*CJ51*VLOOKUP('Données projet'!$B$12,Paramètres!$A$1:$I$89,3,0)*0.475*44/12</f>
        <v>2.143079949630252E-2</v>
      </c>
      <c r="CN51" s="22">
        <f t="shared" si="12"/>
        <v>5.1856301490061734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123.79999999999997</v>
      </c>
      <c r="CU51" s="17">
        <f>CT51*VLOOKUP('Données projet'!$B$13,Paramètres!$A$1:$I$89,3,0)*VLOOKUP('Données projet'!$B$13,Paramètres!$A$1:$I$89,5,0)</f>
        <v>140.98343999999997</v>
      </c>
      <c r="CV51" s="13">
        <f t="shared" si="41"/>
        <v>36.522205922710093</v>
      </c>
      <c r="CW51" s="20">
        <f t="shared" si="13"/>
        <v>309.15566664872</v>
      </c>
      <c r="CX51" s="59">
        <f t="shared" si="14"/>
        <v>602.48899998205331</v>
      </c>
      <c r="CY51" s="59">
        <f ca="1">AVERAGE(OFFSET($CX$3,0,0,'Données projet'!$E$13+1,1))-AVERAGE(OFFSET($H$3,0,0,'Données projet'!$E$13+1,1))</f>
        <v>242.1473060698724</v>
      </c>
      <c r="CZ51" s="59">
        <f t="shared" si="42"/>
        <v>96.127995920458659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0</v>
      </c>
      <c r="EP51" s="59">
        <f t="shared" si="46"/>
        <v>0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179.86010141761648</v>
      </c>
      <c r="T52" s="59">
        <f t="shared" si="34"/>
        <v>367.01744242396057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45.117094748793043</v>
      </c>
      <c r="AA52" s="21">
        <f>EXP(-LN(2)/25)*AA51+(1-EXP(-LN(2)/25))/(LN(2)/25)*Calculateur!V52*Calculateur!X52*VLOOKUP('Données projet'!$B$9,Paramètres!$A$1:$I$89,3,0)*0.475*44/12</f>
        <v>34.761104070216589</v>
      </c>
      <c r="AB52" s="21">
        <f>EXP(-LN(2)/2)*AB51+(1-EXP(-LN(2)/2))/(LN(2)/2)*V52*Y52*VLOOKUP('Données projet'!$B$9,Paramètres!$A$1:$I$89,3,0)*0.475*44/12</f>
        <v>0.62757863467710995</v>
      </c>
      <c r="AC52" s="22">
        <f t="shared" si="3"/>
        <v>80.505777453686747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18.399999999999999</v>
      </c>
      <c r="AI52" s="13">
        <f>IF('Données projet'!$A$62&gt;35,AI51+AH52-AQ51,IF(A52&lt;'Données projet'!$A$62,$AF$205^A52,IF(A52='Données projet'!$A$62,'Données projet'!$B$62,AI51+AH52-AQ51)))</f>
        <v>416.59999999999974</v>
      </c>
      <c r="AJ52" s="13">
        <f>AI52*VLOOKUP('Données projet'!$B$10,Paramètres!$A$1:$I$89,3,0)*VLOOKUP('Données projet'!$B$10,Paramètres!$A$1:$I$89,5,0)</f>
        <v>249.12679999999986</v>
      </c>
      <c r="AK52" s="13">
        <f t="shared" si="35"/>
        <v>60.398920155067053</v>
      </c>
      <c r="AL52" s="20">
        <f t="shared" si="4"/>
        <v>539.09062927007483</v>
      </c>
      <c r="AM52" s="59">
        <f t="shared" si="5"/>
        <v>832.4239626034082</v>
      </c>
      <c r="AN52" s="59">
        <f ca="1">AVERAGE(OFFSET($AM$3,0,0,'Données projet'!$E$10+1,1))-AVERAGE(OFFSET($H$3,0,0,'Données projet'!$E$10+1,1))</f>
        <v>318.09371753144256</v>
      </c>
      <c r="AO52" s="59">
        <f t="shared" si="36"/>
        <v>298.61479562586919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12.203216923366995</v>
      </c>
      <c r="AW52" s="21">
        <f>EXP(-LN(2)/2)*AW51+(1-EXP(-LN(2)/2))/(LN(2)/2)*AQ52*AT52*VLOOKUP('Données projet'!$B$10,Paramètres!$A$1:$I$89,3,0)*0.475*44/12</f>
        <v>4.1777909351674893E-2</v>
      </c>
      <c r="AX52" s="21">
        <f t="shared" si="6"/>
        <v>14.646324832487551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35.999999999999943</v>
      </c>
      <c r="BE52" s="13">
        <f>BD52*VLOOKUP('Données projet'!$B$11,Paramètres!$A$1:$I$89,3,0)*VLOOKUP('Données projet'!$B$11,Paramètres!$A$1:$I$89,5,0)</f>
        <v>31.449599999999958</v>
      </c>
      <c r="BF52" s="13">
        <f t="shared" si="37"/>
        <v>9.7016318496336709</v>
      </c>
      <c r="BG52" s="20">
        <f t="shared" si="7"/>
        <v>71.671728804778567</v>
      </c>
      <c r="BH52" s="59">
        <f t="shared" si="8"/>
        <v>365.0050621381119</v>
      </c>
      <c r="BI52" s="59">
        <f ca="1">AVERAGE(OFFSET($BH$3,0,0,'Données projet'!$E$11+1,1))-AVERAGE(OFFSET($H$3,0,0,'Données projet'!$E$11+1,1))</f>
        <v>247.43282553724879</v>
      </c>
      <c r="BJ52" s="59">
        <f t="shared" si="38"/>
        <v>637.29471578895527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0.37994636599302034</v>
      </c>
      <c r="BS52" s="22">
        <f t="shared" si="9"/>
        <v>0.37994636599302034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</v>
      </c>
      <c r="BY52" s="12">
        <f>IF('Données projet'!$A$114&gt;35,BY51+BX52-CG51,IF(A52&lt;'Données projet'!$A$114,$BV$205^A52,IF(A52='Données projet'!$A$114,'Données projet'!$B$114,BY51+BX52-CG51)))</f>
        <v>233.29999999999976</v>
      </c>
      <c r="BZ52" s="13">
        <f>BY52*VLOOKUP('Données projet'!$B$12,Paramètres!$A$1:$I$89,3,0)*VLOOKUP('Données projet'!$B$12,Paramètres!$A$1:$I$89,5,0)</f>
        <v>189.2529599999998</v>
      </c>
      <c r="CA52" s="13">
        <f t="shared" si="39"/>
        <v>47.374755064875977</v>
      </c>
      <c r="CB52" s="20">
        <f t="shared" si="10"/>
        <v>412.12660373799196</v>
      </c>
      <c r="CC52" s="59">
        <f t="shared" si="11"/>
        <v>705.45993707132527</v>
      </c>
      <c r="CD52" s="59">
        <f ca="1">AVERAGE(OFFSET($CC$3,0,0,'Données projet'!$E$12+1,1))-AVERAGE(OFFSET($H$3,0,0,'Données projet'!$E$12+1,1))</f>
        <v>230.68538392491388</v>
      </c>
      <c r="CE52" s="59">
        <f t="shared" si="40"/>
        <v>267.97457956620724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5.0229840467240825</v>
      </c>
      <c r="CM52" s="21">
        <f>EXP(-LN(2)/2)*CM51+(1-EXP(-LN(2)/2))/(LN(2)/2)*CG52*CJ52*VLOOKUP('Données projet'!$B$12,Paramètres!$A$1:$I$89,3,0)*0.475*44/12</f>
        <v>1.515386365008476E-2</v>
      </c>
      <c r="CN52" s="22">
        <f t="shared" si="12"/>
        <v>5.038137910374167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147.36071999999996</v>
      </c>
      <c r="CV52" s="13">
        <f t="shared" si="41"/>
        <v>37.978181505546587</v>
      </c>
      <c r="CW52" s="20">
        <f t="shared" si="13"/>
        <v>322.79858678882687</v>
      </c>
      <c r="CX52" s="59">
        <f t="shared" si="14"/>
        <v>616.13192012216018</v>
      </c>
      <c r="CY52" s="59">
        <f ca="1">AVERAGE(OFFSET($CX$3,0,0,'Données projet'!$E$13+1,1))-AVERAGE(OFFSET($H$3,0,0,'Données projet'!$E$13+1,1))</f>
        <v>242.1473060698724</v>
      </c>
      <c r="CZ52" s="59">
        <f t="shared" si="42"/>
        <v>96.127995920458659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0</v>
      </c>
      <c r="EP52" s="59">
        <f t="shared" si="46"/>
        <v>0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179.86010141761648</v>
      </c>
      <c r="T53" s="59">
        <f t="shared" si="34"/>
        <v>367.01744242396057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44.23237603947976</v>
      </c>
      <c r="AA53" s="21">
        <f>EXP(-LN(2)/25)*AA52+(1-EXP(-LN(2)/25))/(LN(2)/25)*Calculateur!V53*Calculateur!X53*VLOOKUP('Données projet'!$B$9,Paramètres!$A$1:$I$89,3,0)*0.475*44/12</f>
        <v>33.810559851409501</v>
      </c>
      <c r="AB53" s="21">
        <f>EXP(-LN(2)/2)*AB52+(1-EXP(-LN(2)/2))/(LN(2)/2)*V53*Y53*VLOOKUP('Données projet'!$B$9,Paramètres!$A$1:$I$89,3,0)*0.475*44/12</f>
        <v>0.44376510830797944</v>
      </c>
      <c r="AC53" s="22">
        <f t="shared" si="3"/>
        <v>78.48670099919724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18.399999999999999</v>
      </c>
      <c r="AH53" s="12">
        <f t="array" ref="AH53">INDEX(AG:AG,MIN(IF(ISNUMBER(AG53:AG249),ROW(AG53:AG249),"")))</f>
        <v>18.399999999999999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318.09371753144256</v>
      </c>
      <c r="AO53" s="59">
        <f t="shared" si="36"/>
        <v>298.61479562586919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11.869519314858238</v>
      </c>
      <c r="AW53" s="21">
        <f>EXP(-LN(2)/2)*AW52+(1-EXP(-LN(2)/2))/(LN(2)/2)*AQ53*AT53*VLOOKUP('Données projet'!$B$10,Paramètres!$A$1:$I$89,3,0)*0.475*44/12</f>
        <v>2.9541443006366196E-2</v>
      </c>
      <c r="AX53" s="21">
        <f t="shared" si="6"/>
        <v>14.253302141004694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35.999999999999943</v>
      </c>
      <c r="BE53" s="13">
        <f>BD53*VLOOKUP('Données projet'!$B$11,Paramètres!$A$1:$I$89,3,0)*VLOOKUP('Données projet'!$B$11,Paramètres!$A$1:$I$89,5,0)</f>
        <v>31.449599999999958</v>
      </c>
      <c r="BF53" s="13">
        <f t="shared" si="37"/>
        <v>9.7016318496336709</v>
      </c>
      <c r="BG53" s="20">
        <f t="shared" si="7"/>
        <v>71.671728804778567</v>
      </c>
      <c r="BH53" s="59">
        <f t="shared" si="8"/>
        <v>365.0050621381119</v>
      </c>
      <c r="BI53" s="59">
        <f ca="1">AVERAGE(OFFSET($BH$3,0,0,'Données projet'!$E$11+1,1))-AVERAGE(OFFSET($H$3,0,0,'Données projet'!$E$11+1,1))</f>
        <v>247.43282553724879</v>
      </c>
      <c r="BJ53" s="59">
        <f t="shared" si="38"/>
        <v>637.29471578895527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0.26866265188085053</v>
      </c>
      <c r="BS53" s="22">
        <f t="shared" si="9"/>
        <v>0.26866265188085053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</v>
      </c>
      <c r="BW53" s="12">
        <f>VLOOKUP(A53,'Données projet'!$A$113:$I$133,9,0)</f>
        <v>7.7</v>
      </c>
      <c r="BX53" s="12">
        <f t="array" ref="BX53">INDEX(BW:BW,MIN(IF(ISNUMBER(BW53:BW249),ROW(BW53:BW249),"")))</f>
        <v>7.7</v>
      </c>
      <c r="BY53" s="12">
        <f>IF('Données projet'!$A$114&gt;35,BY52+BX53-CG52,IF(A53&lt;'Données projet'!$A$114,$BV$205^A53,IF(A53='Données projet'!$A$114,'Données projet'!$B$114,BY52+BX53-CG52)))</f>
        <v>240.99999999999974</v>
      </c>
      <c r="BZ53" s="13">
        <f>BY53*VLOOKUP('Données projet'!$B$12,Paramètres!$A$1:$I$89,3,0)*VLOOKUP('Données projet'!$B$12,Paramètres!$A$1:$I$89,5,0)</f>
        <v>195.4991999999998</v>
      </c>
      <c r="CA53" s="13">
        <f t="shared" si="39"/>
        <v>48.75372162220922</v>
      </c>
      <c r="CB53" s="20">
        <f t="shared" si="10"/>
        <v>425.4071718253474</v>
      </c>
      <c r="CC53" s="59">
        <f t="shared" si="11"/>
        <v>718.74050515868066</v>
      </c>
      <c r="CD53" s="59">
        <f ca="1">AVERAGE(OFFSET($CC$3,0,0,'Données projet'!$E$12+1,1))-AVERAGE(OFFSET($H$3,0,0,'Données projet'!$E$12+1,1))</f>
        <v>230.68538392491388</v>
      </c>
      <c r="CE53" s="59">
        <f t="shared" si="40"/>
        <v>267.97457956620724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39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4.8856302838191619</v>
      </c>
      <c r="CM53" s="21">
        <f>EXP(-LN(2)/2)*CM52+(1-EXP(-LN(2)/2))/(LN(2)/2)*CG53*CJ53*VLOOKUP('Données projet'!$B$12,Paramètres!$A$1:$I$89,3,0)*0.475*44/12</f>
        <v>1.0715399748151262E-2</v>
      </c>
      <c r="CN53" s="22">
        <f t="shared" si="12"/>
        <v>4.8963456835673131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153.73799999999997</v>
      </c>
      <c r="CV53" s="13">
        <f t="shared" si="41"/>
        <v>39.426838781722438</v>
      </c>
      <c r="CW53" s="20">
        <f t="shared" si="13"/>
        <v>336.42876087816649</v>
      </c>
      <c r="CX53" s="59">
        <f t="shared" si="14"/>
        <v>629.76209421149974</v>
      </c>
      <c r="CY53" s="59">
        <f ca="1">AVERAGE(OFFSET($CX$3,0,0,'Données projet'!$E$13+1,1))-AVERAGE(OFFSET($H$3,0,0,'Données projet'!$E$13+1,1))</f>
        <v>242.1473060698724</v>
      </c>
      <c r="CZ53" s="59">
        <f t="shared" si="42"/>
        <v>96.127995920458659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0</v>
      </c>
      <c r="EP53" s="59">
        <f t="shared" si="46"/>
        <v>0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179.86010141761648</v>
      </c>
      <c r="T54" s="59">
        <f t="shared" si="34"/>
        <v>367.01744242396057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43.365006124430984</v>
      </c>
      <c r="AA54" s="21">
        <f>EXP(-LN(2)/25)*AA53+(1-EXP(-LN(2)/25))/(LN(2)/25)*Calculateur!V54*Calculateur!X54*VLOOKUP('Données projet'!$B$9,Paramètres!$A$1:$I$89,3,0)*0.475*44/12</f>
        <v>32.886008314252642</v>
      </c>
      <c r="AB54" s="21">
        <f>EXP(-LN(2)/2)*AB53+(1-EXP(-LN(2)/2))/(LN(2)/2)*V54*Y54*VLOOKUP('Données projet'!$B$9,Paramètres!$A$1:$I$89,3,0)*0.475*44/12</f>
        <v>0.31378931733855497</v>
      </c>
      <c r="AC54" s="22">
        <f t="shared" si="3"/>
        <v>76.564803756022187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16.7</v>
      </c>
      <c r="AI54" s="13">
        <f>IF('Données projet'!$A$62&gt;35,AI53+AH54-AQ53,IF(A54&lt;'Données projet'!$A$62,$AF$205^A54,IF(A54='Données projet'!$A$62,'Données projet'!$B$62,AI53+AH54-AQ53)))</f>
        <v>353.6999999999997</v>
      </c>
      <c r="AJ54" s="13">
        <f>AI54*VLOOKUP('Données projet'!$B$10,Paramètres!$A$1:$I$89,3,0)*VLOOKUP('Données projet'!$B$10,Paramètres!$A$1:$I$89,5,0)</f>
        <v>211.51259999999985</v>
      </c>
      <c r="AK54" s="13">
        <f t="shared" si="35"/>
        <v>52.265988659835472</v>
      </c>
      <c r="AL54" s="20">
        <f t="shared" si="4"/>
        <v>459.41437524921321</v>
      </c>
      <c r="AM54" s="59">
        <f t="shared" si="5"/>
        <v>752.74770858254647</v>
      </c>
      <c r="AN54" s="59">
        <f ca="1">AVERAGE(OFFSET($AM$3,0,0,'Données projet'!$E$10+1,1))-AVERAGE(OFFSET($H$3,0,0,'Données projet'!$E$10+1,1))</f>
        <v>318.09371753144256</v>
      </c>
      <c r="AO54" s="59">
        <f t="shared" si="36"/>
        <v>298.61479562586919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11.544946685002547</v>
      </c>
      <c r="AW54" s="21">
        <f>EXP(-LN(2)/2)*AW53+(1-EXP(-LN(2)/2))/(LN(2)/2)*AQ54*AT54*VLOOKUP('Données projet'!$B$10,Paramètres!$A$1:$I$89,3,0)*0.475*44/12</f>
        <v>2.088895467583745E-2</v>
      </c>
      <c r="AX54" s="21">
        <f t="shared" si="6"/>
        <v>13.873911785240553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35.999999999999943</v>
      </c>
      <c r="BE54" s="13">
        <f>BD54*VLOOKUP('Données projet'!$B$11,Paramètres!$A$1:$I$89,3,0)*VLOOKUP('Données projet'!$B$11,Paramètres!$A$1:$I$89,5,0)</f>
        <v>31.449599999999958</v>
      </c>
      <c r="BF54" s="13">
        <f t="shared" si="37"/>
        <v>9.7016318496336709</v>
      </c>
      <c r="BG54" s="20">
        <f t="shared" si="7"/>
        <v>71.671728804778567</v>
      </c>
      <c r="BH54" s="59">
        <f t="shared" si="8"/>
        <v>365.0050621381119</v>
      </c>
      <c r="BI54" s="59">
        <f ca="1">AVERAGE(OFFSET($BH$3,0,0,'Données projet'!$E$11+1,1))-AVERAGE(OFFSET($H$3,0,0,'Données projet'!$E$11+1,1))</f>
        <v>247.43282553724879</v>
      </c>
      <c r="BJ54" s="59">
        <f t="shared" si="38"/>
        <v>637.29471578895527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0.18997318299651017</v>
      </c>
      <c r="BS54" s="22">
        <f t="shared" si="9"/>
        <v>0.18997318299651017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207.59999999999974</v>
      </c>
      <c r="BZ54" s="13">
        <f>BY54*VLOOKUP('Données projet'!$B$12,Paramètres!$A$1:$I$89,3,0)*VLOOKUP('Données projet'!$B$12,Paramètres!$A$1:$I$89,5,0)</f>
        <v>168.40511999999981</v>
      </c>
      <c r="CA54" s="13">
        <f t="shared" si="39"/>
        <v>42.732627800243563</v>
      </c>
      <c r="CB54" s="20">
        <f t="shared" si="10"/>
        <v>367.73157741875724</v>
      </c>
      <c r="CC54" s="59">
        <f t="shared" si="11"/>
        <v>661.06491075209055</v>
      </c>
      <c r="CD54" s="59">
        <f ca="1">AVERAGE(OFFSET($CC$3,0,0,'Données projet'!$E$12+1,1))-AVERAGE(OFFSET($H$3,0,0,'Données projet'!$E$12+1,1))</f>
        <v>230.68538392491388</v>
      </c>
      <c r="CE54" s="59">
        <f t="shared" si="40"/>
        <v>267.97457956620724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4.7520324667839962</v>
      </c>
      <c r="CM54" s="21">
        <f>EXP(-LN(2)/2)*CM53+(1-EXP(-LN(2)/2))/(LN(2)/2)*CG54*CJ54*VLOOKUP('Données projet'!$B$12,Paramètres!$A$1:$I$89,3,0)*0.475*44/12</f>
        <v>7.5769318250423811E-3</v>
      </c>
      <c r="CN54" s="22">
        <f t="shared" si="12"/>
        <v>4.7596093986090384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5.5</v>
      </c>
      <c r="CT54" s="12">
        <f>IF('Données projet'!$A$140&gt;35,CT53+CS54-DB53,IF(A54&lt;'Données projet'!$A$140,$CQ$205^A54,IF(A54='Données projet'!$A$140,'Données projet'!$B$140,CT53+CS54-DB53)))</f>
        <v>112.49999999999997</v>
      </c>
      <c r="CU54" s="17">
        <f>CT54*VLOOKUP('Données projet'!$B$13,Paramètres!$A$1:$I$89,3,0)*VLOOKUP('Données projet'!$B$13,Paramètres!$A$1:$I$89,5,0)</f>
        <v>128.11499999999995</v>
      </c>
      <c r="CV54" s="13">
        <f t="shared" si="41"/>
        <v>33.560421602574799</v>
      </c>
      <c r="CW54" s="20">
        <f t="shared" si="13"/>
        <v>281.58469262448438</v>
      </c>
      <c r="CX54" s="59">
        <f t="shared" si="14"/>
        <v>574.91802595781769</v>
      </c>
      <c r="CY54" s="59">
        <f ca="1">AVERAGE(OFFSET($CX$3,0,0,'Données projet'!$E$13+1,1))-AVERAGE(OFFSET($H$3,0,0,'Données projet'!$E$13+1,1))</f>
        <v>242.1473060698724</v>
      </c>
      <c r="CZ54" s="59">
        <f t="shared" si="42"/>
        <v>96.127995920458659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0</v>
      </c>
      <c r="EP54" s="59">
        <f t="shared" si="46"/>
        <v>0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179.86010141761648</v>
      </c>
      <c r="T55" s="59">
        <f t="shared" si="34"/>
        <v>367.01744242396057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42.514644804372907</v>
      </c>
      <c r="AA55" s="21">
        <f>EXP(-LN(2)/25)*AA54+(1-EXP(-LN(2)/25))/(LN(2)/25)*Calculateur!V55*Calculateur!X55*VLOOKUP('Données projet'!$B$9,Paramètres!$A$1:$I$89,3,0)*0.475*44/12</f>
        <v>31.98673868749939</v>
      </c>
      <c r="AB55" s="21">
        <f>EXP(-LN(2)/2)*AB54+(1-EXP(-LN(2)/2))/(LN(2)/2)*V55*Y55*VLOOKUP('Données projet'!$B$9,Paramètres!$A$1:$I$89,3,0)*0.475*44/12</f>
        <v>0.22188255415398972</v>
      </c>
      <c r="AC55" s="22">
        <f t="shared" si="3"/>
        <v>74.723266046026296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16.7</v>
      </c>
      <c r="AI55" s="13">
        <f>IF('Données projet'!$A$62&gt;35,AI54+AH55-AQ54,IF(A55&lt;'Données projet'!$A$62,$AF$205^A55,IF(A55='Données projet'!$A$62,'Données projet'!$B$62,AI54+AH55-AQ54)))</f>
        <v>370.39999999999969</v>
      </c>
      <c r="AJ55" s="13">
        <f>AI55*VLOOKUP('Données projet'!$B$10,Paramètres!$A$1:$I$89,3,0)*VLOOKUP('Données projet'!$B$10,Paramètres!$A$1:$I$89,5,0)</f>
        <v>221.49919999999983</v>
      </c>
      <c r="AK55" s="13">
        <f t="shared" si="35"/>
        <v>54.440600528135285</v>
      </c>
      <c r="AL55" s="20">
        <f t="shared" si="4"/>
        <v>480.59515258650191</v>
      </c>
      <c r="AM55" s="59">
        <f t="shared" si="5"/>
        <v>773.92848591983523</v>
      </c>
      <c r="AN55" s="59">
        <f ca="1">AVERAGE(OFFSET($AM$3,0,0,'Données projet'!$E$10+1,1))-AVERAGE(OFFSET($H$3,0,0,'Données projet'!$E$10+1,1))</f>
        <v>318.09371753144256</v>
      </c>
      <c r="AO55" s="59">
        <f t="shared" si="36"/>
        <v>298.61479562586919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11.229249510778793</v>
      </c>
      <c r="AW55" s="21">
        <f>EXP(-LN(2)/2)*AW54+(1-EXP(-LN(2)/2))/(LN(2)/2)*AQ55*AT55*VLOOKUP('Données projet'!$B$10,Paramètres!$A$1:$I$89,3,0)*0.475*44/12</f>
        <v>1.4770721503183102E-2</v>
      </c>
      <c r="AX55" s="21">
        <f t="shared" si="6"/>
        <v>13.506836412417112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35.999999999999943</v>
      </c>
      <c r="BE55" s="13">
        <f>BD55*VLOOKUP('Données projet'!$B$11,Paramètres!$A$1:$I$89,3,0)*VLOOKUP('Données projet'!$B$11,Paramètres!$A$1:$I$89,5,0)</f>
        <v>31.449599999999958</v>
      </c>
      <c r="BF55" s="13">
        <f t="shared" si="37"/>
        <v>9.7016318496336709</v>
      </c>
      <c r="BG55" s="20">
        <f t="shared" si="7"/>
        <v>71.671728804778567</v>
      </c>
      <c r="BH55" s="59">
        <f t="shared" si="8"/>
        <v>365.0050621381119</v>
      </c>
      <c r="BI55" s="59">
        <f ca="1">AVERAGE(OFFSET($BH$3,0,0,'Données projet'!$E$11+1,1))-AVERAGE(OFFSET($H$3,0,0,'Données projet'!$E$11+1,1))</f>
        <v>247.43282553724879</v>
      </c>
      <c r="BJ55" s="59">
        <f t="shared" si="38"/>
        <v>637.29471578895527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0.13433132594042527</v>
      </c>
      <c r="BS55" s="22">
        <f t="shared" si="9"/>
        <v>0.13433132594042527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213.19999999999973</v>
      </c>
      <c r="BZ55" s="13">
        <f>BY55*VLOOKUP('Données projet'!$B$12,Paramètres!$A$1:$I$89,3,0)*VLOOKUP('Données projet'!$B$12,Paramètres!$A$1:$I$89,5,0)</f>
        <v>172.94783999999979</v>
      </c>
      <c r="CA55" s="13">
        <f t="shared" si="39"/>
        <v>43.749579650767998</v>
      </c>
      <c r="CB55" s="20">
        <f t="shared" si="10"/>
        <v>377.41467255842053</v>
      </c>
      <c r="CC55" s="59">
        <f t="shared" si="11"/>
        <v>670.74800589175379</v>
      </c>
      <c r="CD55" s="59">
        <f ca="1">AVERAGE(OFFSET($CC$3,0,0,'Données projet'!$E$12+1,1))-AVERAGE(OFFSET($H$3,0,0,'Données projet'!$E$12+1,1))</f>
        <v>230.68538392491388</v>
      </c>
      <c r="CE55" s="59">
        <f t="shared" si="40"/>
        <v>267.97457956620724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4.6220878890812616</v>
      </c>
      <c r="CM55" s="21">
        <f>EXP(-LN(2)/2)*CM54+(1-EXP(-LN(2)/2))/(LN(2)/2)*CG55*CJ55*VLOOKUP('Données projet'!$B$12,Paramètres!$A$1:$I$89,3,0)*0.475*44/12</f>
        <v>5.3576998740756318E-3</v>
      </c>
      <c r="CN55" s="22">
        <f t="shared" si="12"/>
        <v>4.6274455889553368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5.5</v>
      </c>
      <c r="CT55" s="12">
        <f>IF('Données projet'!$A$140&gt;35,CT54+CS55-DB54,IF(A55&lt;'Données projet'!$A$140,$CQ$205^A55,IF(A55='Données projet'!$A$140,'Données projet'!$B$140,CT54+CS55-DB54)))</f>
        <v>117.99999999999997</v>
      </c>
      <c r="CU55" s="17">
        <f>CT55*VLOOKUP('Données projet'!$B$13,Paramètres!$A$1:$I$89,3,0)*VLOOKUP('Données projet'!$B$13,Paramètres!$A$1:$I$89,5,0)</f>
        <v>134.37839999999997</v>
      </c>
      <c r="CV55" s="13">
        <f t="shared" si="41"/>
        <v>35.00612029256618</v>
      </c>
      <c r="CW55" s="20">
        <f t="shared" si="13"/>
        <v>295.01137284288603</v>
      </c>
      <c r="CX55" s="59">
        <f t="shared" si="14"/>
        <v>588.34470617621935</v>
      </c>
      <c r="CY55" s="59">
        <f ca="1">AVERAGE(OFFSET($CX$3,0,0,'Données projet'!$E$13+1,1))-AVERAGE(OFFSET($H$3,0,0,'Données projet'!$E$13+1,1))</f>
        <v>242.1473060698724</v>
      </c>
      <c r="CZ55" s="59">
        <f t="shared" si="42"/>
        <v>96.127995920458659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0</v>
      </c>
      <c r="EP55" s="59">
        <f t="shared" si="46"/>
        <v>0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179.86010141761648</v>
      </c>
      <c r="T56" s="59">
        <f t="shared" si="34"/>
        <v>367.01744242396057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41.680958551131972</v>
      </c>
      <c r="AA56" s="21">
        <f>EXP(-LN(2)/25)*AA55+(1-EXP(-LN(2)/25))/(LN(2)/25)*Calculateur!V56*Calculateur!X56*VLOOKUP('Données projet'!$B$9,Paramètres!$A$1:$I$89,3,0)*0.475*44/12</f>
        <v>31.112059635980238</v>
      </c>
      <c r="AB56" s="21">
        <f>EXP(-LN(2)/2)*AB55+(1-EXP(-LN(2)/2))/(LN(2)/2)*V56*Y56*VLOOKUP('Données projet'!$B$9,Paramètres!$A$1:$I$89,3,0)*0.475*44/12</f>
        <v>0.15689465866927749</v>
      </c>
      <c r="AC56" s="22">
        <f t="shared" si="3"/>
        <v>72.949912845781483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16.7</v>
      </c>
      <c r="AI56" s="13">
        <f>IF('Données projet'!$A$62&gt;35,AI55+AH56-AQ55,IF(A56&lt;'Données projet'!$A$62,$AF$205^A56,IF(A56='Données projet'!$A$62,'Données projet'!$B$62,AI55+AH56-AQ55)))</f>
        <v>387.09999999999968</v>
      </c>
      <c r="AJ56" s="13">
        <f>AI56*VLOOKUP('Données projet'!$B$10,Paramètres!$A$1:$I$89,3,0)*VLOOKUP('Données projet'!$B$10,Paramètres!$A$1:$I$89,5,0)</f>
        <v>231.48579999999981</v>
      </c>
      <c r="AK56" s="13">
        <f t="shared" si="35"/>
        <v>56.603825731999912</v>
      </c>
      <c r="AL56" s="20">
        <f t="shared" si="4"/>
        <v>501.75609814989951</v>
      </c>
      <c r="AM56" s="59">
        <f t="shared" si="5"/>
        <v>795.08943148323283</v>
      </c>
      <c r="AN56" s="59">
        <f ca="1">AVERAGE(OFFSET($AM$3,0,0,'Données projet'!$E$10+1,1))-AVERAGE(OFFSET($H$3,0,0,'Données projet'!$E$10+1,1))</f>
        <v>318.09371753144256</v>
      </c>
      <c r="AO56" s="59">
        <f t="shared" si="36"/>
        <v>298.61479562586919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10.92218509238598</v>
      </c>
      <c r="AW56" s="21">
        <f>EXP(-LN(2)/2)*AW55+(1-EXP(-LN(2)/2))/(LN(2)/2)*AQ56*AT56*VLOOKUP('Données projet'!$B$10,Paramètres!$A$1:$I$89,3,0)*0.475*44/12</f>
        <v>1.0444477337918727E-2</v>
      </c>
      <c r="AX56" s="21">
        <f t="shared" si="6"/>
        <v>13.151073304748174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35.999999999999943</v>
      </c>
      <c r="BE56" s="13">
        <f>BD56*VLOOKUP('Données projet'!$B$11,Paramètres!$A$1:$I$89,3,0)*VLOOKUP('Données projet'!$B$11,Paramètres!$A$1:$I$89,5,0)</f>
        <v>31.449599999999958</v>
      </c>
      <c r="BF56" s="13">
        <f t="shared" si="37"/>
        <v>9.7016318496336709</v>
      </c>
      <c r="BG56" s="20">
        <f t="shared" si="7"/>
        <v>71.671728804778567</v>
      </c>
      <c r="BH56" s="59">
        <f t="shared" si="8"/>
        <v>365.0050621381119</v>
      </c>
      <c r="BI56" s="59">
        <f ca="1">AVERAGE(OFFSET($BH$3,0,0,'Données projet'!$E$11+1,1))-AVERAGE(OFFSET($H$3,0,0,'Données projet'!$E$11+1,1))</f>
        <v>247.43282553724879</v>
      </c>
      <c r="BJ56" s="59">
        <f t="shared" si="38"/>
        <v>637.29471578895527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9.4986591498255085E-2</v>
      </c>
      <c r="BS56" s="22">
        <f t="shared" si="9"/>
        <v>9.4986591498255085E-2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218.79999999999973</v>
      </c>
      <c r="BZ56" s="13">
        <f>BY56*VLOOKUP('Données projet'!$B$12,Paramètres!$A$1:$I$89,3,0)*VLOOKUP('Données projet'!$B$12,Paramètres!$A$1:$I$89,5,0)</f>
        <v>177.49055999999979</v>
      </c>
      <c r="CA56" s="13">
        <f t="shared" si="39"/>
        <v>44.763426632624252</v>
      </c>
      <c r="CB56" s="20">
        <f t="shared" si="10"/>
        <v>387.09236005182021</v>
      </c>
      <c r="CC56" s="59">
        <f t="shared" si="11"/>
        <v>680.42569338515352</v>
      </c>
      <c r="CD56" s="59">
        <f ca="1">AVERAGE(OFFSET($CC$3,0,0,'Données projet'!$E$12+1,1))-AVERAGE(OFFSET($H$3,0,0,'Données projet'!$E$12+1,1))</f>
        <v>230.68538392491388</v>
      </c>
      <c r="CE56" s="59">
        <f t="shared" si="40"/>
        <v>267.97457956620724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4.4956966526892961</v>
      </c>
      <c r="CM56" s="21">
        <f>EXP(-LN(2)/2)*CM55+(1-EXP(-LN(2)/2))/(LN(2)/2)*CG56*CJ56*VLOOKUP('Données projet'!$B$12,Paramètres!$A$1:$I$89,3,0)*0.475*44/12</f>
        <v>3.7884659125211914E-3</v>
      </c>
      <c r="CN56" s="22">
        <f t="shared" si="12"/>
        <v>4.4994851186018172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5.5</v>
      </c>
      <c r="CT56" s="12">
        <f>IF('Données projet'!$A$140&gt;35,CT55+CS56-DB55,IF(A56&lt;'Données projet'!$A$140,$CQ$205^A56,IF(A56='Données projet'!$A$140,'Données projet'!$B$140,CT55+CS56-DB55)))</f>
        <v>123.49999999999997</v>
      </c>
      <c r="CU56" s="17">
        <f>CT56*VLOOKUP('Données projet'!$B$13,Paramètres!$A$1:$I$89,3,0)*VLOOKUP('Données projet'!$B$13,Paramètres!$A$1:$I$89,5,0)</f>
        <v>140.64179999999996</v>
      </c>
      <c r="CV56" s="13">
        <f t="shared" si="41"/>
        <v>36.443993701615646</v>
      </c>
      <c r="CW56" s="20">
        <f t="shared" si="13"/>
        <v>308.42442403031379</v>
      </c>
      <c r="CX56" s="59">
        <f t="shared" si="14"/>
        <v>601.7577573636471</v>
      </c>
      <c r="CY56" s="59">
        <f ca="1">AVERAGE(OFFSET($CX$3,0,0,'Données projet'!$E$13+1,1))-AVERAGE(OFFSET($H$3,0,0,'Données projet'!$E$13+1,1))</f>
        <v>242.1473060698724</v>
      </c>
      <c r="CZ56" s="59">
        <f t="shared" si="42"/>
        <v>96.127995920458659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0</v>
      </c>
      <c r="EP56" s="59">
        <f t="shared" si="46"/>
        <v>0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179.86010141761648</v>
      </c>
      <c r="T57" s="59">
        <f t="shared" si="34"/>
        <v>367.01744242396057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40.863620376818687</v>
      </c>
      <c r="AA57" s="21">
        <f>EXP(-LN(2)/25)*AA56+(1-EXP(-LN(2)/25))/(LN(2)/25)*Calculateur!V57*Calculateur!X57*VLOOKUP('Données projet'!$B$9,Paramètres!$A$1:$I$89,3,0)*0.475*44/12</f>
        <v>30.261298729122249</v>
      </c>
      <c r="AB57" s="21">
        <f>EXP(-LN(2)/2)*AB56+(1-EXP(-LN(2)/2))/(LN(2)/2)*V57*Y57*VLOOKUP('Données projet'!$B$9,Paramètres!$A$1:$I$89,3,0)*0.475*44/12</f>
        <v>0.11094127707699486</v>
      </c>
      <c r="AC57" s="22">
        <f t="shared" si="3"/>
        <v>71.235860383017922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16.7</v>
      </c>
      <c r="AI57" s="13">
        <f>IF('Données projet'!$A$62&gt;35,AI56+AH57-AQ56,IF(A57&lt;'Données projet'!$A$62,$AF$205^A57,IF(A57='Données projet'!$A$62,'Données projet'!$B$62,AI56+AH57-AQ56)))</f>
        <v>403.79999999999967</v>
      </c>
      <c r="AJ57" s="13">
        <f>AI57*VLOOKUP('Données projet'!$B$10,Paramètres!$A$1:$I$89,3,0)*VLOOKUP('Données projet'!$B$10,Paramètres!$A$1:$I$89,5,0)</f>
        <v>241.47239999999982</v>
      </c>
      <c r="AK57" s="13">
        <f t="shared" si="35"/>
        <v>58.756211658732617</v>
      </c>
      <c r="AL57" s="20">
        <f t="shared" si="4"/>
        <v>522.89816530562575</v>
      </c>
      <c r="AM57" s="59">
        <f t="shared" si="5"/>
        <v>816.23149863895901</v>
      </c>
      <c r="AN57" s="59">
        <f ca="1">AVERAGE(OFFSET($AM$3,0,0,'Données projet'!$E$10+1,1))-AVERAGE(OFFSET($H$3,0,0,'Données projet'!$E$10+1,1))</f>
        <v>318.09371753144256</v>
      </c>
      <c r="AO57" s="59">
        <f t="shared" si="36"/>
        <v>298.61479562586919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10.623517366661934</v>
      </c>
      <c r="AW57" s="21">
        <f>EXP(-LN(2)/2)*AW56+(1-EXP(-LN(2)/2))/(LN(2)/2)*AQ57*AT57*VLOOKUP('Données projet'!$B$10,Paramètres!$A$1:$I$89,3,0)*0.475*44/12</f>
        <v>7.3853607515915517E-3</v>
      </c>
      <c r="AX57" s="21">
        <f t="shared" si="6"/>
        <v>12.805844133911043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35.999999999999943</v>
      </c>
      <c r="BE57" s="13">
        <f>BD57*VLOOKUP('Données projet'!$B$11,Paramètres!$A$1:$I$89,3,0)*VLOOKUP('Données projet'!$B$11,Paramètres!$A$1:$I$89,5,0)</f>
        <v>31.449599999999958</v>
      </c>
      <c r="BF57" s="13">
        <f t="shared" si="37"/>
        <v>9.7016318496336709</v>
      </c>
      <c r="BG57" s="20">
        <f t="shared" si="7"/>
        <v>71.671728804778567</v>
      </c>
      <c r="BH57" s="59">
        <f t="shared" si="8"/>
        <v>365.0050621381119</v>
      </c>
      <c r="BI57" s="59">
        <f ca="1">AVERAGE(OFFSET($BH$3,0,0,'Données projet'!$E$11+1,1))-AVERAGE(OFFSET($H$3,0,0,'Données projet'!$E$11+1,1))</f>
        <v>247.43282553724879</v>
      </c>
      <c r="BJ57" s="59">
        <f t="shared" si="38"/>
        <v>637.29471578895527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6.7165662970212633E-2</v>
      </c>
      <c r="BS57" s="22">
        <f t="shared" si="9"/>
        <v>6.7165662970212633E-2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224.39999999999972</v>
      </c>
      <c r="BZ57" s="13">
        <f>BY57*VLOOKUP('Données projet'!$B$12,Paramètres!$A$1:$I$89,3,0)*VLOOKUP('Données projet'!$B$12,Paramètres!$A$1:$I$89,5,0)</f>
        <v>182.03327999999979</v>
      </c>
      <c r="CA57" s="13">
        <f t="shared" si="39"/>
        <v>45.774257349740196</v>
      </c>
      <c r="CB57" s="20">
        <f t="shared" si="10"/>
        <v>396.76479421746376</v>
      </c>
      <c r="CC57" s="59">
        <f t="shared" si="11"/>
        <v>690.09812755079702</v>
      </c>
      <c r="CD57" s="59">
        <f ca="1">AVERAGE(OFFSET($CC$3,0,0,'Données projet'!$E$12+1,1))-AVERAGE(OFFSET($H$3,0,0,'Données projet'!$E$12+1,1))</f>
        <v>230.68538392491388</v>
      </c>
      <c r="CE57" s="59">
        <f t="shared" si="40"/>
        <v>267.97457956620724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4.3727615913030951</v>
      </c>
      <c r="CM57" s="21">
        <f>EXP(-LN(2)/2)*CM56+(1-EXP(-LN(2)/2))/(LN(2)/2)*CG57*CJ57*VLOOKUP('Données projet'!$B$12,Paramètres!$A$1:$I$89,3,0)*0.475*44/12</f>
        <v>2.6788499370378163E-3</v>
      </c>
      <c r="CN57" s="22">
        <f t="shared" si="12"/>
        <v>4.3754404412401326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5.5</v>
      </c>
      <c r="CT57" s="12">
        <f>IF('Données projet'!$A$140&gt;35,CT56+CS57-DB56,IF(A57&lt;'Données projet'!$A$140,$CQ$205^A57,IF(A57='Données projet'!$A$140,'Données projet'!$B$140,CT56+CS57-DB56)))</f>
        <v>128.99999999999997</v>
      </c>
      <c r="CU57" s="17">
        <f>CT57*VLOOKUP('Données projet'!$B$13,Paramètres!$A$1:$I$89,3,0)*VLOOKUP('Données projet'!$B$13,Paramètres!$A$1:$I$89,5,0)</f>
        <v>146.90519999999995</v>
      </c>
      <c r="CV57" s="13">
        <f t="shared" si="41"/>
        <v>37.874430144259527</v>
      </c>
      <c r="CW57" s="20">
        <f t="shared" si="13"/>
        <v>321.82452250125192</v>
      </c>
      <c r="CX57" s="59">
        <f t="shared" si="14"/>
        <v>615.15785583458523</v>
      </c>
      <c r="CY57" s="59">
        <f ca="1">AVERAGE(OFFSET($CX$3,0,0,'Données projet'!$E$13+1,1))-AVERAGE(OFFSET($H$3,0,0,'Données projet'!$E$13+1,1))</f>
        <v>242.1473060698724</v>
      </c>
      <c r="CZ57" s="59">
        <f t="shared" si="42"/>
        <v>96.127995920458659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0</v>
      </c>
      <c r="EP57" s="59">
        <f t="shared" si="46"/>
        <v>0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179.86010141761648</v>
      </c>
      <c r="T58" s="59">
        <f t="shared" si="34"/>
        <v>367.01744242396057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40.062309705576631</v>
      </c>
      <c r="AA58" s="21">
        <f>EXP(-LN(2)/25)*AA57+(1-EXP(-LN(2)/25))/(LN(2)/25)*Calculateur!V58*Calculateur!X58*VLOOKUP('Données projet'!$B$9,Paramètres!$A$1:$I$89,3,0)*0.475*44/12</f>
        <v>29.433801924001862</v>
      </c>
      <c r="AB58" s="21">
        <f>EXP(-LN(2)/2)*AB57+(1-EXP(-LN(2)/2))/(LN(2)/2)*V58*Y58*VLOOKUP('Données projet'!$B$9,Paramètres!$A$1:$I$89,3,0)*0.475*44/12</f>
        <v>7.8447329334638743E-2</v>
      </c>
      <c r="AC58" s="22">
        <f t="shared" si="3"/>
        <v>69.57455895891313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16.7</v>
      </c>
      <c r="AI58" s="13">
        <f>IF('Données projet'!$A$62&gt;35,AI57+AH58-AQ57,IF(A58&lt;'Données projet'!$A$62,$AF$205^A58,IF(A58='Données projet'!$A$62,'Données projet'!$B$62,AI57+AH58-AQ57)))</f>
        <v>420.49999999999966</v>
      </c>
      <c r="AJ58" s="13">
        <f>AI58*VLOOKUP('Données projet'!$B$10,Paramètres!$A$1:$I$89,3,0)*VLOOKUP('Données projet'!$B$10,Paramètres!$A$1:$I$89,5,0)</f>
        <v>251.45899999999983</v>
      </c>
      <c r="AK58" s="13">
        <f t="shared" si="35"/>
        <v>60.898257857135299</v>
      </c>
      <c r="AL58" s="20">
        <f t="shared" si="4"/>
        <v>544.02222410117713</v>
      </c>
      <c r="AM58" s="59">
        <f t="shared" si="5"/>
        <v>837.3555574345105</v>
      </c>
      <c r="AN58" s="59">
        <f ca="1">AVERAGE(OFFSET($AM$3,0,0,'Données projet'!$E$10+1,1))-AVERAGE(OFFSET($H$3,0,0,'Données projet'!$E$10+1,1))</f>
        <v>318.09371753144256</v>
      </c>
      <c r="AO58" s="59">
        <f t="shared" si="36"/>
        <v>298.61479562586919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10.333016725604066</v>
      </c>
      <c r="AW58" s="21">
        <f>EXP(-LN(2)/2)*AW57+(1-EXP(-LN(2)/2))/(LN(2)/2)*AQ58*AT58*VLOOKUP('Données projet'!$B$10,Paramètres!$A$1:$I$89,3,0)*0.475*44/12</f>
        <v>5.2222386689593642E-3</v>
      </c>
      <c r="AX58" s="21">
        <f t="shared" si="6"/>
        <v>12.470531096372396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35.999999999999943</v>
      </c>
      <c r="BE58" s="13">
        <f>BD58*VLOOKUP('Données projet'!$B$11,Paramètres!$A$1:$I$89,3,0)*VLOOKUP('Données projet'!$B$11,Paramètres!$A$1:$I$89,5,0)</f>
        <v>31.449599999999958</v>
      </c>
      <c r="BF58" s="13">
        <f t="shared" si="37"/>
        <v>9.7016318496336709</v>
      </c>
      <c r="BG58" s="20">
        <f t="shared" si="7"/>
        <v>71.671728804778567</v>
      </c>
      <c r="BH58" s="59">
        <f t="shared" si="8"/>
        <v>365.0050621381119</v>
      </c>
      <c r="BI58" s="59">
        <f ca="1">AVERAGE(OFFSET($BH$3,0,0,'Données projet'!$E$11+1,1))-AVERAGE(OFFSET($H$3,0,0,'Données projet'!$E$11+1,1))</f>
        <v>247.43282553724879</v>
      </c>
      <c r="BJ58" s="59">
        <f t="shared" si="38"/>
        <v>637.29471578895527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4.7493295749127543E-2</v>
      </c>
      <c r="BS58" s="22">
        <f t="shared" si="9"/>
        <v>4.7493295749127543E-2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229.99999999999972</v>
      </c>
      <c r="BZ58" s="13">
        <f>BY58*VLOOKUP('Données projet'!$B$12,Paramètres!$A$1:$I$89,3,0)*VLOOKUP('Données projet'!$B$12,Paramètres!$A$1:$I$89,5,0)</f>
        <v>186.57599999999977</v>
      </c>
      <c r="CA58" s="13">
        <f t="shared" si="39"/>
        <v>46.782155731694232</v>
      </c>
      <c r="CB58" s="20">
        <f t="shared" si="10"/>
        <v>406.43212123270035</v>
      </c>
      <c r="CC58" s="59">
        <f t="shared" si="11"/>
        <v>699.76545456603367</v>
      </c>
      <c r="CD58" s="59">
        <f ca="1">AVERAGE(OFFSET($CC$3,0,0,'Données projet'!$E$12+1,1))-AVERAGE(OFFSET($H$3,0,0,'Données projet'!$E$12+1,1))</f>
        <v>230.68538392491388</v>
      </c>
      <c r="CE58" s="59">
        <f t="shared" si="40"/>
        <v>267.97457956620724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4.2531881956353743</v>
      </c>
      <c r="CM58" s="21">
        <f>EXP(-LN(2)/2)*CM57+(1-EXP(-LN(2)/2))/(LN(2)/2)*CG58*CJ58*VLOOKUP('Données projet'!$B$12,Paramètres!$A$1:$I$89,3,0)*0.475*44/12</f>
        <v>1.8942329562605959E-3</v>
      </c>
      <c r="CN58" s="22">
        <f t="shared" si="12"/>
        <v>4.2550824285916349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5.5</v>
      </c>
      <c r="CT58" s="12">
        <f>IF('Données projet'!$A$140&gt;35,CT57+CS58-DB57,IF(A58&lt;'Données projet'!$A$140,$CQ$205^A58,IF(A58='Données projet'!$A$140,'Données projet'!$B$140,CT57+CS58-DB57)))</f>
        <v>134.49999999999997</v>
      </c>
      <c r="CU58" s="17">
        <f>CT58*VLOOKUP('Données projet'!$B$13,Paramètres!$A$1:$I$89,3,0)*VLOOKUP('Données projet'!$B$13,Paramètres!$A$1:$I$89,5,0)</f>
        <v>153.16859999999997</v>
      </c>
      <c r="CV58" s="13">
        <f t="shared" si="41"/>
        <v>39.297782950069234</v>
      </c>
      <c r="CW58" s="20">
        <f t="shared" si="13"/>
        <v>335.21228363803715</v>
      </c>
      <c r="CX58" s="59">
        <f t="shared" si="14"/>
        <v>628.54561697137046</v>
      </c>
      <c r="CY58" s="59">
        <f ca="1">AVERAGE(OFFSET($CX$3,0,0,'Données projet'!$E$13+1,1))-AVERAGE(OFFSET($H$3,0,0,'Données projet'!$E$13+1,1))</f>
        <v>242.1473060698724</v>
      </c>
      <c r="CZ58" s="59">
        <f t="shared" si="42"/>
        <v>96.127995920458659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0</v>
      </c>
      <c r="EP58" s="59">
        <f t="shared" si="46"/>
        <v>0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179.86010141761648</v>
      </c>
      <c r="T59" s="59">
        <f t="shared" si="34"/>
        <v>367.01744242396057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39.276712247846376</v>
      </c>
      <c r="AA59" s="21">
        <f>EXP(-LN(2)/25)*AA58+(1-EXP(-LN(2)/25))/(LN(2)/25)*Calculateur!V59*Calculateur!X59*VLOOKUP('Données projet'!$B$9,Paramètres!$A$1:$I$89,3,0)*0.475*44/12</f>
        <v>28.628933062533662</v>
      </c>
      <c r="AB59" s="21">
        <f>EXP(-LN(2)/2)*AB58+(1-EXP(-LN(2)/2))/(LN(2)/2)*V59*Y59*VLOOKUP('Données projet'!$B$9,Paramètres!$A$1:$I$89,3,0)*0.475*44/12</f>
        <v>5.547063853849743E-2</v>
      </c>
      <c r="AC59" s="22">
        <f t="shared" si="3"/>
        <v>67.961115948918533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16.7</v>
      </c>
      <c r="AI59" s="13">
        <f>IF('Données projet'!$A$62&gt;35,AI58+AH59-AQ58,IF(A59&lt;'Données projet'!$A$62,$AF$205^A59,IF(A59='Données projet'!$A$62,'Données projet'!$B$62,AI58+AH59-AQ58)))</f>
        <v>437.19999999999965</v>
      </c>
      <c r="AJ59" s="13">
        <f>AI59*VLOOKUP('Données projet'!$B$10,Paramètres!$A$1:$I$89,3,0)*VLOOKUP('Données projet'!$B$10,Paramètres!$A$1:$I$89,5,0)</f>
        <v>261.44559999999984</v>
      </c>
      <c r="AK59" s="13">
        <f t="shared" si="35"/>
        <v>63.030421951078615</v>
      </c>
      <c r="AL59" s="20">
        <f t="shared" si="4"/>
        <v>565.12907156479503</v>
      </c>
      <c r="AM59" s="59">
        <f t="shared" si="5"/>
        <v>858.4624048981284</v>
      </c>
      <c r="AN59" s="59">
        <f ca="1">AVERAGE(OFFSET($AM$3,0,0,'Données projet'!$E$10+1,1))-AVERAGE(OFFSET($H$3,0,0,'Données projet'!$E$10+1,1))</f>
        <v>318.09371753144256</v>
      </c>
      <c r="AO59" s="59">
        <f t="shared" si="36"/>
        <v>298.61479562586919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10.050459839852691</v>
      </c>
      <c r="AW59" s="21">
        <f>EXP(-LN(2)/2)*AW58+(1-EXP(-LN(2)/2))/(LN(2)/2)*AQ59*AT59*VLOOKUP('Données projet'!$B$10,Paramètres!$A$1:$I$89,3,0)*0.475*44/12</f>
        <v>3.6926803757957767E-3</v>
      </c>
      <c r="AX59" s="21">
        <f t="shared" si="6"/>
        <v>12.144631704187168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35.999999999999943</v>
      </c>
      <c r="BE59" s="13">
        <f>BD59*VLOOKUP('Données projet'!$B$11,Paramètres!$A$1:$I$89,3,0)*VLOOKUP('Données projet'!$B$11,Paramètres!$A$1:$I$89,5,0)</f>
        <v>31.449599999999958</v>
      </c>
      <c r="BF59" s="13">
        <f t="shared" si="37"/>
        <v>9.7016318496336709</v>
      </c>
      <c r="BG59" s="20">
        <f t="shared" si="7"/>
        <v>71.671728804778567</v>
      </c>
      <c r="BH59" s="59">
        <f t="shared" si="8"/>
        <v>365.0050621381119</v>
      </c>
      <c r="BI59" s="59">
        <f ca="1">AVERAGE(OFFSET($BH$3,0,0,'Données projet'!$E$11+1,1))-AVERAGE(OFFSET($H$3,0,0,'Données projet'!$E$11+1,1))</f>
        <v>247.43282553724879</v>
      </c>
      <c r="BJ59" s="59">
        <f t="shared" si="38"/>
        <v>637.29471578895527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3.3582831485106317E-2</v>
      </c>
      <c r="BS59" s="22">
        <f t="shared" si="9"/>
        <v>3.3582831485106317E-2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235.59999999999971</v>
      </c>
      <c r="BZ59" s="13">
        <f>BY59*VLOOKUP('Données projet'!$B$12,Paramètres!$A$1:$I$89,3,0)*VLOOKUP('Données projet'!$B$12,Paramètres!$A$1:$I$89,5,0)</f>
        <v>191.1187199999998</v>
      </c>
      <c r="CA59" s="13">
        <f t="shared" si="39"/>
        <v>47.787201388032102</v>
      </c>
      <c r="CB59" s="20">
        <f t="shared" si="10"/>
        <v>416.09447975082225</v>
      </c>
      <c r="CC59" s="59">
        <f t="shared" si="11"/>
        <v>709.42781308415556</v>
      </c>
      <c r="CD59" s="59">
        <f ca="1">AVERAGE(OFFSET($CC$3,0,0,'Données projet'!$E$12+1,1))-AVERAGE(OFFSET($H$3,0,0,'Données projet'!$E$12+1,1))</f>
        <v>230.68538392491388</v>
      </c>
      <c r="CE59" s="59">
        <f t="shared" si="40"/>
        <v>267.97457956620724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4.1368845407602786</v>
      </c>
      <c r="CM59" s="21">
        <f>EXP(-LN(2)/2)*CM58+(1-EXP(-LN(2)/2))/(LN(2)/2)*CG59*CJ59*VLOOKUP('Données projet'!$B$12,Paramètres!$A$1:$I$89,3,0)*0.475*44/12</f>
        <v>1.3394249685189084E-3</v>
      </c>
      <c r="CN59" s="22">
        <f t="shared" si="12"/>
        <v>4.1382239657287974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5.5</v>
      </c>
      <c r="CT59" s="12">
        <f>IF('Données projet'!$A$140&gt;35,CT58+CS59-DB58,IF(A59&lt;'Données projet'!$A$140,$CQ$205^A59,IF(A59='Données projet'!$A$140,'Données projet'!$B$140,CT58+CS59-DB58)))</f>
        <v>139.99999999999997</v>
      </c>
      <c r="CU59" s="17">
        <f>CT59*VLOOKUP('Données projet'!$B$13,Paramètres!$A$1:$I$89,3,0)*VLOOKUP('Données projet'!$B$13,Paramètres!$A$1:$I$89,5,0)</f>
        <v>159.43199999999996</v>
      </c>
      <c r="CV59" s="13">
        <f t="shared" si="41"/>
        <v>40.714374916553687</v>
      </c>
      <c r="CW59" s="20">
        <f t="shared" si="13"/>
        <v>348.5882696463309</v>
      </c>
      <c r="CX59" s="59">
        <f t="shared" si="14"/>
        <v>641.92160297966416</v>
      </c>
      <c r="CY59" s="59">
        <f ca="1">AVERAGE(OFFSET($CX$3,0,0,'Données projet'!$E$13+1,1))-AVERAGE(OFFSET($H$3,0,0,'Données projet'!$E$13+1,1))</f>
        <v>242.1473060698724</v>
      </c>
      <c r="CZ59" s="59">
        <f t="shared" si="42"/>
        <v>96.127995920458659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0</v>
      </c>
      <c r="EP59" s="59">
        <f t="shared" si="46"/>
        <v>0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179.86010141761648</v>
      </c>
      <c r="T60" s="59">
        <f t="shared" si="34"/>
        <v>367.01744242396057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38.50651987709508</v>
      </c>
      <c r="AA60" s="21">
        <f>EXP(-LN(2)/25)*AA59+(1-EXP(-LN(2)/25))/(LN(2)/25)*Calculateur!V60*Calculateur!X60*VLOOKUP('Données projet'!$B$9,Paramètres!$A$1:$I$89,3,0)*0.475*44/12</f>
        <v>27.84607338240852</v>
      </c>
      <c r="AB60" s="21">
        <f>EXP(-LN(2)/2)*AB59+(1-EXP(-LN(2)/2))/(LN(2)/2)*V60*Y60*VLOOKUP('Données projet'!$B$9,Paramètres!$A$1:$I$89,3,0)*0.475*44/12</f>
        <v>3.9223664667319372E-2</v>
      </c>
      <c r="AC60" s="22">
        <f t="shared" si="3"/>
        <v>66.391816924170925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</v>
      </c>
      <c r="AI60" s="13">
        <f>IF('Données projet'!$A$62&gt;35,AI59+AH60-AQ59,IF(A60&lt;'Données projet'!$A$62,$AF$205^A60,IF(A60='Données projet'!$A$62,'Données projet'!$B$62,AI59+AH60-AQ59)))</f>
        <v>453.89999999999964</v>
      </c>
      <c r="AJ60" s="13">
        <f>AI60*VLOOKUP('Données projet'!$B$10,Paramètres!$A$1:$I$89,3,0)*VLOOKUP('Données projet'!$B$10,Paramètres!$A$1:$I$89,5,0)</f>
        <v>271.4321999999998</v>
      </c>
      <c r="AK60" s="13">
        <f t="shared" si="35"/>
        <v>65.153124624123208</v>
      </c>
      <c r="AL60" s="20">
        <f t="shared" si="4"/>
        <v>586.21944038701417</v>
      </c>
      <c r="AM60" s="59">
        <f t="shared" si="5"/>
        <v>879.55277372034743</v>
      </c>
      <c r="AN60" s="59">
        <f ca="1">AVERAGE(OFFSET($AM$3,0,0,'Données projet'!$E$10+1,1))-AVERAGE(OFFSET($H$3,0,0,'Données projet'!$E$10+1,1))</f>
        <v>318.09371753144256</v>
      </c>
      <c r="AO60" s="59">
        <f t="shared" si="36"/>
        <v>298.61479562586919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9.7756294870012059</v>
      </c>
      <c r="AW60" s="21">
        <f>EXP(-LN(2)/2)*AW59+(1-EXP(-LN(2)/2))/(LN(2)/2)*AQ60*AT60*VLOOKUP('Données projet'!$B$10,Paramètres!$A$1:$I$89,3,0)*0.475*44/12</f>
        <v>2.6111193344796825E-3</v>
      </c>
      <c r="AX60" s="21">
        <f t="shared" si="6"/>
        <v>11.827726768563338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35.999999999999943</v>
      </c>
      <c r="BE60" s="13">
        <f>BD60*VLOOKUP('Données projet'!$B$11,Paramètres!$A$1:$I$89,3,0)*VLOOKUP('Données projet'!$B$11,Paramètres!$A$1:$I$89,5,0)</f>
        <v>31.449599999999958</v>
      </c>
      <c r="BF60" s="13">
        <f t="shared" si="37"/>
        <v>9.7016318496336709</v>
      </c>
      <c r="BG60" s="20">
        <f t="shared" si="7"/>
        <v>71.671728804778567</v>
      </c>
      <c r="BH60" s="59">
        <f t="shared" si="8"/>
        <v>365.0050621381119</v>
      </c>
      <c r="BI60" s="59">
        <f ca="1">AVERAGE(OFFSET($BH$3,0,0,'Données projet'!$E$11+1,1))-AVERAGE(OFFSET($H$3,0,0,'Données projet'!$E$11+1,1))</f>
        <v>247.43282553724879</v>
      </c>
      <c r="BJ60" s="59">
        <f t="shared" si="38"/>
        <v>637.29471578895527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2.3746647874563771E-2</v>
      </c>
      <c r="BS60" s="22">
        <f t="shared" si="9"/>
        <v>2.3746647874563771E-2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241.1999999999997</v>
      </c>
      <c r="BZ60" s="13">
        <f>BY60*VLOOKUP('Données projet'!$B$12,Paramètres!$A$1:$I$89,3,0)*VLOOKUP('Données projet'!$B$12,Paramètres!$A$1:$I$89,5,0)</f>
        <v>195.66143999999977</v>
      </c>
      <c r="CA60" s="13">
        <f t="shared" si="39"/>
        <v>48.789469927948474</v>
      </c>
      <c r="CB60" s="20">
        <f t="shared" si="10"/>
        <v>425.75200145784316</v>
      </c>
      <c r="CC60" s="59">
        <f t="shared" si="11"/>
        <v>719.08533479117648</v>
      </c>
      <c r="CD60" s="59">
        <f ca="1">AVERAGE(OFFSET($CC$3,0,0,'Données projet'!$E$12+1,1))-AVERAGE(OFFSET($H$3,0,0,'Données projet'!$E$12+1,1))</f>
        <v>230.68538392491388</v>
      </c>
      <c r="CE60" s="59">
        <f t="shared" si="40"/>
        <v>267.97457956620724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4.0237612154438853</v>
      </c>
      <c r="CM60" s="21">
        <f>EXP(-LN(2)/2)*CM59+(1-EXP(-LN(2)/2))/(LN(2)/2)*CG60*CJ60*VLOOKUP('Données projet'!$B$12,Paramètres!$A$1:$I$89,3,0)*0.475*44/12</f>
        <v>9.4711647813029817E-4</v>
      </c>
      <c r="CN60" s="22">
        <f t="shared" si="12"/>
        <v>4.0247083319220156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5.5</v>
      </c>
      <c r="CT60" s="12">
        <f>IF('Données projet'!$A$140&gt;35,CT59+CS60-DB59,IF(A60&lt;'Données projet'!$A$140,$CQ$205^A60,IF(A60='Données projet'!$A$140,'Données projet'!$B$140,CT59+CS60-DB59)))</f>
        <v>145.49999999999997</v>
      </c>
      <c r="CU60" s="17">
        <f>CT60*VLOOKUP('Données projet'!$B$13,Paramètres!$A$1:$I$89,3,0)*VLOOKUP('Données projet'!$B$13,Paramètres!$A$1:$I$89,5,0)</f>
        <v>165.69539999999998</v>
      </c>
      <c r="CV60" s="13">
        <f t="shared" si="41"/>
        <v>42.124502042631192</v>
      </c>
      <c r="CW60" s="20">
        <f t="shared" si="13"/>
        <v>361.9529960575826</v>
      </c>
      <c r="CX60" s="59">
        <f t="shared" si="14"/>
        <v>655.28632939091585</v>
      </c>
      <c r="CY60" s="59">
        <f ca="1">AVERAGE(OFFSET($CX$3,0,0,'Données projet'!$E$13+1,1))-AVERAGE(OFFSET($H$3,0,0,'Données projet'!$E$13+1,1))</f>
        <v>242.1473060698724</v>
      </c>
      <c r="CZ60" s="59">
        <f t="shared" si="42"/>
        <v>96.127995920458659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0</v>
      </c>
      <c r="EP60" s="59">
        <f t="shared" si="46"/>
        <v>0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179.86010141761648</v>
      </c>
      <c r="T61" s="59">
        <f t="shared" si="34"/>
        <v>367.01744242396057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37.751430508963253</v>
      </c>
      <c r="AA61" s="21">
        <f>EXP(-LN(2)/25)*AA60+(1-EXP(-LN(2)/25))/(LN(2)/25)*Calculateur!V61*Calculateur!X61*VLOOKUP('Données projet'!$B$9,Paramètres!$A$1:$I$89,3,0)*0.475*44/12</f>
        <v>27.084621041405203</v>
      </c>
      <c r="AB61" s="21">
        <f>EXP(-LN(2)/2)*AB60+(1-EXP(-LN(2)/2))/(LN(2)/2)*V61*Y61*VLOOKUP('Données projet'!$B$9,Paramètres!$A$1:$I$89,3,0)*0.475*44/12</f>
        <v>2.7735319269248715E-2</v>
      </c>
      <c r="AC61" s="22">
        <f t="shared" si="3"/>
        <v>64.863786869637707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</v>
      </c>
      <c r="AI61" s="13">
        <f>IF('Données projet'!$A$62&gt;35,AI60+AH61-AQ60,IF(A61&lt;'Données projet'!$A$62,$AF$205^A61,IF(A61='Données projet'!$A$62,'Données projet'!$B$62,AI60+AH61-AQ60)))</f>
        <v>470.59999999999962</v>
      </c>
      <c r="AJ61" s="13">
        <f>AI61*VLOOKUP('Données projet'!$B$10,Paramètres!$A$1:$I$89,3,0)*VLOOKUP('Données projet'!$B$10,Paramètres!$A$1:$I$89,5,0)</f>
        <v>281.41879999999981</v>
      </c>
      <c r="AK61" s="13">
        <f t="shared" si="35"/>
        <v>67.266753849939221</v>
      </c>
      <c r="AL61" s="20">
        <f t="shared" si="4"/>
        <v>607.2940062886438</v>
      </c>
      <c r="AM61" s="59">
        <f t="shared" si="5"/>
        <v>900.62733962197717</v>
      </c>
      <c r="AN61" s="59">
        <f ca="1">AVERAGE(OFFSET($AM$3,0,0,'Données projet'!$E$10+1,1))-AVERAGE(OFFSET($H$3,0,0,'Données projet'!$E$10+1,1))</f>
        <v>318.09371753144256</v>
      </c>
      <c r="AO61" s="59">
        <f t="shared" si="36"/>
        <v>298.61479562586919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9.508314384601146</v>
      </c>
      <c r="AW61" s="21">
        <f>EXP(-LN(2)/2)*AW60+(1-EXP(-LN(2)/2))/(LN(2)/2)*AQ61*AT61*VLOOKUP('Données projet'!$B$10,Paramètres!$A$1:$I$89,3,0)*0.475*44/12</f>
        <v>1.8463401878978886E-3</v>
      </c>
      <c r="AX61" s="21">
        <f t="shared" si="6"/>
        <v>11.519457713438536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35.999999999999943</v>
      </c>
      <c r="BE61" s="13">
        <f>BD61*VLOOKUP('Données projet'!$B$11,Paramètres!$A$1:$I$89,3,0)*VLOOKUP('Données projet'!$B$11,Paramètres!$A$1:$I$89,5,0)</f>
        <v>31.449599999999958</v>
      </c>
      <c r="BF61" s="13">
        <f t="shared" si="37"/>
        <v>9.7016318496336709</v>
      </c>
      <c r="BG61" s="20">
        <f t="shared" si="7"/>
        <v>71.671728804778567</v>
      </c>
      <c r="BH61" s="59">
        <f t="shared" si="8"/>
        <v>365.0050621381119</v>
      </c>
      <c r="BI61" s="59">
        <f ca="1">AVERAGE(OFFSET($BH$3,0,0,'Données projet'!$E$11+1,1))-AVERAGE(OFFSET($H$3,0,0,'Données projet'!$E$11+1,1))</f>
        <v>247.43282553724879</v>
      </c>
      <c r="BJ61" s="59">
        <f t="shared" si="38"/>
        <v>637.29471578895527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1.6791415742553158E-2</v>
      </c>
      <c r="BS61" s="22">
        <f t="shared" si="9"/>
        <v>1.6791415742553158E-2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246.7999999999997</v>
      </c>
      <c r="BZ61" s="13">
        <f>BY61*VLOOKUP('Données projet'!$B$12,Paramètres!$A$1:$I$89,3,0)*VLOOKUP('Données projet'!$B$12,Paramètres!$A$1:$I$89,5,0)</f>
        <v>200.20415999999977</v>
      </c>
      <c r="CA61" s="13">
        <f t="shared" si="39"/>
        <v>49.789033249442454</v>
      </c>
      <c r="CB61" s="20">
        <f t="shared" si="10"/>
        <v>435.40481157611185</v>
      </c>
      <c r="CC61" s="59">
        <f t="shared" si="11"/>
        <v>728.73814490944517</v>
      </c>
      <c r="CD61" s="59">
        <f ca="1">AVERAGE(OFFSET($CC$3,0,0,'Données projet'!$E$12+1,1))-AVERAGE(OFFSET($H$3,0,0,'Données projet'!$E$12+1,1))</f>
        <v>230.68538392491388</v>
      </c>
      <c r="CE61" s="59">
        <f t="shared" si="40"/>
        <v>267.97457956620724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3.9137312534071662</v>
      </c>
      <c r="CM61" s="21">
        <f>EXP(-LN(2)/2)*CM60+(1-EXP(-LN(2)/2))/(LN(2)/2)*CG61*CJ61*VLOOKUP('Données projet'!$B$12,Paramètres!$A$1:$I$89,3,0)*0.475*44/12</f>
        <v>6.697124842594543E-4</v>
      </c>
      <c r="CN61" s="22">
        <f t="shared" si="12"/>
        <v>3.9144009658914256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5.5</v>
      </c>
      <c r="CT61" s="12">
        <f>IF('Données projet'!$A$140&gt;35,CT60+CS61-DB60,IF(A61&lt;'Données projet'!$A$140,$CQ$205^A61,IF(A61='Données projet'!$A$140,'Données projet'!$B$140,CT60+CS61-DB60)))</f>
        <v>150.99999999999997</v>
      </c>
      <c r="CU61" s="17">
        <f>CT61*VLOOKUP('Données projet'!$B$13,Paramètres!$A$1:$I$89,3,0)*VLOOKUP('Données projet'!$B$13,Paramètres!$A$1:$I$89,5,0)</f>
        <v>171.95879999999997</v>
      </c>
      <c r="CV61" s="13">
        <f t="shared" si="41"/>
        <v>43.528436681715618</v>
      </c>
      <c r="CW61" s="20">
        <f t="shared" si="13"/>
        <v>375.30693722065462</v>
      </c>
      <c r="CX61" s="59">
        <f t="shared" si="14"/>
        <v>668.64027055398788</v>
      </c>
      <c r="CY61" s="59">
        <f ca="1">AVERAGE(OFFSET($CX$3,0,0,'Données projet'!$E$13+1,1))-AVERAGE(OFFSET($H$3,0,0,'Données projet'!$E$13+1,1))</f>
        <v>242.1473060698724</v>
      </c>
      <c r="CZ61" s="59">
        <f t="shared" si="42"/>
        <v>96.127995920458659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0</v>
      </c>
      <c r="EP61" s="59">
        <f t="shared" si="46"/>
        <v>0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179.86010141761648</v>
      </c>
      <c r="T62" s="59">
        <f t="shared" si="34"/>
        <v>367.01744242396057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37.011147982781452</v>
      </c>
      <c r="AA62" s="21">
        <f>EXP(-LN(2)/25)*AA61+(1-EXP(-LN(2)/25))/(LN(2)/25)*Calculateur!V62*Calculateur!X62*VLOOKUP('Données projet'!$B$9,Paramètres!$A$1:$I$89,3,0)*0.475*44/12</f>
        <v>26.343990654709661</v>
      </c>
      <c r="AB62" s="21">
        <f>EXP(-LN(2)/2)*AB61+(1-EXP(-LN(2)/2))/(LN(2)/2)*V62*Y62*VLOOKUP('Données projet'!$B$9,Paramètres!$A$1:$I$89,3,0)*0.475*44/12</f>
        <v>1.9611832333659686E-2</v>
      </c>
      <c r="AC62" s="22">
        <f t="shared" si="3"/>
        <v>63.374750469824768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</v>
      </c>
      <c r="AI62" s="13">
        <f>IF('Données projet'!$A$62&gt;35,AI61+AH62-AQ61,IF(A62&lt;'Données projet'!$A$62,$AF$205^A62,IF(A62='Données projet'!$A$62,'Données projet'!$B$62,AI61+AH62-AQ61)))</f>
        <v>487.29999999999961</v>
      </c>
      <c r="AJ62" s="13">
        <f>AI62*VLOOKUP('Données projet'!$B$10,Paramètres!$A$1:$I$89,3,0)*VLOOKUP('Données projet'!$B$10,Paramètres!$A$1:$I$89,5,0)</f>
        <v>291.40539999999982</v>
      </c>
      <c r="AK62" s="13">
        <f t="shared" si="35"/>
        <v>69.371668505358471</v>
      </c>
      <c r="AL62" s="20">
        <f t="shared" si="4"/>
        <v>628.35339431349905</v>
      </c>
      <c r="AM62" s="59">
        <f t="shared" si="5"/>
        <v>921.68672764683242</v>
      </c>
      <c r="AN62" s="59">
        <f ca="1">AVERAGE(OFFSET($AM$3,0,0,'Données projet'!$E$10+1,1))-AVERAGE(OFFSET($H$3,0,0,'Données projet'!$E$10+1,1))</f>
        <v>318.09371753144256</v>
      </c>
      <c r="AO62" s="59">
        <f t="shared" si="36"/>
        <v>298.61479562586919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9.2483090277337059</v>
      </c>
      <c r="AW62" s="21">
        <f>EXP(-LN(2)/2)*AW61+(1-EXP(-LN(2)/2))/(LN(2)/2)*AQ62*AT62*VLOOKUP('Données projet'!$B$10,Paramètres!$A$1:$I$89,3,0)*0.475*44/12</f>
        <v>1.3055596672398415E-3</v>
      </c>
      <c r="AX62" s="21">
        <f t="shared" si="6"/>
        <v>11.219510487653171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35.999999999999943</v>
      </c>
      <c r="BE62" s="13">
        <f>BD62*VLOOKUP('Données projet'!$B$11,Paramètres!$A$1:$I$89,3,0)*VLOOKUP('Données projet'!$B$11,Paramètres!$A$1:$I$89,5,0)</f>
        <v>31.449599999999958</v>
      </c>
      <c r="BF62" s="13">
        <f t="shared" si="37"/>
        <v>9.7016318496336709</v>
      </c>
      <c r="BG62" s="20">
        <f t="shared" si="7"/>
        <v>71.671728804778567</v>
      </c>
      <c r="BH62" s="59">
        <f t="shared" si="8"/>
        <v>365.0050621381119</v>
      </c>
      <c r="BI62" s="59">
        <f ca="1">AVERAGE(OFFSET($BH$3,0,0,'Données projet'!$E$11+1,1))-AVERAGE(OFFSET($H$3,0,0,'Données projet'!$E$11+1,1))</f>
        <v>247.43282553724879</v>
      </c>
      <c r="BJ62" s="59">
        <f t="shared" si="38"/>
        <v>637.29471578895527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1.1873323937281886E-2</v>
      </c>
      <c r="BS62" s="22">
        <f t="shared" si="9"/>
        <v>1.1873323937281886E-2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252.39999999999969</v>
      </c>
      <c r="BZ62" s="13">
        <f>BY62*VLOOKUP('Données projet'!$B$12,Paramètres!$A$1:$I$89,3,0)*VLOOKUP('Données projet'!$B$12,Paramètres!$A$1:$I$89,5,0)</f>
        <v>204.74687999999978</v>
      </c>
      <c r="CA62" s="13">
        <f t="shared" si="39"/>
        <v>50.785959801489938</v>
      </c>
      <c r="CB62" s="20">
        <f t="shared" si="10"/>
        <v>445.05302932092792</v>
      </c>
      <c r="CC62" s="59">
        <f t="shared" si="11"/>
        <v>738.38636265426123</v>
      </c>
      <c r="CD62" s="59">
        <f ca="1">AVERAGE(OFFSET($CC$3,0,0,'Données projet'!$E$12+1,1))-AVERAGE(OFFSET($H$3,0,0,'Données projet'!$E$12+1,1))</f>
        <v>230.68538392491388</v>
      </c>
      <c r="CE62" s="59">
        <f t="shared" si="40"/>
        <v>267.97457956620724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3.8067100664685656</v>
      </c>
      <c r="CM62" s="21">
        <f>EXP(-LN(2)/2)*CM61+(1-EXP(-LN(2)/2))/(LN(2)/2)*CG62*CJ62*VLOOKUP('Données projet'!$B$12,Paramètres!$A$1:$I$89,3,0)*0.475*44/12</f>
        <v>4.7355823906514914E-4</v>
      </c>
      <c r="CN62" s="22">
        <f t="shared" si="12"/>
        <v>3.8071836247076307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5.5</v>
      </c>
      <c r="CT62" s="12">
        <f>IF('Données projet'!$A$140&gt;35,CT61+CS62-DB61,IF(A62&lt;'Données projet'!$A$140,$CQ$205^A62,IF(A62='Données projet'!$A$140,'Données projet'!$B$140,CT61+CS62-DB61)))</f>
        <v>156.49999999999997</v>
      </c>
      <c r="CU62" s="17">
        <f>CT62*VLOOKUP('Données projet'!$B$13,Paramètres!$A$1:$I$89,3,0)*VLOOKUP('Données projet'!$B$13,Paramètres!$A$1:$I$89,5,0)</f>
        <v>178.22219999999996</v>
      </c>
      <c r="CV62" s="13">
        <f t="shared" si="41"/>
        <v>44.926430222501445</v>
      </c>
      <c r="CW62" s="20">
        <f t="shared" si="13"/>
        <v>388.65053097085661</v>
      </c>
      <c r="CX62" s="59">
        <f t="shared" si="14"/>
        <v>681.98386430418986</v>
      </c>
      <c r="CY62" s="59">
        <f ca="1">AVERAGE(OFFSET($CX$3,0,0,'Données projet'!$E$13+1,1))-AVERAGE(OFFSET($H$3,0,0,'Données projet'!$E$13+1,1))</f>
        <v>242.1473060698724</v>
      </c>
      <c r="CZ62" s="59">
        <f t="shared" si="42"/>
        <v>96.127995920458659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0</v>
      </c>
      <c r="EP62" s="59">
        <f t="shared" si="46"/>
        <v>0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179.86010141761648</v>
      </c>
      <c r="T63" s="59">
        <f t="shared" si="34"/>
        <v>367.01744242396057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36.285381945410322</v>
      </c>
      <c r="AA63" s="21">
        <f>EXP(-LN(2)/25)*AA62+(1-EXP(-LN(2)/25))/(LN(2)/25)*Calculateur!V63*Calculateur!X63*VLOOKUP('Données projet'!$B$9,Paramètres!$A$1:$I$89,3,0)*0.475*44/12</f>
        <v>25.623612844886367</v>
      </c>
      <c r="AB63" s="21">
        <f>EXP(-LN(2)/2)*AB62+(1-EXP(-LN(2)/2))/(LN(2)/2)*V63*Y63*VLOOKUP('Données projet'!$B$9,Paramètres!$A$1:$I$89,3,0)*0.475*44/12</f>
        <v>1.3867659634624357E-2</v>
      </c>
      <c r="AC63" s="22">
        <f t="shared" si="3"/>
        <v>61.922862449931316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504</v>
      </c>
      <c r="AG63" s="12">
        <f>VLOOKUP(A63,'Données projet'!$A$61:$I$81,9,0)</f>
        <v>16.7</v>
      </c>
      <c r="AH63" s="12">
        <f t="array" ref="AH63">INDEX(AG:AG,MIN(IF(ISNUMBER(AG63:AG259),ROW(AG63:AG259),"")))</f>
        <v>16.7</v>
      </c>
      <c r="AI63" s="13">
        <f>IF('Données projet'!$A$62&gt;35,AI62+AH63-AQ62,IF(A63&lt;'Données projet'!$A$62,$AF$205^A63,IF(A63='Données projet'!$A$62,'Données projet'!$B$62,AI62+AH63-AQ62)))</f>
        <v>503.9999999999996</v>
      </c>
      <c r="AJ63" s="13">
        <f>AI63*VLOOKUP('Données projet'!$B$10,Paramètres!$A$1:$I$89,3,0)*VLOOKUP('Données projet'!$B$10,Paramètres!$A$1:$I$89,5,0)</f>
        <v>301.39199999999977</v>
      </c>
      <c r="AK63" s="13">
        <f t="shared" si="35"/>
        <v>71.468201474229218</v>
      </c>
      <c r="AL63" s="20">
        <f t="shared" si="4"/>
        <v>649.3981842342821</v>
      </c>
      <c r="AM63" s="59">
        <f t="shared" si="5"/>
        <v>942.73151756761536</v>
      </c>
      <c r="AN63" s="59">
        <f ca="1">AVERAGE(OFFSET($AM$3,0,0,'Données projet'!$E$10+1,1))-AVERAGE(OFFSET($H$3,0,0,'Données projet'!$E$10+1,1))</f>
        <v>318.09371753144256</v>
      </c>
      <c r="AO63" s="59">
        <f t="shared" si="36"/>
        <v>298.61479562586919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8.9954135310228924</v>
      </c>
      <c r="AW63" s="21">
        <f>EXP(-LN(2)/2)*AW62+(1-EXP(-LN(2)/2))/(LN(2)/2)*AQ63*AT63*VLOOKUP('Données projet'!$B$10,Paramètres!$A$1:$I$89,3,0)*0.475*44/12</f>
        <v>9.231700939489445E-4</v>
      </c>
      <c r="AX63" s="21">
        <f t="shared" si="6"/>
        <v>10.927604144282981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35.999999999999943</v>
      </c>
      <c r="BE63" s="13">
        <f>BD63*VLOOKUP('Données projet'!$B$11,Paramètres!$A$1:$I$89,3,0)*VLOOKUP('Données projet'!$B$11,Paramètres!$A$1:$I$89,5,0)</f>
        <v>31.449599999999958</v>
      </c>
      <c r="BF63" s="13">
        <f t="shared" si="37"/>
        <v>9.7016318496336709</v>
      </c>
      <c r="BG63" s="20">
        <f t="shared" si="7"/>
        <v>71.671728804778567</v>
      </c>
      <c r="BH63" s="59">
        <f t="shared" si="8"/>
        <v>365.0050621381119</v>
      </c>
      <c r="BI63" s="59">
        <f ca="1">AVERAGE(OFFSET($BH$3,0,0,'Données projet'!$E$11+1,1))-AVERAGE(OFFSET($H$3,0,0,'Données projet'!$E$11+1,1))</f>
        <v>247.43282553724879</v>
      </c>
      <c r="BJ63" s="59">
        <f t="shared" si="38"/>
        <v>637.29471578895527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8.3957078712765792E-3</v>
      </c>
      <c r="BS63" s="22">
        <f t="shared" si="9"/>
        <v>8.3957078712765792E-3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258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257.99999999999972</v>
      </c>
      <c r="BZ63" s="13">
        <f>BY63*VLOOKUP('Données projet'!$B$12,Paramètres!$A$1:$I$89,3,0)*VLOOKUP('Données projet'!$B$12,Paramètres!$A$1:$I$89,5,0)</f>
        <v>209.28959999999978</v>
      </c>
      <c r="CA63" s="13">
        <f t="shared" si="39"/>
        <v>51.780314822292119</v>
      </c>
      <c r="CB63" s="20">
        <f t="shared" si="10"/>
        <v>454.69676831549168</v>
      </c>
      <c r="CC63" s="59">
        <f t="shared" si="11"/>
        <v>748.03010164882494</v>
      </c>
      <c r="CD63" s="59">
        <f ca="1">AVERAGE(OFFSET($CC$3,0,0,'Données projet'!$E$12+1,1))-AVERAGE(OFFSET($H$3,0,0,'Données projet'!$E$12+1,1))</f>
        <v>230.68538392491388</v>
      </c>
      <c r="CE63" s="59">
        <f t="shared" si="40"/>
        <v>267.97457956620724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3.7026153795148007</v>
      </c>
      <c r="CM63" s="21">
        <f>EXP(-LN(2)/2)*CM62+(1-EXP(-LN(2)/2))/(LN(2)/2)*CG63*CJ63*VLOOKUP('Données projet'!$B$12,Paramètres!$A$1:$I$89,3,0)*0.475*44/12</f>
        <v>3.348562421297272E-4</v>
      </c>
      <c r="CN63" s="22">
        <f t="shared" si="12"/>
        <v>3.7029502357569304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</v>
      </c>
      <c r="CR63" s="12">
        <f>VLOOKUP(A63,'Données projet'!$A$139:$I$159,9,0)</f>
        <v>5.5</v>
      </c>
      <c r="CS63" s="12">
        <f t="array" ref="CS63">INDEX(CR:CR,MIN(IF(ISNUMBER(CR63:CR259),ROW(CR63:CR259),"")))</f>
        <v>5.5</v>
      </c>
      <c r="CT63" s="12">
        <f>IF('Données projet'!$A$140&gt;35,CT62+CS63-DB62,IF(A63&lt;'Données projet'!$A$140,$CQ$205^A63,IF(A63='Données projet'!$A$140,'Données projet'!$B$140,CT62+CS63-DB62)))</f>
        <v>161.99999999999997</v>
      </c>
      <c r="CU63" s="17">
        <f>CT63*VLOOKUP('Données projet'!$B$13,Paramètres!$A$1:$I$89,3,0)*VLOOKUP('Données projet'!$B$13,Paramètres!$A$1:$I$89,5,0)</f>
        <v>184.48559999999998</v>
      </c>
      <c r="CV63" s="13">
        <f t="shared" si="41"/>
        <v>46.318715382308191</v>
      </c>
      <c r="CW63" s="20">
        <f t="shared" si="13"/>
        <v>401.98418262418676</v>
      </c>
      <c r="CX63" s="59">
        <f t="shared" si="14"/>
        <v>695.31751595752007</v>
      </c>
      <c r="CY63" s="59">
        <f ca="1">AVERAGE(OFFSET($CX$3,0,0,'Données projet'!$E$13+1,1))-AVERAGE(OFFSET($H$3,0,0,'Données projet'!$E$13+1,1))</f>
        <v>242.1473060698724</v>
      </c>
      <c r="CZ63" s="59">
        <f t="shared" si="42"/>
        <v>96.127995920458659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0</v>
      </c>
      <c r="EP63" s="59">
        <f t="shared" si="46"/>
        <v>0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179.86010141761648</v>
      </c>
      <c r="T64" s="59">
        <f t="shared" si="34"/>
        <v>367.01744242396057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35.57384773735847</v>
      </c>
      <c r="AA64" s="21">
        <f>EXP(-LN(2)/25)*AA63+(1-EXP(-LN(2)/25))/(LN(2)/25)*Calculateur!V64*Calculateur!X64*VLOOKUP('Données projet'!$B$9,Paramètres!$A$1:$I$89,3,0)*0.475*44/12</f>
        <v>24.922933804155711</v>
      </c>
      <c r="AB64" s="21">
        <f>EXP(-LN(2)/2)*AB63+(1-EXP(-LN(2)/2))/(LN(2)/2)*V64*Y64*VLOOKUP('Données projet'!$B$9,Paramètres!$A$1:$I$89,3,0)*0.475*44/12</f>
        <v>9.8059161668298429E-3</v>
      </c>
      <c r="AC64" s="22">
        <f t="shared" si="3"/>
        <v>60.506587457681015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14.3</v>
      </c>
      <c r="AI64" s="13">
        <f>IF('Données projet'!$A$62&gt;35,AI63+AH64-AQ63,IF(A64&lt;'Données projet'!$A$62,$AF$205^A64,IF(A64='Données projet'!$A$62,'Données projet'!$B$62,AI63+AH64-AQ63)))</f>
        <v>428.29999999999961</v>
      </c>
      <c r="AJ64" s="13">
        <f>AI64*VLOOKUP('Données projet'!$B$10,Paramètres!$A$1:$I$89,3,0)*VLOOKUP('Données projet'!$B$10,Paramètres!$A$1:$I$89,5,0)</f>
        <v>256.12339999999978</v>
      </c>
      <c r="AK64" s="13">
        <f t="shared" si="35"/>
        <v>61.89532242116605</v>
      </c>
      <c r="AL64" s="20">
        <f t="shared" si="4"/>
        <v>553.88260821686379</v>
      </c>
      <c r="AM64" s="59">
        <f t="shared" si="5"/>
        <v>847.21594155019716</v>
      </c>
      <c r="AN64" s="59">
        <f ca="1">AVERAGE(OFFSET($AM$3,0,0,'Données projet'!$E$10+1,1))-AVERAGE(OFFSET($H$3,0,0,'Données projet'!$E$10+1,1))</f>
        <v>318.09371753144256</v>
      </c>
      <c r="AO64" s="59">
        <f t="shared" si="36"/>
        <v>298.61479562586919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8.7494334749688338</v>
      </c>
      <c r="AW64" s="21">
        <f>EXP(-LN(2)/2)*AW63+(1-EXP(-LN(2)/2))/(LN(2)/2)*AQ64*AT64*VLOOKUP('Données projet'!$B$10,Paramètres!$A$1:$I$89,3,0)*0.475*44/12</f>
        <v>6.5277983361992085E-4</v>
      </c>
      <c r="AX64" s="21">
        <f t="shared" si="6"/>
        <v>10.643482721364933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35.999999999999943</v>
      </c>
      <c r="BE64" s="13">
        <f>BD64*VLOOKUP('Données projet'!$B$11,Paramètres!$A$1:$I$89,3,0)*VLOOKUP('Données projet'!$B$11,Paramètres!$A$1:$I$89,5,0)</f>
        <v>31.449599999999958</v>
      </c>
      <c r="BF64" s="13">
        <f t="shared" si="37"/>
        <v>9.7016318496336709</v>
      </c>
      <c r="BG64" s="20">
        <f t="shared" si="7"/>
        <v>71.671728804778567</v>
      </c>
      <c r="BH64" s="59">
        <f t="shared" si="8"/>
        <v>365.0050621381119</v>
      </c>
      <c r="BI64" s="59">
        <f ca="1">AVERAGE(OFFSET($BH$3,0,0,'Données projet'!$E$11+1,1))-AVERAGE(OFFSET($H$3,0,0,'Données projet'!$E$11+1,1))</f>
        <v>247.43282553724879</v>
      </c>
      <c r="BJ64" s="59">
        <f t="shared" si="38"/>
        <v>637.29471578895527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5.9366619686409428E-3</v>
      </c>
      <c r="BS64" s="22">
        <f t="shared" si="9"/>
        <v>5.9366619686409428E-3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4.0999999999999996</v>
      </c>
      <c r="BY64" s="12">
        <f>IF('Données projet'!$A$114&gt;35,BY63+BX64-CG63,IF(A64&lt;'Données projet'!$A$114,$BV$205^A64,IF(A64='Données projet'!$A$114,'Données projet'!$B$114,BY63+BX64-CG63)))</f>
        <v>237.09999999999974</v>
      </c>
      <c r="BZ64" s="13">
        <f>BY64*VLOOKUP('Données projet'!$B$12,Paramètres!$A$1:$I$89,3,0)*VLOOKUP('Données projet'!$B$12,Paramètres!$A$1:$I$89,5,0)</f>
        <v>192.3355199999998</v>
      </c>
      <c r="CA64" s="13">
        <f t="shared" si="39"/>
        <v>48.055935441424452</v>
      </c>
      <c r="CB64" s="20">
        <f t="shared" si="10"/>
        <v>418.68178489381393</v>
      </c>
      <c r="CC64" s="59">
        <f t="shared" si="11"/>
        <v>712.01511822714724</v>
      </c>
      <c r="CD64" s="59">
        <f ca="1">AVERAGE(OFFSET($CC$3,0,0,'Données projet'!$E$12+1,1))-AVERAGE(OFFSET($H$3,0,0,'Données projet'!$E$12+1,1))</f>
        <v>230.68538392491388</v>
      </c>
      <c r="CE64" s="59">
        <f t="shared" si="40"/>
        <v>267.97457956620724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3.6013671672498879</v>
      </c>
      <c r="CM64" s="21">
        <f>EXP(-LN(2)/2)*CM63+(1-EXP(-LN(2)/2))/(LN(2)/2)*CG64*CJ64*VLOOKUP('Données projet'!$B$12,Paramètres!$A$1:$I$89,3,0)*0.475*44/12</f>
        <v>2.367791195325746E-4</v>
      </c>
      <c r="CN64" s="22">
        <f t="shared" si="12"/>
        <v>3.6016039463694205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139.19999999999996</v>
      </c>
      <c r="CU64" s="17">
        <f>CT64*VLOOKUP('Données projet'!$B$13,Paramètres!$A$1:$I$89,3,0)*VLOOKUP('Données projet'!$B$13,Paramètres!$A$1:$I$89,5,0)</f>
        <v>158.52095999999997</v>
      </c>
      <c r="CV64" s="13">
        <f t="shared" si="41"/>
        <v>40.508733707832626</v>
      </c>
      <c r="CW64" s="20">
        <f t="shared" si="13"/>
        <v>346.64338320780843</v>
      </c>
      <c r="CX64" s="59">
        <f t="shared" si="14"/>
        <v>639.97671654114174</v>
      </c>
      <c r="CY64" s="59">
        <f ca="1">AVERAGE(OFFSET($CX$3,0,0,'Données projet'!$E$13+1,1))-AVERAGE(OFFSET($H$3,0,0,'Données projet'!$E$13+1,1))</f>
        <v>242.1473060698724</v>
      </c>
      <c r="CZ64" s="59">
        <f t="shared" si="42"/>
        <v>96.127995920458659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0</v>
      </c>
      <c r="EP64" s="59">
        <f t="shared" si="46"/>
        <v>0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179.86010141761648</v>
      </c>
      <c r="T65" s="59">
        <f t="shared" si="34"/>
        <v>367.01744242396057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34.876266281133503</v>
      </c>
      <c r="AA65" s="21">
        <f>EXP(-LN(2)/25)*AA64+(1-EXP(-LN(2)/25))/(LN(2)/25)*Calculateur!V65*Calculateur!X65*VLOOKUP('Données projet'!$B$9,Paramètres!$A$1:$I$89,3,0)*0.475*44/12</f>
        <v>24.241414868640948</v>
      </c>
      <c r="AB65" s="21">
        <f>EXP(-LN(2)/2)*AB64+(1-EXP(-LN(2)/2))/(LN(2)/2)*V65*Y65*VLOOKUP('Données projet'!$B$9,Paramètres!$A$1:$I$89,3,0)*0.475*44/12</f>
        <v>6.9338298173121787E-3</v>
      </c>
      <c r="AC65" s="22">
        <f t="shared" si="3"/>
        <v>59.124614979591769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14.3</v>
      </c>
      <c r="AI65" s="13">
        <f>IF('Données projet'!$A$62&gt;35,AI64+AH65-AQ64,IF(A65&lt;'Données projet'!$A$62,$AF$205^A65,IF(A65='Données projet'!$A$62,'Données projet'!$B$62,AI64+AH65-AQ64)))</f>
        <v>442.59999999999962</v>
      </c>
      <c r="AJ65" s="13">
        <f>AI65*VLOOKUP('Données projet'!$B$10,Paramètres!$A$1:$I$89,3,0)*VLOOKUP('Données projet'!$B$10,Paramètres!$A$1:$I$89,5,0)</f>
        <v>264.67479999999978</v>
      </c>
      <c r="AK65" s="13">
        <f t="shared" si="35"/>
        <v>63.717820563659302</v>
      </c>
      <c r="AL65" s="20">
        <f t="shared" si="4"/>
        <v>571.95048081503955</v>
      </c>
      <c r="AM65" s="59">
        <f t="shared" si="5"/>
        <v>865.28381414837281</v>
      </c>
      <c r="AN65" s="59">
        <f ca="1">AVERAGE(OFFSET($AM$3,0,0,'Données projet'!$E$10+1,1))-AVERAGE(OFFSET($H$3,0,0,'Données projet'!$E$10+1,1))</f>
        <v>318.09371753144256</v>
      </c>
      <c r="AO65" s="59">
        <f t="shared" si="36"/>
        <v>298.61479562586919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8.510179756483101</v>
      </c>
      <c r="AW65" s="21">
        <f>EXP(-LN(2)/2)*AW64+(1-EXP(-LN(2)/2))/(LN(2)/2)*AQ65*AT65*VLOOKUP('Données projet'!$B$10,Paramètres!$A$1:$I$89,3,0)*0.475*44/12</f>
        <v>4.6158504697447231E-4</v>
      </c>
      <c r="AX65" s="21">
        <f t="shared" si="6"/>
        <v>10.366909458241075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35.999999999999943</v>
      </c>
      <c r="BE65" s="13">
        <f>BD65*VLOOKUP('Données projet'!$B$11,Paramètres!$A$1:$I$89,3,0)*VLOOKUP('Données projet'!$B$11,Paramètres!$A$1:$I$89,5,0)</f>
        <v>31.449599999999958</v>
      </c>
      <c r="BF65" s="13">
        <f t="shared" si="37"/>
        <v>9.7016318496336709</v>
      </c>
      <c r="BG65" s="20">
        <f t="shared" si="7"/>
        <v>71.671728804778567</v>
      </c>
      <c r="BH65" s="59">
        <f t="shared" si="8"/>
        <v>365.0050621381119</v>
      </c>
      <c r="BI65" s="59">
        <f ca="1">AVERAGE(OFFSET($BH$3,0,0,'Données projet'!$E$11+1,1))-AVERAGE(OFFSET($H$3,0,0,'Données projet'!$E$11+1,1))</f>
        <v>247.43282553724879</v>
      </c>
      <c r="BJ65" s="59">
        <f t="shared" si="38"/>
        <v>637.29471578895527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4.1978539356382896E-3</v>
      </c>
      <c r="BS65" s="22">
        <f t="shared" si="9"/>
        <v>4.1978539356382896E-3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4.0999999999999996</v>
      </c>
      <c r="BY65" s="12">
        <f>IF('Données projet'!$A$114&gt;35,BY64+BX65-CG64,IF(A65&lt;'Données projet'!$A$114,$BV$205^A65,IF(A65='Données projet'!$A$114,'Données projet'!$B$114,BY64+BX65-CG64)))</f>
        <v>241.19999999999973</v>
      </c>
      <c r="BZ65" s="13">
        <f>BY65*VLOOKUP('Données projet'!$B$12,Paramètres!$A$1:$I$89,3,0)*VLOOKUP('Données projet'!$B$12,Paramètres!$A$1:$I$89,5,0)</f>
        <v>195.6614399999998</v>
      </c>
      <c r="CA65" s="13">
        <f t="shared" si="39"/>
        <v>48.789469927948474</v>
      </c>
      <c r="CB65" s="20">
        <f t="shared" si="10"/>
        <v>425.75200145784316</v>
      </c>
      <c r="CC65" s="59">
        <f t="shared" si="11"/>
        <v>719.08533479117648</v>
      </c>
      <c r="CD65" s="59">
        <f ca="1">AVERAGE(OFFSET($CC$3,0,0,'Données projet'!$E$12+1,1))-AVERAGE(OFFSET($H$3,0,0,'Données projet'!$E$12+1,1))</f>
        <v>230.68538392491388</v>
      </c>
      <c r="CE65" s="59">
        <f t="shared" si="40"/>
        <v>267.97457956620724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3.5028875926737713</v>
      </c>
      <c r="CM65" s="21">
        <f>EXP(-LN(2)/2)*CM64+(1-EXP(-LN(2)/2))/(LN(2)/2)*CG65*CJ65*VLOOKUP('Données projet'!$B$12,Paramètres!$A$1:$I$89,3,0)*0.475*44/12</f>
        <v>1.6742812106486363E-4</v>
      </c>
      <c r="CN65" s="22">
        <f t="shared" si="12"/>
        <v>3.5030550207948363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144.39999999999995</v>
      </c>
      <c r="CU65" s="17">
        <f>CT65*VLOOKUP('Données projet'!$B$13,Paramètres!$A$1:$I$89,3,0)*VLOOKUP('Données projet'!$B$13,Paramètres!$A$1:$I$89,5,0)</f>
        <v>164.44271999999995</v>
      </c>
      <c r="CV65" s="13">
        <f t="shared" si="41"/>
        <v>41.842980414054516</v>
      </c>
      <c r="CW65" s="20">
        <f t="shared" si="13"/>
        <v>359.2809282211449</v>
      </c>
      <c r="CX65" s="59">
        <f t="shared" si="14"/>
        <v>652.61426155447816</v>
      </c>
      <c r="CY65" s="59">
        <f ca="1">AVERAGE(OFFSET($CX$3,0,0,'Données projet'!$E$13+1,1))-AVERAGE(OFFSET($H$3,0,0,'Données projet'!$E$13+1,1))</f>
        <v>242.1473060698724</v>
      </c>
      <c r="CZ65" s="59">
        <f t="shared" si="42"/>
        <v>96.127995920458659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0</v>
      </c>
      <c r="EP65" s="59">
        <f t="shared" si="46"/>
        <v>0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179.86010141761648</v>
      </c>
      <c r="T66" s="59">
        <f t="shared" si="34"/>
        <v>367.01744242396057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34.192363971782427</v>
      </c>
      <c r="AA66" s="21">
        <f>EXP(-LN(2)/25)*AA65+(1-EXP(-LN(2)/25))/(LN(2)/25)*Calculateur!V66*Calculateur!X66*VLOOKUP('Données projet'!$B$9,Paramètres!$A$1:$I$89,3,0)*0.475*44/12</f>
        <v>23.578532104257359</v>
      </c>
      <c r="AB66" s="21">
        <f>EXP(-LN(2)/2)*AB65+(1-EXP(-LN(2)/2))/(LN(2)/2)*V66*Y66*VLOOKUP('Données projet'!$B$9,Paramètres!$A$1:$I$89,3,0)*0.475*44/12</f>
        <v>4.9029580834149215E-3</v>
      </c>
      <c r="AC66" s="22">
        <f t="shared" si="3"/>
        <v>57.775799034123203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14.3</v>
      </c>
      <c r="AI66" s="13">
        <f>IF('Données projet'!$A$62&gt;35,AI65+AH66-AQ65,IF(A66&lt;'Données projet'!$A$62,$AF$205^A66,IF(A66='Données projet'!$A$62,'Données projet'!$B$62,AI65+AH66-AQ65)))</f>
        <v>456.89999999999964</v>
      </c>
      <c r="AJ66" s="13">
        <f>AI66*VLOOKUP('Données projet'!$B$10,Paramètres!$A$1:$I$89,3,0)*VLOOKUP('Données projet'!$B$10,Paramètres!$A$1:$I$89,5,0)</f>
        <v>273.22619999999978</v>
      </c>
      <c r="AK66" s="13">
        <f t="shared" si="35"/>
        <v>65.53347631103415</v>
      </c>
      <c r="AL66" s="20">
        <f t="shared" si="4"/>
        <v>590.00643624171732</v>
      </c>
      <c r="AM66" s="59">
        <f t="shared" si="5"/>
        <v>883.3397695750507</v>
      </c>
      <c r="AN66" s="59">
        <f ca="1">AVERAGE(OFFSET($AM$3,0,0,'Données projet'!$E$10+1,1))-AVERAGE(OFFSET($H$3,0,0,'Données projet'!$E$10+1,1))</f>
        <v>318.09371753144256</v>
      </c>
      <c r="AO66" s="59">
        <f t="shared" si="36"/>
        <v>298.61479562586919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8.2774684435111681</v>
      </c>
      <c r="AW66" s="21">
        <f>EXP(-LN(2)/2)*AW65+(1-EXP(-LN(2)/2))/(LN(2)/2)*AQ66*AT66*VLOOKUP('Données projet'!$B$10,Paramètres!$A$1:$I$89,3,0)*0.475*44/12</f>
        <v>3.2638991680996048E-4</v>
      </c>
      <c r="AX66" s="21">
        <f t="shared" si="6"/>
        <v>10.097662664582028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35.999999999999943</v>
      </c>
      <c r="BE66" s="13">
        <f>BD66*VLOOKUP('Données projet'!$B$11,Paramètres!$A$1:$I$89,3,0)*VLOOKUP('Données projet'!$B$11,Paramètres!$A$1:$I$89,5,0)</f>
        <v>31.449599999999958</v>
      </c>
      <c r="BF66" s="13">
        <f t="shared" si="37"/>
        <v>9.7016318496336709</v>
      </c>
      <c r="BG66" s="20">
        <f t="shared" si="7"/>
        <v>71.671728804778567</v>
      </c>
      <c r="BH66" s="59">
        <f t="shared" si="8"/>
        <v>365.0050621381119</v>
      </c>
      <c r="BI66" s="59">
        <f ca="1">AVERAGE(OFFSET($BH$3,0,0,'Données projet'!$E$11+1,1))-AVERAGE(OFFSET($H$3,0,0,'Données projet'!$E$11+1,1))</f>
        <v>247.43282553724879</v>
      </c>
      <c r="BJ66" s="59">
        <f t="shared" si="38"/>
        <v>637.29471578895527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2.9683309843204714E-3</v>
      </c>
      <c r="BS66" s="22">
        <f t="shared" si="9"/>
        <v>2.9683309843204714E-3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4.0999999999999996</v>
      </c>
      <c r="BY66" s="12">
        <f>IF('Données projet'!$A$114&gt;35,BY65+BX66-CG65,IF(A66&lt;'Données projet'!$A$114,$BV$205^A66,IF(A66='Données projet'!$A$114,'Données projet'!$B$114,BY65+BX66-CG65)))</f>
        <v>245.29999999999973</v>
      </c>
      <c r="BZ66" s="13">
        <f>BY66*VLOOKUP('Données projet'!$B$12,Paramètres!$A$1:$I$89,3,0)*VLOOKUP('Données projet'!$B$12,Paramètres!$A$1:$I$89,5,0)</f>
        <v>198.9873599999998</v>
      </c>
      <c r="CA66" s="13">
        <f t="shared" si="39"/>
        <v>49.521554399108588</v>
      </c>
      <c r="CB66" s="20">
        <f t="shared" si="10"/>
        <v>432.81969257844707</v>
      </c>
      <c r="CC66" s="59">
        <f t="shared" si="11"/>
        <v>726.15302591178033</v>
      </c>
      <c r="CD66" s="59">
        <f ca="1">AVERAGE(OFFSET($CC$3,0,0,'Données projet'!$E$12+1,1))-AVERAGE(OFFSET($H$3,0,0,'Données projet'!$E$12+1,1))</f>
        <v>230.68538392491388</v>
      </c>
      <c r="CE66" s="59">
        <f t="shared" si="40"/>
        <v>267.97457956620724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3.4071009472432543</v>
      </c>
      <c r="CM66" s="21">
        <f>EXP(-LN(2)/2)*CM65+(1-EXP(-LN(2)/2))/(LN(2)/2)*CG66*CJ66*VLOOKUP('Données projet'!$B$12,Paramètres!$A$1:$I$89,3,0)*0.475*44/12</f>
        <v>1.1838955976628733E-4</v>
      </c>
      <c r="CN66" s="22">
        <f t="shared" si="12"/>
        <v>3.4072193368030206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149.59999999999994</v>
      </c>
      <c r="CU66" s="17">
        <f>CT66*VLOOKUP('Données projet'!$B$13,Paramètres!$A$1:$I$89,3,0)*VLOOKUP('Données projet'!$B$13,Paramètres!$A$1:$I$89,5,0)</f>
        <v>170.36447999999993</v>
      </c>
      <c r="CV66" s="13">
        <f t="shared" si="41"/>
        <v>43.171644802735969</v>
      </c>
      <c r="CW66" s="20">
        <f t="shared" si="13"/>
        <v>371.90875069809834</v>
      </c>
      <c r="CX66" s="59">
        <f t="shared" si="14"/>
        <v>665.24208403143166</v>
      </c>
      <c r="CY66" s="59">
        <f ca="1">AVERAGE(OFFSET($CX$3,0,0,'Données projet'!$E$13+1,1))-AVERAGE(OFFSET($H$3,0,0,'Données projet'!$E$13+1,1))</f>
        <v>242.1473060698724</v>
      </c>
      <c r="CZ66" s="59">
        <f t="shared" si="42"/>
        <v>96.127995920458659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0</v>
      </c>
      <c r="EP66" s="59">
        <f t="shared" si="46"/>
        <v>0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179.86010141761648</v>
      </c>
      <c r="T67" s="59">
        <f t="shared" si="34"/>
        <v>367.01744242396057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33.521872569578505</v>
      </c>
      <c r="AA67" s="21">
        <f>EXP(-LN(2)/25)*AA66+(1-EXP(-LN(2)/25))/(LN(2)/25)*Calculateur!V67*Calculateur!X67*VLOOKUP('Données projet'!$B$9,Paramètres!$A$1:$I$89,3,0)*0.475*44/12</f>
        <v>22.933775903925326</v>
      </c>
      <c r="AB67" s="21">
        <f>EXP(-LN(2)/2)*AB66+(1-EXP(-LN(2)/2))/(LN(2)/2)*V67*Y67*VLOOKUP('Données projet'!$B$9,Paramètres!$A$1:$I$89,3,0)*0.475*44/12</f>
        <v>3.4669149086560894E-3</v>
      </c>
      <c r="AC67" s="22">
        <f t="shared" si="3"/>
        <v>56.459115388412485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14.3</v>
      </c>
      <c r="AI67" s="13">
        <f>IF('Données projet'!$A$62&gt;35,AI66+AH67-AQ66,IF(A67&lt;'Données projet'!$A$62,$AF$205^A67,IF(A67='Données projet'!$A$62,'Données projet'!$B$62,AI66+AH67-AQ66)))</f>
        <v>471.19999999999965</v>
      </c>
      <c r="AJ67" s="13">
        <f>AI67*VLOOKUP('Données projet'!$B$10,Paramètres!$A$1:$I$89,3,0)*VLOOKUP('Données projet'!$B$10,Paramètres!$A$1:$I$89,5,0)</f>
        <v>281.77759999999978</v>
      </c>
      <c r="AK67" s="13">
        <f t="shared" si="35"/>
        <v>67.342528387195131</v>
      </c>
      <c r="AL67" s="20">
        <f t="shared" si="4"/>
        <v>608.05089027436441</v>
      </c>
      <c r="AM67" s="59">
        <f t="shared" si="5"/>
        <v>901.38422360769778</v>
      </c>
      <c r="AN67" s="59">
        <f ca="1">AVERAGE(OFFSET($AM$3,0,0,'Données projet'!$E$10+1,1))-AVERAGE(OFFSET($H$3,0,0,'Données projet'!$E$10+1,1))</f>
        <v>318.09371753144256</v>
      </c>
      <c r="AO67" s="59">
        <f t="shared" si="36"/>
        <v>298.61479562586919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8.0511206336302088</v>
      </c>
      <c r="AW67" s="21">
        <f>EXP(-LN(2)/2)*AW66+(1-EXP(-LN(2)/2))/(LN(2)/2)*AQ67*AT67*VLOOKUP('Données projet'!$B$10,Paramètres!$A$1:$I$89,3,0)*0.475*44/12</f>
        <v>2.3079252348723618E-4</v>
      </c>
      <c r="AX67" s="21">
        <f t="shared" si="6"/>
        <v>9.8355327591485899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35.999999999999943</v>
      </c>
      <c r="BE67" s="13">
        <f>BD67*VLOOKUP('Données projet'!$B$11,Paramètres!$A$1:$I$89,3,0)*VLOOKUP('Données projet'!$B$11,Paramètres!$A$1:$I$89,5,0)</f>
        <v>31.449599999999958</v>
      </c>
      <c r="BF67" s="13">
        <f t="shared" si="37"/>
        <v>9.7016318496336709</v>
      </c>
      <c r="BG67" s="20">
        <f t="shared" si="7"/>
        <v>71.671728804778567</v>
      </c>
      <c r="BH67" s="59">
        <f t="shared" si="8"/>
        <v>365.0050621381119</v>
      </c>
      <c r="BI67" s="59">
        <f ca="1">AVERAGE(OFFSET($BH$3,0,0,'Données projet'!$E$11+1,1))-AVERAGE(OFFSET($H$3,0,0,'Données projet'!$E$11+1,1))</f>
        <v>247.43282553724879</v>
      </c>
      <c r="BJ67" s="59">
        <f t="shared" si="38"/>
        <v>637.29471578895527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2.0989269678191448E-3</v>
      </c>
      <c r="BS67" s="22">
        <f t="shared" si="9"/>
        <v>2.0989269678191448E-3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4.0999999999999996</v>
      </c>
      <c r="BY67" s="12">
        <f>IF('Données projet'!$A$114&gt;35,BY66+BX67-CG66,IF(A67&lt;'Données projet'!$A$114,$BV$205^A67,IF(A67='Données projet'!$A$114,'Données projet'!$B$114,BY66+BX67-CG66)))</f>
        <v>249.39999999999972</v>
      </c>
      <c r="BZ67" s="13">
        <f>BY67*VLOOKUP('Données projet'!$B$12,Paramètres!$A$1:$I$89,3,0)*VLOOKUP('Données projet'!$B$12,Paramètres!$A$1:$I$89,5,0)</f>
        <v>202.31327999999976</v>
      </c>
      <c r="CA67" s="13">
        <f t="shared" si="39"/>
        <v>50.252215888082027</v>
      </c>
      <c r="CB67" s="20">
        <f t="shared" si="10"/>
        <v>439.88490533840906</v>
      </c>
      <c r="CC67" s="59">
        <f t="shared" si="11"/>
        <v>733.21823867174237</v>
      </c>
      <c r="CD67" s="59">
        <f ca="1">AVERAGE(OFFSET($CC$3,0,0,'Données projet'!$E$12+1,1))-AVERAGE(OFFSET($H$3,0,0,'Données projet'!$E$12+1,1))</f>
        <v>230.68538392491388</v>
      </c>
      <c r="CE67" s="59">
        <f t="shared" si="40"/>
        <v>267.97457956620724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3.3139335926692359</v>
      </c>
      <c r="CM67" s="21">
        <f>EXP(-LN(2)/2)*CM66+(1-EXP(-LN(2)/2))/(LN(2)/2)*CG67*CJ67*VLOOKUP('Données projet'!$B$12,Paramètres!$A$1:$I$89,3,0)*0.475*44/12</f>
        <v>8.3714060532431828E-5</v>
      </c>
      <c r="CN67" s="22">
        <f t="shared" si="12"/>
        <v>3.3140173067297685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154.79999999999993</v>
      </c>
      <c r="CU67" s="17">
        <f>CT67*VLOOKUP('Données projet'!$B$13,Paramètres!$A$1:$I$89,3,0)*VLOOKUP('Données projet'!$B$13,Paramètres!$A$1:$I$89,5,0)</f>
        <v>176.28623999999994</v>
      </c>
      <c r="CV67" s="13">
        <f t="shared" si="41"/>
        <v>44.494943148531895</v>
      </c>
      <c r="CW67" s="20">
        <f t="shared" si="13"/>
        <v>384.52722731702625</v>
      </c>
      <c r="CX67" s="59">
        <f t="shared" si="14"/>
        <v>677.8605606503595</v>
      </c>
      <c r="CY67" s="59">
        <f ca="1">AVERAGE(OFFSET($CX$3,0,0,'Données projet'!$E$13+1,1))-AVERAGE(OFFSET($H$3,0,0,'Données projet'!$E$13+1,1))</f>
        <v>242.1473060698724</v>
      </c>
      <c r="CZ67" s="59">
        <f t="shared" si="42"/>
        <v>96.127995920458659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0</v>
      </c>
      <c r="EP67" s="59">
        <f t="shared" si="46"/>
        <v>0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179.86010141761648</v>
      </c>
      <c r="T68" s="59">
        <f t="shared" si="34"/>
        <v>367.01744242396057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32.864529094812433</v>
      </c>
      <c r="AA68" s="21">
        <f>EXP(-LN(2)/25)*AA67+(1-EXP(-LN(2)/25))/(LN(2)/25)*Calculateur!V68*Calculateur!X68*VLOOKUP('Données projet'!$B$9,Paramètres!$A$1:$I$89,3,0)*0.475*44/12</f>
        <v>22.306650595797631</v>
      </c>
      <c r="AB68" s="21">
        <f>EXP(-LN(2)/2)*AB67+(1-EXP(-LN(2)/2))/(LN(2)/2)*V68*Y68*VLOOKUP('Données projet'!$B$9,Paramètres!$A$1:$I$89,3,0)*0.475*44/12</f>
        <v>2.4514790417074607E-3</v>
      </c>
      <c r="AC68" s="22">
        <f t="shared" ref="AC68:AC131" si="57">SUM(Z68:AB68)</f>
        <v>55.17363116965177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14.3</v>
      </c>
      <c r="AI68" s="13">
        <f>IF('Données projet'!$A$62&gt;35,AI67+AH68-AQ67,IF(A68&lt;'Données projet'!$A$62,$AF$205^A68,IF(A68='Données projet'!$A$62,'Données projet'!$B$62,AI67+AH68-AQ67)))</f>
        <v>485.49999999999966</v>
      </c>
      <c r="AJ68" s="13">
        <f>AI68*VLOOKUP('Données projet'!$B$10,Paramètres!$A$1:$I$89,3,0)*VLOOKUP('Données projet'!$B$10,Paramètres!$A$1:$I$89,5,0)</f>
        <v>290.32899999999978</v>
      </c>
      <c r="AK68" s="13">
        <f t="shared" si="35"/>
        <v>69.145200203067617</v>
      </c>
      <c r="AL68" s="20">
        <f t="shared" ref="AL68:AL131" si="58">(AJ68+AK68)*0.475*44/12</f>
        <v>626.08423202034237</v>
      </c>
      <c r="AM68" s="59">
        <f t="shared" ref="AM68:AM131" si="59">AL68+(AD68+AE68)*44/12</f>
        <v>919.41756535367563</v>
      </c>
      <c r="AN68" s="59">
        <f ca="1">AVERAGE(OFFSET($AM$3,0,0,'Données projet'!$E$10+1,1))-AVERAGE(OFFSET($H$3,0,0,'Données projet'!$E$10+1,1))</f>
        <v>318.09371753144256</v>
      </c>
      <c r="AO68" s="59">
        <f t="shared" si="36"/>
        <v>298.61479562586919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7.830962316513558</v>
      </c>
      <c r="AW68" s="21">
        <f>EXP(-LN(2)/2)*AW67+(1-EXP(-LN(2)/2))/(LN(2)/2)*AQ68*AT68*VLOOKUP('Données projet'!$B$10,Paramètres!$A$1:$I$89,3,0)*0.475*44/12</f>
        <v>1.6319495840498027E-4</v>
      </c>
      <c r="AX68" s="21">
        <f t="shared" ref="AX68:AX131" si="60">SUM(AU68:AW68)</f>
        <v>9.580320136769986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35.999999999999943</v>
      </c>
      <c r="BE68" s="13">
        <f>BD68*VLOOKUP('Données projet'!$B$11,Paramètres!$A$1:$I$89,3,0)*VLOOKUP('Données projet'!$B$11,Paramètres!$A$1:$I$89,5,0)</f>
        <v>31.449599999999958</v>
      </c>
      <c r="BF68" s="13">
        <f t="shared" si="37"/>
        <v>9.7016318496336709</v>
      </c>
      <c r="BG68" s="20">
        <f t="shared" ref="BG68:BG131" si="61">(BE68+BF68)*0.475*44/12</f>
        <v>71.671728804778567</v>
      </c>
      <c r="BH68" s="59">
        <f t="shared" ref="BH68:BH131" si="62">BG68+(AY68+AZ68)*44/12</f>
        <v>365.0050621381119</v>
      </c>
      <c r="BI68" s="59">
        <f ca="1">AVERAGE(OFFSET($BH$3,0,0,'Données projet'!$E$11+1,1))-AVERAGE(OFFSET($H$3,0,0,'Données projet'!$E$11+1,1))</f>
        <v>247.43282553724879</v>
      </c>
      <c r="BJ68" s="59">
        <f t="shared" si="38"/>
        <v>637.29471578895527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1.4841654921602357E-3</v>
      </c>
      <c r="BS68" s="22">
        <f t="shared" ref="BS68:BS131" si="63">SUM(BP68:BR68)</f>
        <v>1.4841654921602357E-3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4.0999999999999996</v>
      </c>
      <c r="BY68" s="12">
        <f>IF('Données projet'!$A$114&gt;35,BY67+BX68-CG67,IF(A68&lt;'Données projet'!$A$114,$BV$205^A68,IF(A68='Données projet'!$A$114,'Données projet'!$B$114,BY67+BX68-CG67)))</f>
        <v>253.49999999999972</v>
      </c>
      <c r="BZ68" s="13">
        <f>BY68*VLOOKUP('Données projet'!$B$12,Paramètres!$A$1:$I$89,3,0)*VLOOKUP('Données projet'!$B$12,Paramètres!$A$1:$I$89,5,0)</f>
        <v>205.63919999999976</v>
      </c>
      <c r="CA68" s="13">
        <f t="shared" si="39"/>
        <v>50.981480488268076</v>
      </c>
      <c r="CB68" s="20">
        <f t="shared" ref="CB68:CB131" si="64">(BZ68+CA68)*0.475*44/12</f>
        <v>446.94768518373309</v>
      </c>
      <c r="CC68" s="59">
        <f t="shared" ref="CC68:CC131" si="65">CB68+(BT68+BU68)*44/12</f>
        <v>740.2810185170664</v>
      </c>
      <c r="CD68" s="59">
        <f ca="1">AVERAGE(OFFSET($CC$3,0,0,'Données projet'!$E$12+1,1))-AVERAGE(OFFSET($H$3,0,0,'Données projet'!$E$12+1,1))</f>
        <v>230.68538392491388</v>
      </c>
      <c r="CE68" s="59">
        <f t="shared" si="40"/>
        <v>267.97457956620724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3.2233139043055021</v>
      </c>
      <c r="CM68" s="21">
        <f>EXP(-LN(2)/2)*CM67+(1-EXP(-LN(2)/2))/(LN(2)/2)*CG68*CJ68*VLOOKUP('Données projet'!$B$12,Paramètres!$A$1:$I$89,3,0)*0.475*44/12</f>
        <v>5.919477988314367E-5</v>
      </c>
      <c r="CN68" s="22">
        <f t="shared" ref="CN68:CN131" si="66">SUM(CK68:CM68)</f>
        <v>3.2233730990853853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159.99999999999991</v>
      </c>
      <c r="CU68" s="17">
        <f>CT68*VLOOKUP('Données projet'!$B$13,Paramètres!$A$1:$I$89,3,0)*VLOOKUP('Données projet'!$B$13,Paramètres!$A$1:$I$89,5,0)</f>
        <v>182.20799999999991</v>
      </c>
      <c r="CV68" s="13">
        <f t="shared" si="41"/>
        <v>45.813076371604105</v>
      </c>
      <c r="CW68" s="20">
        <f t="shared" ref="CW68:CW131" si="67">(CU68+CV68)*0.475*44/12</f>
        <v>397.13670801387701</v>
      </c>
      <c r="CX68" s="59">
        <f t="shared" ref="CX68:CX131" si="68">CW68+(CO68+CP68)*44/12</f>
        <v>690.47004134721033</v>
      </c>
      <c r="CY68" s="59">
        <f ca="1">AVERAGE(OFFSET($CX$3,0,0,'Données projet'!$E$13+1,1))-AVERAGE(OFFSET($H$3,0,0,'Données projet'!$E$13+1,1))</f>
        <v>242.1473060698724</v>
      </c>
      <c r="CZ68" s="59">
        <f t="shared" si="42"/>
        <v>96.127995920458659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0</v>
      </c>
      <c r="EP68" s="59">
        <f t="shared" si="46"/>
        <v>0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179.86010141761648</v>
      </c>
      <c r="T69" s="59">
        <f t="shared" ref="T69:T132" si="88">$T$3</f>
        <v>367.01744242396057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32.220075724646591</v>
      </c>
      <c r="AA69" s="21">
        <f>EXP(-LN(2)/25)*AA68+(1-EXP(-LN(2)/25))/(LN(2)/25)*Calculateur!V69*Calculateur!X69*VLOOKUP('Données projet'!$B$9,Paramètres!$A$1:$I$89,3,0)*0.475*44/12</f>
        <v>21.696674062199772</v>
      </c>
      <c r="AB69" s="21">
        <f>EXP(-LN(2)/2)*AB68+(1-EXP(-LN(2)/2))/(LN(2)/2)*V69*Y69*VLOOKUP('Données projet'!$B$9,Paramètres!$A$1:$I$89,3,0)*0.475*44/12</f>
        <v>1.7334574543280447E-3</v>
      </c>
      <c r="AC69" s="22">
        <f t="shared" si="57"/>
        <v>53.918483244300695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14.3</v>
      </c>
      <c r="AI69" s="13">
        <f>IF('Données projet'!$A$62&gt;35,AI68+AH69-AQ68,IF(A69&lt;'Données projet'!$A$62,$AF$205^A69,IF(A69='Données projet'!$A$62,'Données projet'!$B$62,AI68+AH69-AQ68)))</f>
        <v>499.79999999999967</v>
      </c>
      <c r="AJ69" s="13">
        <f>AI69*VLOOKUP('Données projet'!$B$10,Paramètres!$A$1:$I$89,3,0)*VLOOKUP('Données projet'!$B$10,Paramètres!$A$1:$I$89,5,0)</f>
        <v>298.88039999999978</v>
      </c>
      <c r="AK69" s="13">
        <f t="shared" ref="AK69:AK132" si="89">EXP(-1.0587+0.8836*LN(AJ69)+0.284)</f>
        <v>70.941701260608696</v>
      </c>
      <c r="AL69" s="20">
        <f t="shared" si="58"/>
        <v>644.10682636222634</v>
      </c>
      <c r="AM69" s="59">
        <f t="shared" si="59"/>
        <v>937.44015969555971</v>
      </c>
      <c r="AN69" s="59">
        <f ca="1">AVERAGE(OFFSET($AM$3,0,0,'Données projet'!$E$10+1,1))-AVERAGE(OFFSET($H$3,0,0,'Données projet'!$E$10+1,1))</f>
        <v>318.09371753144256</v>
      </c>
      <c r="AO69" s="59">
        <f t="shared" ref="AO69:AO132" si="90">$AO$3</f>
        <v>298.61479562586919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7.6168242401560846</v>
      </c>
      <c r="AW69" s="21">
        <f>EXP(-LN(2)/2)*AW68+(1-EXP(-LN(2)/2))/(LN(2)/2)*AQ69*AT69*VLOOKUP('Données projet'!$B$10,Paramètres!$A$1:$I$89,3,0)*0.475*44/12</f>
        <v>1.1539626174361812E-4</v>
      </c>
      <c r="AX69" s="21">
        <f t="shared" si="60"/>
        <v>9.331833622017129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35.999999999999943</v>
      </c>
      <c r="BE69" s="13">
        <f>BD69*VLOOKUP('Données projet'!$B$11,Paramètres!$A$1:$I$89,3,0)*VLOOKUP('Données projet'!$B$11,Paramètres!$A$1:$I$89,5,0)</f>
        <v>31.449599999999958</v>
      </c>
      <c r="BF69" s="13">
        <f t="shared" ref="BF69:BF132" si="91">EXP(-1.0587+0.8836*LN(BE69)+0.284)</f>
        <v>9.7016318496336709</v>
      </c>
      <c r="BG69" s="20">
        <f t="shared" si="61"/>
        <v>71.671728804778567</v>
      </c>
      <c r="BH69" s="59">
        <f t="shared" si="62"/>
        <v>365.0050621381119</v>
      </c>
      <c r="BI69" s="59">
        <f ca="1">AVERAGE(OFFSET($BH$3,0,0,'Données projet'!$E$11+1,1))-AVERAGE(OFFSET($H$3,0,0,'Données projet'!$E$11+1,1))</f>
        <v>247.43282553724879</v>
      </c>
      <c r="BJ69" s="59">
        <f t="shared" ref="BJ69:BJ132" si="92">$BJ$3</f>
        <v>637.29471578895527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1.0494634839095724E-3</v>
      </c>
      <c r="BS69" s="22">
        <f t="shared" si="63"/>
        <v>1.0494634839095724E-3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4.0999999999999996</v>
      </c>
      <c r="BY69" s="12">
        <f>IF('Données projet'!$A$114&gt;35,BY68+BX69-CG68,IF(A69&lt;'Données projet'!$A$114,$BV$205^A69,IF(A69='Données projet'!$A$114,'Données projet'!$B$114,BY68+BX69-CG68)))</f>
        <v>257.59999999999974</v>
      </c>
      <c r="BZ69" s="13">
        <f>BY69*VLOOKUP('Données projet'!$B$12,Paramètres!$A$1:$I$89,3,0)*VLOOKUP('Données projet'!$B$12,Paramètres!$A$1:$I$89,5,0)</f>
        <v>208.96511999999979</v>
      </c>
      <c r="CA69" s="13">
        <f t="shared" ref="CA69:CA132" si="93">EXP(-1.0587+0.8836*LN(BZ69)+0.284)</f>
        <v>51.709373400619548</v>
      </c>
      <c r="CB69" s="20">
        <f t="shared" si="64"/>
        <v>454.00807600607862</v>
      </c>
      <c r="CC69" s="59">
        <f t="shared" si="65"/>
        <v>747.34140933941194</v>
      </c>
      <c r="CD69" s="59">
        <f ca="1">AVERAGE(OFFSET($CC$3,0,0,'Données projet'!$E$12+1,1))-AVERAGE(OFFSET($H$3,0,0,'Données projet'!$E$12+1,1))</f>
        <v>230.68538392491388</v>
      </c>
      <c r="CE69" s="59">
        <f t="shared" ref="CE69:CE132" si="94">$CE$3</f>
        <v>267.97457956620724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3.1351722160855569</v>
      </c>
      <c r="CM69" s="21">
        <f>EXP(-LN(2)/2)*CM68+(1-EXP(-LN(2)/2))/(LN(2)/2)*CG69*CJ69*VLOOKUP('Données projet'!$B$12,Paramètres!$A$1:$I$89,3,0)*0.475*44/12</f>
        <v>4.1857030266215921E-5</v>
      </c>
      <c r="CN69" s="22">
        <f t="shared" si="66"/>
        <v>3.1352140731158231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165.1999999999999</v>
      </c>
      <c r="CU69" s="17">
        <f>CT69*VLOOKUP('Données projet'!$B$13,Paramètres!$A$1:$I$89,3,0)*VLOOKUP('Données projet'!$B$13,Paramètres!$A$1:$I$89,5,0)</f>
        <v>188.12975999999989</v>
      </c>
      <c r="CV69" s="13">
        <f t="shared" ref="CV69:CV132" si="95">EXP(-1.0587+0.8836*LN(CU69)+0.284)</f>
        <v>47.126231590948933</v>
      </c>
      <c r="CW69" s="20">
        <f t="shared" si="67"/>
        <v>409.73751868756921</v>
      </c>
      <c r="CX69" s="59">
        <f t="shared" si="68"/>
        <v>703.07085202090252</v>
      </c>
      <c r="CY69" s="59">
        <f ca="1">AVERAGE(OFFSET($CX$3,0,0,'Données projet'!$E$13+1,1))-AVERAGE(OFFSET($H$3,0,0,'Données projet'!$E$13+1,1))</f>
        <v>242.1473060698724</v>
      </c>
      <c r="CZ69" s="59">
        <f t="shared" ref="CZ69:CZ132" si="96">$CZ$3</f>
        <v>96.127995920458659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0</v>
      </c>
      <c r="EP69" s="59">
        <f t="shared" ref="EP69:EP132" si="100">$EP$3</f>
        <v>0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179.86010141761648</v>
      </c>
      <c r="T70" s="59">
        <f t="shared" si="88"/>
        <v>367.01744242396057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31.588259691991958</v>
      </c>
      <c r="AA70" s="21">
        <f>EXP(-LN(2)/25)*AA69+(1-EXP(-LN(2)/25))/(LN(2)/25)*Calculateur!V70*Calculateur!X70*VLOOKUP('Données projet'!$B$9,Paramètres!$A$1:$I$89,3,0)*0.475*44/12</f>
        <v>21.103377368990419</v>
      </c>
      <c r="AB70" s="21">
        <f>EXP(-LN(2)/2)*AB69+(1-EXP(-LN(2)/2))/(LN(2)/2)*V70*Y70*VLOOKUP('Données projet'!$B$9,Paramètres!$A$1:$I$89,3,0)*0.475*44/12</f>
        <v>1.2257395208537304E-3</v>
      </c>
      <c r="AC70" s="22">
        <f t="shared" si="57"/>
        <v>52.692862800503228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14.3</v>
      </c>
      <c r="AI70" s="13">
        <f>IF('Données projet'!$A$62&gt;35,AI69+AH70-AQ69,IF(A70&lt;'Données projet'!$A$62,$AF$205^A70,IF(A70='Données projet'!$A$62,'Données projet'!$B$62,AI69+AH70-AQ69)))</f>
        <v>514.09999999999968</v>
      </c>
      <c r="AJ70" s="13">
        <f>AI70*VLOOKUP('Données projet'!$B$10,Paramètres!$A$1:$I$89,3,0)*VLOOKUP('Données projet'!$B$10,Paramètres!$A$1:$I$89,5,0)</f>
        <v>307.43179999999984</v>
      </c>
      <c r="AK70" s="13">
        <f t="shared" si="89"/>
        <v>72.732228391618918</v>
      </c>
      <c r="AL70" s="20">
        <f t="shared" si="58"/>
        <v>662.1190161154027</v>
      </c>
      <c r="AM70" s="59">
        <f t="shared" si="59"/>
        <v>955.45234944873596</v>
      </c>
      <c r="AN70" s="59">
        <f ca="1">AVERAGE(OFFSET($AM$3,0,0,'Données projet'!$E$10+1,1))-AVERAGE(OFFSET($H$3,0,0,'Données projet'!$E$10+1,1))</f>
        <v>318.09371753144256</v>
      </c>
      <c r="AO70" s="59">
        <f t="shared" si="90"/>
        <v>298.61479562586919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7.4085417807576386</v>
      </c>
      <c r="AW70" s="21">
        <f>EXP(-LN(2)/2)*AW69+(1-EXP(-LN(2)/2))/(LN(2)/2)*AQ70*AT70*VLOOKUP('Données projet'!$B$10,Paramètres!$A$1:$I$89,3,0)*0.475*44/12</f>
        <v>8.1597479202490146E-5</v>
      </c>
      <c r="AX70" s="21">
        <f t="shared" si="60"/>
        <v>9.0898893387605888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35.999999999999943</v>
      </c>
      <c r="BE70" s="13">
        <f>BD70*VLOOKUP('Données projet'!$B$11,Paramètres!$A$1:$I$89,3,0)*VLOOKUP('Données projet'!$B$11,Paramètres!$A$1:$I$89,5,0)</f>
        <v>31.449599999999958</v>
      </c>
      <c r="BF70" s="13">
        <f t="shared" si="91"/>
        <v>9.7016318496336709</v>
      </c>
      <c r="BG70" s="20">
        <f t="shared" si="61"/>
        <v>71.671728804778567</v>
      </c>
      <c r="BH70" s="59">
        <f t="shared" si="62"/>
        <v>365.0050621381119</v>
      </c>
      <c r="BI70" s="59">
        <f ca="1">AVERAGE(OFFSET($BH$3,0,0,'Données projet'!$E$11+1,1))-AVERAGE(OFFSET($H$3,0,0,'Données projet'!$E$11+1,1))</f>
        <v>247.43282553724879</v>
      </c>
      <c r="BJ70" s="59">
        <f t="shared" si="92"/>
        <v>637.29471578895527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7.4208274608011785E-4</v>
      </c>
      <c r="BS70" s="22">
        <f t="shared" si="63"/>
        <v>7.4208274608011785E-4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4.0999999999999996</v>
      </c>
      <c r="BY70" s="12">
        <f>IF('Données projet'!$A$114&gt;35,BY69+BX70-CG69,IF(A70&lt;'Données projet'!$A$114,$BV$205^A70,IF(A70='Données projet'!$A$114,'Données projet'!$B$114,BY69+BX70-CG69)))</f>
        <v>261.69999999999976</v>
      </c>
      <c r="BZ70" s="13">
        <f>BY70*VLOOKUP('Données projet'!$B$12,Paramètres!$A$1:$I$89,3,0)*VLOOKUP('Données projet'!$B$12,Paramètres!$A$1:$I$89,5,0)</f>
        <v>212.29103999999984</v>
      </c>
      <c r="CA70" s="13">
        <f t="shared" si="93"/>
        <v>52.435918977875581</v>
      </c>
      <c r="CB70" s="20">
        <f t="shared" si="64"/>
        <v>461.06612021979964</v>
      </c>
      <c r="CC70" s="59">
        <f t="shared" si="65"/>
        <v>754.39945355313296</v>
      </c>
      <c r="CD70" s="59">
        <f ca="1">AVERAGE(OFFSET($CC$3,0,0,'Données projet'!$E$12+1,1))-AVERAGE(OFFSET($H$3,0,0,'Données projet'!$E$12+1,1))</f>
        <v>230.68538392491388</v>
      </c>
      <c r="CE70" s="59">
        <f t="shared" si="94"/>
        <v>267.97457956620724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3.049440766965156</v>
      </c>
      <c r="CM70" s="21">
        <f>EXP(-LN(2)/2)*CM69+(1-EXP(-LN(2)/2))/(LN(2)/2)*CG70*CJ70*VLOOKUP('Données projet'!$B$12,Paramètres!$A$1:$I$89,3,0)*0.475*44/12</f>
        <v>2.9597389941571842E-5</v>
      </c>
      <c r="CN70" s="22">
        <f t="shared" si="66"/>
        <v>3.0494703643550976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170.39999999999989</v>
      </c>
      <c r="CU70" s="17">
        <f>CT70*VLOOKUP('Données projet'!$B$13,Paramètres!$A$1:$I$89,3,0)*VLOOKUP('Données projet'!$B$13,Paramètres!$A$1:$I$89,5,0)</f>
        <v>194.0515199999999</v>
      </c>
      <c r="CV70" s="13">
        <f t="shared" si="95"/>
        <v>48.434583476654296</v>
      </c>
      <c r="CW70" s="20">
        <f t="shared" si="67"/>
        <v>422.32996355517275</v>
      </c>
      <c r="CX70" s="59">
        <f t="shared" si="68"/>
        <v>715.66329688850601</v>
      </c>
      <c r="CY70" s="59">
        <f ca="1">AVERAGE(OFFSET($CX$3,0,0,'Données projet'!$E$13+1,1))-AVERAGE(OFFSET($H$3,0,0,'Données projet'!$E$13+1,1))</f>
        <v>242.1473060698724</v>
      </c>
      <c r="CZ70" s="59">
        <f t="shared" si="96"/>
        <v>96.127995920458659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0</v>
      </c>
      <c r="EP70" s="59">
        <f t="shared" si="100"/>
        <v>0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179.86010141761648</v>
      </c>
      <c r="T71" s="59">
        <f t="shared" si="88"/>
        <v>367.01744242396057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30.968833186367956</v>
      </c>
      <c r="AA71" s="21">
        <f>EXP(-LN(2)/25)*AA70+(1-EXP(-LN(2)/25))/(LN(2)/25)*Calculateur!V71*Calculateur!X71*VLOOKUP('Données projet'!$B$9,Paramètres!$A$1:$I$89,3,0)*0.475*44/12</f>
        <v>20.526304405056994</v>
      </c>
      <c r="AB71" s="21">
        <f>EXP(-LN(2)/2)*AB70+(1-EXP(-LN(2)/2))/(LN(2)/2)*V71*Y71*VLOOKUP('Données projet'!$B$9,Paramètres!$A$1:$I$89,3,0)*0.475*44/12</f>
        <v>8.6672872716402234E-4</v>
      </c>
      <c r="AC71" s="22">
        <f t="shared" si="57"/>
        <v>51.49600432015211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14.3</v>
      </c>
      <c r="AI71" s="13">
        <f>IF('Données projet'!$A$62&gt;35,AI70+AH71-AQ70,IF(A71&lt;'Données projet'!$A$62,$AF$205^A71,IF(A71='Données projet'!$A$62,'Données projet'!$B$62,AI70+AH71-AQ70)))</f>
        <v>528.39999999999964</v>
      </c>
      <c r="AJ71" s="13">
        <f>AI71*VLOOKUP('Données projet'!$B$10,Paramètres!$A$1:$I$89,3,0)*VLOOKUP('Données projet'!$B$10,Paramètres!$A$1:$I$89,5,0)</f>
        <v>315.98319999999984</v>
      </c>
      <c r="AK71" s="13">
        <f t="shared" si="89"/>
        <v>74.516966854846643</v>
      </c>
      <c r="AL71" s="20">
        <f t="shared" si="58"/>
        <v>680.12112393885764</v>
      </c>
      <c r="AM71" s="59">
        <f t="shared" si="59"/>
        <v>973.45445727219089</v>
      </c>
      <c r="AN71" s="59">
        <f ca="1">AVERAGE(OFFSET($AM$3,0,0,'Données projet'!$E$10+1,1))-AVERAGE(OFFSET($H$3,0,0,'Données projet'!$E$10+1,1))</f>
        <v>318.09371753144256</v>
      </c>
      <c r="AO71" s="59">
        <f t="shared" si="90"/>
        <v>298.61479562586919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7.2059548161645415</v>
      </c>
      <c r="AW71" s="21">
        <f>EXP(-LN(2)/2)*AW70+(1-EXP(-LN(2)/2))/(LN(2)/2)*AQ71*AT71*VLOOKUP('Données projet'!$B$10,Paramètres!$A$1:$I$89,3,0)*0.475*44/12</f>
        <v>5.7698130871809065E-5</v>
      </c>
      <c r="AX71" s="21">
        <f t="shared" si="60"/>
        <v>8.8543098748042706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35.999999999999943</v>
      </c>
      <c r="BE71" s="13">
        <f>BD71*VLOOKUP('Données projet'!$B$11,Paramètres!$A$1:$I$89,3,0)*VLOOKUP('Données projet'!$B$11,Paramètres!$A$1:$I$89,5,0)</f>
        <v>31.449599999999958</v>
      </c>
      <c r="BF71" s="13">
        <f t="shared" si="91"/>
        <v>9.7016318496336709</v>
      </c>
      <c r="BG71" s="20">
        <f t="shared" si="61"/>
        <v>71.671728804778567</v>
      </c>
      <c r="BH71" s="59">
        <f t="shared" si="62"/>
        <v>365.0050621381119</v>
      </c>
      <c r="BI71" s="59">
        <f ca="1">AVERAGE(OFFSET($BH$3,0,0,'Données projet'!$E$11+1,1))-AVERAGE(OFFSET($H$3,0,0,'Données projet'!$E$11+1,1))</f>
        <v>247.43282553724879</v>
      </c>
      <c r="BJ71" s="59">
        <f t="shared" si="92"/>
        <v>637.29471578895527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5.247317419547862E-4</v>
      </c>
      <c r="BS71" s="22">
        <f t="shared" si="63"/>
        <v>5.247317419547862E-4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4.0999999999999996</v>
      </c>
      <c r="BY71" s="12">
        <f>IF('Données projet'!$A$114&gt;35,BY70+BX71-CG70,IF(A71&lt;'Données projet'!$A$114,$BV$205^A71,IF(A71='Données projet'!$A$114,'Données projet'!$B$114,BY70+BX71-CG70)))</f>
        <v>265.79999999999978</v>
      </c>
      <c r="BZ71" s="13">
        <f>BY71*VLOOKUP('Données projet'!$B$12,Paramètres!$A$1:$I$89,3,0)*VLOOKUP('Données projet'!$B$12,Paramètres!$A$1:$I$89,5,0)</f>
        <v>215.61695999999984</v>
      </c>
      <c r="CA71" s="13">
        <f t="shared" si="93"/>
        <v>53.161140765943969</v>
      </c>
      <c r="CB71" s="20">
        <f t="shared" si="64"/>
        <v>468.12185883401872</v>
      </c>
      <c r="CC71" s="59">
        <f t="shared" si="65"/>
        <v>761.45519216735204</v>
      </c>
      <c r="CD71" s="59">
        <f ca="1">AVERAGE(OFFSET($CC$3,0,0,'Données projet'!$E$12+1,1))-AVERAGE(OFFSET($H$3,0,0,'Données projet'!$E$12+1,1))</f>
        <v>230.68538392491388</v>
      </c>
      <c r="CE71" s="59">
        <f t="shared" si="94"/>
        <v>267.97457956620724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2.9660536488293734</v>
      </c>
      <c r="CM71" s="21">
        <f>EXP(-LN(2)/2)*CM70+(1-EXP(-LN(2)/2))/(LN(2)/2)*CG71*CJ71*VLOOKUP('Données projet'!$B$12,Paramètres!$A$1:$I$89,3,0)*0.475*44/12</f>
        <v>2.0928515133107964E-5</v>
      </c>
      <c r="CN71" s="22">
        <f t="shared" si="66"/>
        <v>2.9660745773445063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175.59999999999988</v>
      </c>
      <c r="CU71" s="17">
        <f>CT71*VLOOKUP('Données projet'!$B$13,Paramètres!$A$1:$I$89,3,0)*VLOOKUP('Données projet'!$B$13,Paramètres!$A$1:$I$89,5,0)</f>
        <v>199.97327999999985</v>
      </c>
      <c r="CV71" s="13">
        <f t="shared" si="95"/>
        <v>49.73829543245504</v>
      </c>
      <c r="CW71" s="20">
        <f t="shared" si="67"/>
        <v>434.91432721152552</v>
      </c>
      <c r="CX71" s="59">
        <f t="shared" si="68"/>
        <v>728.24766054485883</v>
      </c>
      <c r="CY71" s="59">
        <f ca="1">AVERAGE(OFFSET($CX$3,0,0,'Données projet'!$E$13+1,1))-AVERAGE(OFFSET($H$3,0,0,'Données projet'!$E$13+1,1))</f>
        <v>242.1473060698724</v>
      </c>
      <c r="CZ71" s="59">
        <f t="shared" si="96"/>
        <v>96.127995920458659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0</v>
      </c>
      <c r="EP71" s="59">
        <f t="shared" si="100"/>
        <v>0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179.86010141761648</v>
      </c>
      <c r="T72" s="59">
        <f t="shared" si="88"/>
        <v>367.01744242396057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30.361553256706379</v>
      </c>
      <c r="AA72" s="21">
        <f>EXP(-LN(2)/25)*AA71+(1-EXP(-LN(2)/25))/(LN(2)/25)*Calculateur!V72*Calculateur!X72*VLOOKUP('Données projet'!$B$9,Paramètres!$A$1:$I$89,3,0)*0.475*44/12</f>
        <v>19.965011531669276</v>
      </c>
      <c r="AB72" s="21">
        <f>EXP(-LN(2)/2)*AB71+(1-EXP(-LN(2)/2))/(LN(2)/2)*V72*Y72*VLOOKUP('Données projet'!$B$9,Paramètres!$A$1:$I$89,3,0)*0.475*44/12</f>
        <v>6.1286976042686518E-4</v>
      </c>
      <c r="AC72" s="22">
        <f t="shared" si="57"/>
        <v>50.32717765813608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14.3</v>
      </c>
      <c r="AI72" s="13">
        <f>IF('Données projet'!$A$62&gt;35,AI71+AH72-AQ71,IF(A72&lt;'Données projet'!$A$62,$AF$205^A72,IF(A72='Données projet'!$A$62,'Données projet'!$B$62,AI71+AH72-AQ71)))</f>
        <v>542.69999999999959</v>
      </c>
      <c r="AJ72" s="13">
        <f>AI72*VLOOKUP('Données projet'!$B$10,Paramètres!$A$1:$I$89,3,0)*VLOOKUP('Données projet'!$B$10,Paramètres!$A$1:$I$89,5,0)</f>
        <v>324.53459999999978</v>
      </c>
      <c r="AK72" s="13">
        <f t="shared" si="89"/>
        <v>76.29609131098816</v>
      </c>
      <c r="AL72" s="20">
        <f t="shared" si="58"/>
        <v>698.11345403330404</v>
      </c>
      <c r="AM72" s="59">
        <f t="shared" si="59"/>
        <v>991.44678736663741</v>
      </c>
      <c r="AN72" s="59">
        <f ca="1">AVERAGE(OFFSET($AM$3,0,0,'Données projet'!$E$10+1,1))-AVERAGE(OFFSET($H$3,0,0,'Données projet'!$E$10+1,1))</f>
        <v>318.09371753144256</v>
      </c>
      <c r="AO72" s="59">
        <f t="shared" si="90"/>
        <v>298.61479562586919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7.0089076027718278</v>
      </c>
      <c r="AW72" s="21">
        <f>EXP(-LN(2)/2)*AW71+(1-EXP(-LN(2)/2))/(LN(2)/2)*AQ72*AT72*VLOOKUP('Données projet'!$B$10,Paramètres!$A$1:$I$89,3,0)*0.475*44/12</f>
        <v>4.079873960124508E-5</v>
      </c>
      <c r="AX72" s="21">
        <f t="shared" si="60"/>
        <v>8.6249236561428244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35.999999999999943</v>
      </c>
      <c r="BE72" s="13">
        <f>BD72*VLOOKUP('Données projet'!$B$11,Paramètres!$A$1:$I$89,3,0)*VLOOKUP('Données projet'!$B$11,Paramètres!$A$1:$I$89,5,0)</f>
        <v>31.449599999999958</v>
      </c>
      <c r="BF72" s="13">
        <f t="shared" si="91"/>
        <v>9.7016318496336709</v>
      </c>
      <c r="BG72" s="20">
        <f t="shared" si="61"/>
        <v>71.671728804778567</v>
      </c>
      <c r="BH72" s="59">
        <f t="shared" si="62"/>
        <v>365.0050621381119</v>
      </c>
      <c r="BI72" s="59">
        <f ca="1">AVERAGE(OFFSET($BH$3,0,0,'Données projet'!$E$11+1,1))-AVERAGE(OFFSET($H$3,0,0,'Données projet'!$E$11+1,1))</f>
        <v>247.43282553724879</v>
      </c>
      <c r="BJ72" s="59">
        <f t="shared" si="92"/>
        <v>637.29471578895527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3.7104137304005893E-4</v>
      </c>
      <c r="BS72" s="22">
        <f t="shared" si="63"/>
        <v>3.7104137304005893E-4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4.0999999999999996</v>
      </c>
      <c r="BY72" s="12">
        <f>IF('Données projet'!$A$114&gt;35,BY71+BX72-CG71,IF(A72&lt;'Données projet'!$A$114,$BV$205^A72,IF(A72='Données projet'!$A$114,'Données projet'!$B$114,BY71+BX72-CG71)))</f>
        <v>269.89999999999981</v>
      </c>
      <c r="BZ72" s="13">
        <f>BY72*VLOOKUP('Données projet'!$B$12,Paramètres!$A$1:$I$89,3,0)*VLOOKUP('Données projet'!$B$12,Paramètres!$A$1:$I$89,5,0)</f>
        <v>218.94287999999986</v>
      </c>
      <c r="CA72" s="13">
        <f t="shared" si="93"/>
        <v>53.885061542657262</v>
      </c>
      <c r="CB72" s="20">
        <f t="shared" si="64"/>
        <v>475.17533152012783</v>
      </c>
      <c r="CC72" s="59">
        <f t="shared" si="65"/>
        <v>768.50866485346114</v>
      </c>
      <c r="CD72" s="59">
        <f ca="1">AVERAGE(OFFSET($CC$3,0,0,'Données projet'!$E$12+1,1))-AVERAGE(OFFSET($H$3,0,0,'Données projet'!$E$12+1,1))</f>
        <v>230.68538392491388</v>
      </c>
      <c r="CE72" s="59">
        <f t="shared" si="94"/>
        <v>267.97457956620724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2.8849467558241519</v>
      </c>
      <c r="CM72" s="21">
        <f>EXP(-LN(2)/2)*CM71+(1-EXP(-LN(2)/2))/(LN(2)/2)*CG72*CJ72*VLOOKUP('Données projet'!$B$12,Paramètres!$A$1:$I$89,3,0)*0.475*44/12</f>
        <v>1.4798694970785923E-5</v>
      </c>
      <c r="CN72" s="22">
        <f t="shared" si="66"/>
        <v>2.8849615545191227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180.79999999999987</v>
      </c>
      <c r="CU72" s="17">
        <f>CT72*VLOOKUP('Données projet'!$B$13,Paramètres!$A$1:$I$89,3,0)*VLOOKUP('Données projet'!$B$13,Paramètres!$A$1:$I$89,5,0)</f>
        <v>205.89503999999985</v>
      </c>
      <c r="CV72" s="13">
        <f t="shared" si="95"/>
        <v>51.037520634277406</v>
      </c>
      <c r="CW72" s="20">
        <f t="shared" si="67"/>
        <v>447.4908764380329</v>
      </c>
      <c r="CX72" s="59">
        <f t="shared" si="68"/>
        <v>740.82420977136621</v>
      </c>
      <c r="CY72" s="59">
        <f ca="1">AVERAGE(OFFSET($CX$3,0,0,'Données projet'!$E$13+1,1))-AVERAGE(OFFSET($H$3,0,0,'Données projet'!$E$13+1,1))</f>
        <v>242.1473060698724</v>
      </c>
      <c r="CZ72" s="59">
        <f t="shared" si="96"/>
        <v>96.127995920458659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0</v>
      </c>
      <c r="EP72" s="59">
        <f t="shared" si="100"/>
        <v>0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179.86010141761648</v>
      </c>
      <c r="T73" s="59">
        <f t="shared" si="88"/>
        <v>367.01744242396057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29.766181716061283</v>
      </c>
      <c r="AA73" s="21">
        <f>EXP(-LN(2)/25)*AA72+(1-EXP(-LN(2)/25))/(LN(2)/25)*Calculateur!V73*Calculateur!X73*VLOOKUP('Données projet'!$B$9,Paramètres!$A$1:$I$89,3,0)*0.475*44/12</f>
        <v>19.419067241421455</v>
      </c>
      <c r="AB73" s="21">
        <f>EXP(-LN(2)/2)*AB72+(1-EXP(-LN(2)/2))/(LN(2)/2)*V73*Y73*VLOOKUP('Données projet'!$B$9,Paramètres!$A$1:$I$89,3,0)*0.475*44/12</f>
        <v>4.3336436358201117E-4</v>
      </c>
      <c r="AC73" s="22">
        <f t="shared" si="57"/>
        <v>49.185682321846322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557</v>
      </c>
      <c r="AG73" s="12">
        <f>VLOOKUP(A73,'Données projet'!$A$61:$I$81,9,0)</f>
        <v>14.3</v>
      </c>
      <c r="AH73" s="12">
        <f t="array" ref="AH73">INDEX(AG:AG,MIN(IF(ISNUMBER(AG73:AG269),ROW(AG73:AG269),"")))</f>
        <v>14.3</v>
      </c>
      <c r="AI73" s="13">
        <f>IF('Données projet'!$A$62&gt;35,AI72+AH73-AQ72,IF(A73&lt;'Données projet'!$A$62,$AF$205^A73,IF(A73='Données projet'!$A$62,'Données projet'!$B$62,AI72+AH73-AQ72)))</f>
        <v>556.99999999999955</v>
      </c>
      <c r="AJ73" s="13">
        <f>AI73*VLOOKUP('Données projet'!$B$10,Paramètres!$A$1:$I$89,3,0)*VLOOKUP('Données projet'!$B$10,Paramètres!$A$1:$I$89,5,0)</f>
        <v>333.08599999999973</v>
      </c>
      <c r="AK73" s="13">
        <f t="shared" si="89"/>
        <v>78.069766692034491</v>
      </c>
      <c r="AL73" s="20">
        <f t="shared" si="58"/>
        <v>716.09629365529281</v>
      </c>
      <c r="AM73" s="59">
        <f t="shared" si="59"/>
        <v>1009.4296269886261</v>
      </c>
      <c r="AN73" s="59">
        <f ca="1">AVERAGE(OFFSET($AM$3,0,0,'Données projet'!$E$10+1,1))-AVERAGE(OFFSET($H$3,0,0,'Données projet'!$E$10+1,1))</f>
        <v>318.09371753144256</v>
      </c>
      <c r="AO73" s="59">
        <f t="shared" si="90"/>
        <v>298.61479562586919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6.8172486557916008</v>
      </c>
      <c r="AW73" s="21">
        <f>EXP(-LN(2)/2)*AW72+(1-EXP(-LN(2)/2))/(LN(2)/2)*AQ73*AT73*VLOOKUP('Données projet'!$B$10,Paramètres!$A$1:$I$89,3,0)*0.475*44/12</f>
        <v>2.8849065435904539E-5</v>
      </c>
      <c r="AX73" s="21">
        <f t="shared" si="60"/>
        <v>8.4015644703926906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35.999999999999943</v>
      </c>
      <c r="BE73" s="13">
        <f>BD73*VLOOKUP('Données projet'!$B$11,Paramètres!$A$1:$I$89,3,0)*VLOOKUP('Données projet'!$B$11,Paramètres!$A$1:$I$89,5,0)</f>
        <v>31.449599999999958</v>
      </c>
      <c r="BF73" s="13">
        <f t="shared" si="91"/>
        <v>9.7016318496336709</v>
      </c>
      <c r="BG73" s="20">
        <f t="shared" si="61"/>
        <v>71.671728804778567</v>
      </c>
      <c r="BH73" s="59">
        <f t="shared" si="62"/>
        <v>365.0050621381119</v>
      </c>
      <c r="BI73" s="59">
        <f ca="1">AVERAGE(OFFSET($BH$3,0,0,'Données projet'!$E$11+1,1))-AVERAGE(OFFSET($H$3,0,0,'Données projet'!$E$11+1,1))</f>
        <v>247.43282553724879</v>
      </c>
      <c r="BJ73" s="59">
        <f t="shared" si="92"/>
        <v>637.29471578895527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2.623658709773931E-4</v>
      </c>
      <c r="BS73" s="22">
        <f t="shared" si="63"/>
        <v>2.623658709773931E-4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274</v>
      </c>
      <c r="BW73" s="12">
        <f>VLOOKUP(A73,'Données projet'!$A$113:$I$133,9,0)</f>
        <v>4.0999999999999996</v>
      </c>
      <c r="BX73" s="12">
        <f t="array" ref="BX73">INDEX(BW:BW,MIN(IF(ISNUMBER(BW73:BW269),ROW(BW73:BW269),"")))</f>
        <v>4.0999999999999996</v>
      </c>
      <c r="BY73" s="12">
        <f>IF('Données projet'!$A$114&gt;35,BY72+BX73-CG72,IF(A73&lt;'Données projet'!$A$114,$BV$205^A73,IF(A73='Données projet'!$A$114,'Données projet'!$B$114,BY72+BX73-CG72)))</f>
        <v>273.99999999999983</v>
      </c>
      <c r="BZ73" s="13">
        <f>BY73*VLOOKUP('Données projet'!$B$12,Paramètres!$A$1:$I$89,3,0)*VLOOKUP('Données projet'!$B$12,Paramètres!$A$1:$I$89,5,0)</f>
        <v>222.26879999999986</v>
      </c>
      <c r="CA73" s="13">
        <f t="shared" si="93"/>
        <v>54.607703354107656</v>
      </c>
      <c r="CB73" s="20">
        <f t="shared" si="64"/>
        <v>482.22657667507048</v>
      </c>
      <c r="CC73" s="59">
        <f t="shared" si="65"/>
        <v>775.55991000840379</v>
      </c>
      <c r="CD73" s="59">
        <f ca="1">AVERAGE(OFFSET($CC$3,0,0,'Données projet'!$E$12+1,1))-AVERAGE(OFFSET($H$3,0,0,'Données projet'!$E$12+1,1))</f>
        <v>230.68538392491388</v>
      </c>
      <c r="CE73" s="59">
        <f t="shared" si="94"/>
        <v>267.97457956620724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2.8060577350733844</v>
      </c>
      <c r="CM73" s="21">
        <f>EXP(-LN(2)/2)*CM72+(1-EXP(-LN(2)/2))/(LN(2)/2)*CG73*CJ73*VLOOKUP('Données projet'!$B$12,Paramètres!$A$1:$I$89,3,0)*0.475*44/12</f>
        <v>1.0464257566553984E-5</v>
      </c>
      <c r="CN73" s="22">
        <f t="shared" si="66"/>
        <v>2.8060681993309511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185.99999999999986</v>
      </c>
      <c r="CU73" s="17">
        <f>CT73*VLOOKUP('Données projet'!$B$13,Paramètres!$A$1:$I$89,3,0)*VLOOKUP('Données projet'!$B$13,Paramètres!$A$1:$I$89,5,0)</f>
        <v>211.81679999999983</v>
      </c>
      <c r="CV73" s="13">
        <f t="shared" si="95"/>
        <v>52.332402945946782</v>
      </c>
      <c r="CW73" s="20">
        <f t="shared" si="67"/>
        <v>460.05986179752364</v>
      </c>
      <c r="CX73" s="59">
        <f t="shared" si="68"/>
        <v>753.39319513085695</v>
      </c>
      <c r="CY73" s="59">
        <f ca="1">AVERAGE(OFFSET($CX$3,0,0,'Données projet'!$E$13+1,1))-AVERAGE(OFFSET($H$3,0,0,'Données projet'!$E$13+1,1))</f>
        <v>242.1473060698724</v>
      </c>
      <c r="CZ73" s="59">
        <f t="shared" si="96"/>
        <v>96.127995920458659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0</v>
      </c>
      <c r="EP73" s="59">
        <f t="shared" si="100"/>
        <v>0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179.86010141761648</v>
      </c>
      <c r="T74" s="59">
        <f t="shared" si="88"/>
        <v>367.01744242396057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29.182485048187452</v>
      </c>
      <c r="AA74" s="21">
        <f>EXP(-LN(2)/25)*AA73+(1-EXP(-LN(2)/25))/(LN(2)/25)*Calculateur!V74*Calculateur!X74*VLOOKUP('Données projet'!$B$9,Paramètres!$A$1:$I$89,3,0)*0.475*44/12</f>
        <v>18.888051826500423</v>
      </c>
      <c r="AB74" s="21">
        <f>EXP(-LN(2)/2)*AB73+(1-EXP(-LN(2)/2))/(LN(2)/2)*V74*Y74*VLOOKUP('Données projet'!$B$9,Paramètres!$A$1:$I$89,3,0)*0.475*44/12</f>
        <v>3.0643488021343259E-4</v>
      </c>
      <c r="AC74" s="22">
        <f t="shared" si="57"/>
        <v>48.07084330956809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</v>
      </c>
      <c r="AI74" s="13">
        <f>IF('Données projet'!$A$62&gt;35,AI73+AH74-AQ73,IF(A74&lt;'Données projet'!$A$62,$AF$205^A74,IF(A74='Données projet'!$A$62,'Données projet'!$B$62,AI73+AH74-AQ73)))</f>
        <v>492.7999999999995</v>
      </c>
      <c r="AJ74" s="13">
        <f>AI74*VLOOKUP('Données projet'!$B$10,Paramètres!$A$1:$I$89,3,0)*VLOOKUP('Données projet'!$B$10,Paramètres!$A$1:$I$89,5,0)</f>
        <v>294.69439999999975</v>
      </c>
      <c r="AK74" s="13">
        <f t="shared" si="89"/>
        <v>70.063053488002708</v>
      </c>
      <c r="AL74" s="20">
        <f t="shared" si="58"/>
        <v>635.28589815827092</v>
      </c>
      <c r="AM74" s="59">
        <f t="shared" si="59"/>
        <v>928.6192314916043</v>
      </c>
      <c r="AN74" s="59">
        <f ca="1">AVERAGE(OFFSET($AM$3,0,0,'Données projet'!$E$10+1,1))-AVERAGE(OFFSET($H$3,0,0,'Données projet'!$E$10+1,1))</f>
        <v>318.09371753144256</v>
      </c>
      <c r="AO74" s="59">
        <f t="shared" si="90"/>
        <v>298.61479562586919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6.6308306327954538</v>
      </c>
      <c r="AW74" s="21">
        <f>EXP(-LN(2)/2)*AW73+(1-EXP(-LN(2)/2))/(LN(2)/2)*AQ74*AT74*VLOOKUP('Données projet'!$B$10,Paramètres!$A$1:$I$89,3,0)*0.475*44/12</f>
        <v>2.0399369800622543E-5</v>
      </c>
      <c r="AX74" s="21">
        <f t="shared" si="60"/>
        <v>8.1840710966263881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35.999999999999943</v>
      </c>
      <c r="BE74" s="13">
        <f>BD74*VLOOKUP('Données projet'!$B$11,Paramètres!$A$1:$I$89,3,0)*VLOOKUP('Données projet'!$B$11,Paramètres!$A$1:$I$89,5,0)</f>
        <v>31.449599999999958</v>
      </c>
      <c r="BF74" s="13">
        <f t="shared" si="91"/>
        <v>9.7016318496336709</v>
      </c>
      <c r="BG74" s="20">
        <f t="shared" si="61"/>
        <v>71.671728804778567</v>
      </c>
      <c r="BH74" s="59">
        <f t="shared" si="62"/>
        <v>365.0050621381119</v>
      </c>
      <c r="BI74" s="59">
        <f ca="1">AVERAGE(OFFSET($BH$3,0,0,'Données projet'!$E$11+1,1))-AVERAGE(OFFSET($H$3,0,0,'Données projet'!$E$11+1,1))</f>
        <v>247.43282553724879</v>
      </c>
      <c r="BJ74" s="59">
        <f t="shared" si="92"/>
        <v>637.29471578895527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1.8552068652002946E-4</v>
      </c>
      <c r="BS74" s="22">
        <f t="shared" si="63"/>
        <v>1.8552068652002946E-4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3.1</v>
      </c>
      <c r="BY74" s="12">
        <f>IF('Données projet'!$A$114&gt;35,BY73+BX74-CG73,IF(A74&lt;'Données projet'!$A$114,$BV$205^A74,IF(A74='Données projet'!$A$114,'Données projet'!$B$114,BY73+BX74-CG73)))</f>
        <v>256.09999999999985</v>
      </c>
      <c r="BZ74" s="13">
        <f>BY74*VLOOKUP('Données projet'!$B$12,Paramètres!$A$1:$I$89,3,0)*VLOOKUP('Données projet'!$B$12,Paramètres!$A$1:$I$89,5,0)</f>
        <v>207.74831999999992</v>
      </c>
      <c r="CA74" s="13">
        <f t="shared" si="93"/>
        <v>51.443228678039006</v>
      </c>
      <c r="CB74" s="20">
        <f t="shared" si="64"/>
        <v>451.42528061425111</v>
      </c>
      <c r="CC74" s="59">
        <f t="shared" si="65"/>
        <v>744.75861394758442</v>
      </c>
      <c r="CD74" s="59">
        <f ca="1">AVERAGE(OFFSET($CC$3,0,0,'Données projet'!$E$12+1,1))-AVERAGE(OFFSET($H$3,0,0,'Données projet'!$E$12+1,1))</f>
        <v>230.68538392491388</v>
      </c>
      <c r="CE74" s="59">
        <f t="shared" si="94"/>
        <v>267.97457956620724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2.7293259387436399</v>
      </c>
      <c r="CM74" s="21">
        <f>EXP(-LN(2)/2)*CM73+(1-EXP(-LN(2)/2))/(LN(2)/2)*CG74*CJ74*VLOOKUP('Données projet'!$B$12,Paramètres!$A$1:$I$89,3,0)*0.475*44/12</f>
        <v>7.3993474853929621E-6</v>
      </c>
      <c r="CN74" s="22">
        <f t="shared" si="66"/>
        <v>2.7293333380911253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162.79999999999987</v>
      </c>
      <c r="CU74" s="17">
        <f>CT74*VLOOKUP('Données projet'!$B$13,Paramètres!$A$1:$I$89,3,0)*VLOOKUP('Données projet'!$B$13,Paramètres!$A$1:$I$89,5,0)</f>
        <v>185.39663999999985</v>
      </c>
      <c r="CV74" s="13">
        <f t="shared" si="95"/>
        <v>46.520767114093928</v>
      </c>
      <c r="CW74" s="20">
        <f t="shared" si="67"/>
        <v>403.92281739037998</v>
      </c>
      <c r="CX74" s="59">
        <f t="shared" si="68"/>
        <v>697.25615072371329</v>
      </c>
      <c r="CY74" s="59">
        <f ca="1">AVERAGE(OFFSET($CX$3,0,0,'Données projet'!$E$13+1,1))-AVERAGE(OFFSET($H$3,0,0,'Données projet'!$E$13+1,1))</f>
        <v>242.1473060698724</v>
      </c>
      <c r="CZ74" s="59">
        <f t="shared" si="96"/>
        <v>96.127995920458659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0</v>
      </c>
      <c r="EP74" s="59">
        <f t="shared" si="100"/>
        <v>0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179.86010141761648</v>
      </c>
      <c r="T75" s="59">
        <f t="shared" si="88"/>
        <v>367.01744242396057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28.610234315950816</v>
      </c>
      <c r="AA75" s="21">
        <f>EXP(-LN(2)/25)*AA74+(1-EXP(-LN(2)/25))/(LN(2)/25)*Calculateur!V75*Calculateur!X75*VLOOKUP('Données projet'!$B$9,Paramètres!$A$1:$I$89,3,0)*0.475*44/12</f>
        <v>18.371557056025292</v>
      </c>
      <c r="AB75" s="21">
        <f>EXP(-LN(2)/2)*AB74+(1-EXP(-LN(2)/2))/(LN(2)/2)*V75*Y75*VLOOKUP('Données projet'!$B$9,Paramètres!$A$1:$I$89,3,0)*0.475*44/12</f>
        <v>2.1668218179100559E-4</v>
      </c>
      <c r="AC75" s="22">
        <f t="shared" si="57"/>
        <v>46.982008054157902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</v>
      </c>
      <c r="AI75" s="13">
        <f>IF('Données projet'!$A$62&gt;35,AI74+AH75-AQ74,IF(A75&lt;'Données projet'!$A$62,$AF$205^A75,IF(A75='Données projet'!$A$62,'Données projet'!$B$62,AI74+AH75-AQ74)))</f>
        <v>504.59999999999951</v>
      </c>
      <c r="AJ75" s="13">
        <f>AI75*VLOOKUP('Données projet'!$B$10,Paramètres!$A$1:$I$89,3,0)*VLOOKUP('Données projet'!$B$10,Paramètres!$A$1:$I$89,5,0)</f>
        <v>301.75079999999974</v>
      </c>
      <c r="AK75" s="13">
        <f t="shared" si="89"/>
        <v>71.54337400924733</v>
      </c>
      <c r="AL75" s="20">
        <f t="shared" si="58"/>
        <v>650.15401973277187</v>
      </c>
      <c r="AM75" s="59">
        <f t="shared" si="59"/>
        <v>943.48735306610524</v>
      </c>
      <c r="AN75" s="59">
        <f ca="1">AVERAGE(OFFSET($AM$3,0,0,'Données projet'!$E$10+1,1))-AVERAGE(OFFSET($H$3,0,0,'Données projet'!$E$10+1,1))</f>
        <v>318.09371753144256</v>
      </c>
      <c r="AO75" s="59">
        <f t="shared" si="90"/>
        <v>298.61479562586919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6.4495102204414341</v>
      </c>
      <c r="AW75" s="21">
        <f>EXP(-LN(2)/2)*AW74+(1-EXP(-LN(2)/2))/(LN(2)/2)*AQ75*AT75*VLOOKUP('Données projet'!$B$10,Paramètres!$A$1:$I$89,3,0)*0.475*44/12</f>
        <v>1.4424532717952271E-5</v>
      </c>
      <c r="AX75" s="21">
        <f t="shared" si="60"/>
        <v>7.9722870113418969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35.999999999999943</v>
      </c>
      <c r="BE75" s="13">
        <f>BD75*VLOOKUP('Données projet'!$B$11,Paramètres!$A$1:$I$89,3,0)*VLOOKUP('Données projet'!$B$11,Paramètres!$A$1:$I$89,5,0)</f>
        <v>31.449599999999958</v>
      </c>
      <c r="BF75" s="13">
        <f t="shared" si="91"/>
        <v>9.7016318496336709</v>
      </c>
      <c r="BG75" s="20">
        <f t="shared" si="61"/>
        <v>71.671728804778567</v>
      </c>
      <c r="BH75" s="59">
        <f t="shared" si="62"/>
        <v>365.0050621381119</v>
      </c>
      <c r="BI75" s="59">
        <f ca="1">AVERAGE(OFFSET($BH$3,0,0,'Données projet'!$E$11+1,1))-AVERAGE(OFFSET($H$3,0,0,'Données projet'!$E$11+1,1))</f>
        <v>247.43282553724879</v>
      </c>
      <c r="BJ75" s="59">
        <f t="shared" si="92"/>
        <v>637.29471578895527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1.3118293548869655E-4</v>
      </c>
      <c r="BS75" s="22">
        <f t="shared" si="63"/>
        <v>1.3118293548869655E-4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3.1</v>
      </c>
      <c r="BY75" s="12">
        <f>IF('Données projet'!$A$114&gt;35,BY74+BX75-CG74,IF(A75&lt;'Données projet'!$A$114,$BV$205^A75,IF(A75='Données projet'!$A$114,'Données projet'!$B$114,BY74+BX75-CG74)))</f>
        <v>259.19999999999987</v>
      </c>
      <c r="BZ75" s="13">
        <f>BY75*VLOOKUP('Données projet'!$B$12,Paramètres!$A$1:$I$89,3,0)*VLOOKUP('Données projet'!$B$12,Paramètres!$A$1:$I$89,5,0)</f>
        <v>210.2630399999999</v>
      </c>
      <c r="CA75" s="13">
        <f t="shared" si="93"/>
        <v>51.993062367907982</v>
      </c>
      <c r="CB75" s="20">
        <f t="shared" si="64"/>
        <v>456.7627116241062</v>
      </c>
      <c r="CC75" s="59">
        <f t="shared" si="65"/>
        <v>750.09604495743952</v>
      </c>
      <c r="CD75" s="59">
        <f ca="1">AVERAGE(OFFSET($CC$3,0,0,'Données projet'!$E$12+1,1))-AVERAGE(OFFSET($H$3,0,0,'Données projet'!$E$12+1,1))</f>
        <v>230.68538392491388</v>
      </c>
      <c r="CE75" s="59">
        <f t="shared" si="94"/>
        <v>267.97457956620724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2.654692377419682</v>
      </c>
      <c r="CM75" s="21">
        <f>EXP(-LN(2)/2)*CM74+(1-EXP(-LN(2)/2))/(LN(2)/2)*CG75*CJ75*VLOOKUP('Données projet'!$B$12,Paramètres!$A$1:$I$89,3,0)*0.475*44/12</f>
        <v>5.2321287832769927E-6</v>
      </c>
      <c r="CN75" s="22">
        <f t="shared" si="66"/>
        <v>2.6546976095484651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167.59999999999988</v>
      </c>
      <c r="CU75" s="17">
        <f>CT75*VLOOKUP('Données projet'!$B$13,Paramètres!$A$1:$I$89,3,0)*VLOOKUP('Données projet'!$B$13,Paramètres!$A$1:$I$89,5,0)</f>
        <v>190.86287999999988</v>
      </c>
      <c r="CV75" s="13">
        <f t="shared" si="95"/>
        <v>47.730673029611843</v>
      </c>
      <c r="CW75" s="20">
        <f t="shared" si="67"/>
        <v>415.55043819324038</v>
      </c>
      <c r="CX75" s="59">
        <f t="shared" si="68"/>
        <v>708.8837715265737</v>
      </c>
      <c r="CY75" s="59">
        <f ca="1">AVERAGE(OFFSET($CX$3,0,0,'Données projet'!$E$13+1,1))-AVERAGE(OFFSET($H$3,0,0,'Données projet'!$E$13+1,1))</f>
        <v>242.1473060698724</v>
      </c>
      <c r="CZ75" s="59">
        <f t="shared" si="96"/>
        <v>96.127995920458659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0</v>
      </c>
      <c r="EP75" s="59">
        <f t="shared" si="100"/>
        <v>0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179.86010141761648</v>
      </c>
      <c r="T76" s="59">
        <f t="shared" si="88"/>
        <v>367.01744242396057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28.049205071534857</v>
      </c>
      <c r="AA76" s="21">
        <f>EXP(-LN(2)/25)*AA75+(1-EXP(-LN(2)/25))/(LN(2)/25)*Calculateur!V76*Calculateur!X76*VLOOKUP('Données projet'!$B$9,Paramètres!$A$1:$I$89,3,0)*0.475*44/12</f>
        <v>17.869185862210085</v>
      </c>
      <c r="AB76" s="21">
        <f>EXP(-LN(2)/2)*AB75+(1-EXP(-LN(2)/2))/(LN(2)/2)*V76*Y76*VLOOKUP('Données projet'!$B$9,Paramètres!$A$1:$I$89,3,0)*0.475*44/12</f>
        <v>1.532174401067163E-4</v>
      </c>
      <c r="AC76" s="22">
        <f t="shared" si="57"/>
        <v>45.918544151185053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11.8</v>
      </c>
      <c r="AI76" s="13">
        <f>IF('Données projet'!$A$62&gt;35,AI75+AH76-AQ75,IF(A76&lt;'Données projet'!$A$62,$AF$205^A76,IF(A76='Données projet'!$A$62,'Données projet'!$B$62,AI75+AH76-AQ75)))</f>
        <v>516.39999999999952</v>
      </c>
      <c r="AJ76" s="13">
        <f>AI76*VLOOKUP('Données projet'!$B$10,Paramètres!$A$1:$I$89,3,0)*VLOOKUP('Données projet'!$B$10,Paramètres!$A$1:$I$89,5,0)</f>
        <v>308.80719999999974</v>
      </c>
      <c r="AK76" s="13">
        <f t="shared" si="89"/>
        <v>73.019670192972768</v>
      </c>
      <c r="AL76" s="20">
        <f t="shared" si="58"/>
        <v>665.01513225276028</v>
      </c>
      <c r="AM76" s="59">
        <f t="shared" si="59"/>
        <v>958.34846558609365</v>
      </c>
      <c r="AN76" s="59">
        <f ca="1">AVERAGE(OFFSET($AM$3,0,0,'Données projet'!$E$10+1,1))-AVERAGE(OFFSET($H$3,0,0,'Données projet'!$E$10+1,1))</f>
        <v>318.09371753144256</v>
      </c>
      <c r="AO76" s="59">
        <f t="shared" si="90"/>
        <v>298.61479562586919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6.273148024298461</v>
      </c>
      <c r="AW76" s="21">
        <f>EXP(-LN(2)/2)*AW75+(1-EXP(-LN(2)/2))/(LN(2)/2)*AQ76*AT76*VLOOKUP('Données projet'!$B$10,Paramètres!$A$1:$I$89,3,0)*0.475*44/12</f>
        <v>1.0199684900311273E-5</v>
      </c>
      <c r="AX76" s="21">
        <f t="shared" si="60"/>
        <v>7.7660601491399675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35.999999999999943</v>
      </c>
      <c r="BE76" s="13">
        <f>BD76*VLOOKUP('Données projet'!$B$11,Paramètres!$A$1:$I$89,3,0)*VLOOKUP('Données projet'!$B$11,Paramètres!$A$1:$I$89,5,0)</f>
        <v>31.449599999999958</v>
      </c>
      <c r="BF76" s="13">
        <f t="shared" si="91"/>
        <v>9.7016318496336709</v>
      </c>
      <c r="BG76" s="20">
        <f t="shared" si="61"/>
        <v>71.671728804778567</v>
      </c>
      <c r="BH76" s="59">
        <f t="shared" si="62"/>
        <v>365.0050621381119</v>
      </c>
      <c r="BI76" s="59">
        <f ca="1">AVERAGE(OFFSET($BH$3,0,0,'Données projet'!$E$11+1,1))-AVERAGE(OFFSET($H$3,0,0,'Données projet'!$E$11+1,1))</f>
        <v>247.43282553724879</v>
      </c>
      <c r="BJ76" s="59">
        <f t="shared" si="92"/>
        <v>637.29471578895527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9.2760343260014732E-5</v>
      </c>
      <c r="BS76" s="22">
        <f t="shared" si="63"/>
        <v>9.2760343260014732E-5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3.1</v>
      </c>
      <c r="BY76" s="12">
        <f>IF('Données projet'!$A$114&gt;35,BY75+BX76-CG75,IF(A76&lt;'Données projet'!$A$114,$BV$205^A76,IF(A76='Données projet'!$A$114,'Données projet'!$B$114,BY75+BX76-CG75)))</f>
        <v>262.2999999999999</v>
      </c>
      <c r="BZ76" s="13">
        <f>BY76*VLOOKUP('Données projet'!$B$12,Paramètres!$A$1:$I$89,3,0)*VLOOKUP('Données projet'!$B$12,Paramètres!$A$1:$I$89,5,0)</f>
        <v>212.77775999999994</v>
      </c>
      <c r="CA76" s="13">
        <f t="shared" si="93"/>
        <v>52.542131131270303</v>
      </c>
      <c r="CB76" s="20">
        <f t="shared" si="64"/>
        <v>462.09881038696238</v>
      </c>
      <c r="CC76" s="59">
        <f t="shared" si="65"/>
        <v>755.4321437202957</v>
      </c>
      <c r="CD76" s="59">
        <f ca="1">AVERAGE(OFFSET($CC$3,0,0,'Données projet'!$E$12+1,1))-AVERAGE(OFFSET($H$3,0,0,'Données projet'!$E$12+1,1))</f>
        <v>230.68538392491388</v>
      </c>
      <c r="CE76" s="59">
        <f t="shared" si="94"/>
        <v>267.97457956620724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2.5820996747549358</v>
      </c>
      <c r="CM76" s="21">
        <f>EXP(-LN(2)/2)*CM75+(1-EXP(-LN(2)/2))/(LN(2)/2)*CG76*CJ76*VLOOKUP('Données projet'!$B$12,Paramètres!$A$1:$I$89,3,0)*0.475*44/12</f>
        <v>3.6996737426964819E-6</v>
      </c>
      <c r="CN76" s="22">
        <f t="shared" si="66"/>
        <v>2.5821033744286783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172.39999999999989</v>
      </c>
      <c r="CU76" s="17">
        <f>CT76*VLOOKUP('Données projet'!$B$13,Paramètres!$A$1:$I$89,3,0)*VLOOKUP('Données projet'!$B$13,Paramètres!$A$1:$I$89,5,0)</f>
        <v>196.32911999999988</v>
      </c>
      <c r="CV76" s="13">
        <f t="shared" si="95"/>
        <v>48.936551674182525</v>
      </c>
      <c r="CW76" s="20">
        <f t="shared" si="67"/>
        <v>427.17104483253434</v>
      </c>
      <c r="CX76" s="59">
        <f t="shared" si="68"/>
        <v>720.50437816586759</v>
      </c>
      <c r="CY76" s="59">
        <f ca="1">AVERAGE(OFFSET($CX$3,0,0,'Données projet'!$E$13+1,1))-AVERAGE(OFFSET($H$3,0,0,'Données projet'!$E$13+1,1))</f>
        <v>242.1473060698724</v>
      </c>
      <c r="CZ76" s="59">
        <f t="shared" si="96"/>
        <v>96.127995920458659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0</v>
      </c>
      <c r="EP76" s="59">
        <f t="shared" si="100"/>
        <v>0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179.86010141761648</v>
      </c>
      <c r="T77" s="59">
        <f t="shared" si="88"/>
        <v>367.01744242396057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27.499177268407845</v>
      </c>
      <c r="AA77" s="21">
        <f>EXP(-LN(2)/25)*AA76+(1-EXP(-LN(2)/25))/(LN(2)/25)*Calculateur!V77*Calculateur!X77*VLOOKUP('Données projet'!$B$9,Paramètres!$A$1:$I$89,3,0)*0.475*44/12</f>
        <v>17.380552035108305</v>
      </c>
      <c r="AB77" s="21">
        <f>EXP(-LN(2)/2)*AB76+(1-EXP(-LN(2)/2))/(LN(2)/2)*V77*Y77*VLOOKUP('Données projet'!$B$9,Paramètres!$A$1:$I$89,3,0)*0.475*44/12</f>
        <v>1.0834109089550279E-4</v>
      </c>
      <c r="AC77" s="22">
        <f t="shared" si="57"/>
        <v>44.879837644607044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11.8</v>
      </c>
      <c r="AI77" s="13">
        <f>IF('Données projet'!$A$62&gt;35,AI76+AH77-AQ76,IF(A77&lt;'Données projet'!$A$62,$AF$205^A77,IF(A77='Données projet'!$A$62,'Données projet'!$B$62,AI76+AH77-AQ76)))</f>
        <v>528.19999999999948</v>
      </c>
      <c r="AJ77" s="13">
        <f>AI77*VLOOKUP('Données projet'!$B$10,Paramètres!$A$1:$I$89,3,0)*VLOOKUP('Données projet'!$B$10,Paramètres!$A$1:$I$89,5,0)</f>
        <v>315.86359999999974</v>
      </c>
      <c r="AK77" s="13">
        <f t="shared" si="89"/>
        <v>74.492044582870264</v>
      </c>
      <c r="AL77" s="20">
        <f t="shared" si="58"/>
        <v>679.86941431516527</v>
      </c>
      <c r="AM77" s="59">
        <f t="shared" si="59"/>
        <v>973.20274764849864</v>
      </c>
      <c r="AN77" s="59">
        <f ca="1">AVERAGE(OFFSET($AM$3,0,0,'Données projet'!$E$10+1,1))-AVERAGE(OFFSET($H$3,0,0,'Données projet'!$E$10+1,1))</f>
        <v>318.09371753144256</v>
      </c>
      <c r="AO77" s="59">
        <f t="shared" si="90"/>
        <v>298.61479562586919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6.1016084616835027</v>
      </c>
      <c r="AW77" s="21">
        <f>EXP(-LN(2)/2)*AW76+(1-EXP(-LN(2)/2))/(LN(2)/2)*AQ77*AT77*VLOOKUP('Données projet'!$B$10,Paramètres!$A$1:$I$89,3,0)*0.475*44/12</f>
        <v>7.2122663589761365E-6</v>
      </c>
      <c r="AX77" s="21">
        <f t="shared" si="60"/>
        <v>7.5652427029344089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35.999999999999943</v>
      </c>
      <c r="BE77" s="13">
        <f>BD77*VLOOKUP('Données projet'!$B$11,Paramètres!$A$1:$I$89,3,0)*VLOOKUP('Données projet'!$B$11,Paramètres!$A$1:$I$89,5,0)</f>
        <v>31.449599999999958</v>
      </c>
      <c r="BF77" s="13">
        <f t="shared" si="91"/>
        <v>9.7016318496336709</v>
      </c>
      <c r="BG77" s="20">
        <f t="shared" si="61"/>
        <v>71.671728804778567</v>
      </c>
      <c r="BH77" s="59">
        <f t="shared" si="62"/>
        <v>365.0050621381119</v>
      </c>
      <c r="BI77" s="59">
        <f ca="1">AVERAGE(OFFSET($BH$3,0,0,'Données projet'!$E$11+1,1))-AVERAGE(OFFSET($H$3,0,0,'Données projet'!$E$11+1,1))</f>
        <v>247.43282553724879</v>
      </c>
      <c r="BJ77" s="59">
        <f t="shared" si="92"/>
        <v>637.29471578895527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6.5591467744348275E-5</v>
      </c>
      <c r="BS77" s="22">
        <f t="shared" si="63"/>
        <v>6.5591467744348275E-5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3.1</v>
      </c>
      <c r="BY77" s="12">
        <f>IF('Données projet'!$A$114&gt;35,BY76+BX77-CG76,IF(A77&lt;'Données projet'!$A$114,$BV$205^A77,IF(A77='Données projet'!$A$114,'Données projet'!$B$114,BY76+BX77-CG76)))</f>
        <v>265.39999999999992</v>
      </c>
      <c r="BZ77" s="13">
        <f>BY77*VLOOKUP('Données projet'!$B$12,Paramètres!$A$1:$I$89,3,0)*VLOOKUP('Données projet'!$B$12,Paramètres!$A$1:$I$89,5,0)</f>
        <v>215.29247999999993</v>
      </c>
      <c r="CA77" s="13">
        <f t="shared" si="93"/>
        <v>53.090445054256215</v>
      </c>
      <c r="CB77" s="20">
        <f t="shared" si="64"/>
        <v>467.43359446949609</v>
      </c>
      <c r="CC77" s="59">
        <f t="shared" si="65"/>
        <v>760.7669278028294</v>
      </c>
      <c r="CD77" s="59">
        <f ca="1">AVERAGE(OFFSET($CC$3,0,0,'Données projet'!$E$12+1,1))-AVERAGE(OFFSET($H$3,0,0,'Données projet'!$E$12+1,1))</f>
        <v>230.68538392491388</v>
      </c>
      <c r="CE77" s="59">
        <f t="shared" si="94"/>
        <v>267.97457956620724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2.5114920233620417</v>
      </c>
      <c r="CM77" s="21">
        <f>EXP(-LN(2)/2)*CM76+(1-EXP(-LN(2)/2))/(LN(2)/2)*CG77*CJ77*VLOOKUP('Données projet'!$B$12,Paramètres!$A$1:$I$89,3,0)*0.475*44/12</f>
        <v>2.6160643916384968E-6</v>
      </c>
      <c r="CN77" s="22">
        <f t="shared" si="66"/>
        <v>2.5114946394264335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177.1999999999999</v>
      </c>
      <c r="CU77" s="17">
        <f>CT77*VLOOKUP('Données projet'!$B$13,Paramètres!$A$1:$I$89,3,0)*VLOOKUP('Données projet'!$B$13,Paramètres!$A$1:$I$89,5,0)</f>
        <v>201.7953599999999</v>
      </c>
      <c r="CV77" s="13">
        <f t="shared" si="95"/>
        <v>50.13852805781471</v>
      </c>
      <c r="CW77" s="20">
        <f t="shared" si="67"/>
        <v>438.78485503402709</v>
      </c>
      <c r="CX77" s="59">
        <f t="shared" si="68"/>
        <v>732.1181883673604</v>
      </c>
      <c r="CY77" s="59">
        <f ca="1">AVERAGE(OFFSET($CX$3,0,0,'Données projet'!$E$13+1,1))-AVERAGE(OFFSET($H$3,0,0,'Données projet'!$E$13+1,1))</f>
        <v>242.1473060698724</v>
      </c>
      <c r="CZ77" s="59">
        <f t="shared" si="96"/>
        <v>96.127995920458659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0</v>
      </c>
      <c r="EP77" s="59">
        <f t="shared" si="100"/>
        <v>0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179.86010141761648</v>
      </c>
      <c r="T78" s="59">
        <f t="shared" si="88"/>
        <v>367.01744242396057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26.959935175016319</v>
      </c>
      <c r="AA78" s="21">
        <f>EXP(-LN(2)/25)*AA77+(1-EXP(-LN(2)/25))/(LN(2)/25)*Calculateur!V78*Calculateur!X78*VLOOKUP('Données projet'!$B$9,Paramètres!$A$1:$I$89,3,0)*0.475*44/12</f>
        <v>16.905279925704761</v>
      </c>
      <c r="AB78" s="21">
        <f>EXP(-LN(2)/2)*AB77+(1-EXP(-LN(2)/2))/(LN(2)/2)*V78*Y78*VLOOKUP('Données projet'!$B$9,Paramètres!$A$1:$I$89,3,0)*0.475*44/12</f>
        <v>7.6608720053358148E-5</v>
      </c>
      <c r="AC78" s="22">
        <f t="shared" si="57"/>
        <v>43.865291709441131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11.8</v>
      </c>
      <c r="AI78" s="13">
        <f>IF('Données projet'!$A$62&gt;35,AI77+AH78-AQ77,IF(A78&lt;'Données projet'!$A$62,$AF$205^A78,IF(A78='Données projet'!$A$62,'Données projet'!$B$62,AI77+AH78-AQ77)))</f>
        <v>539.99999999999943</v>
      </c>
      <c r="AJ78" s="13">
        <f>AI78*VLOOKUP('Données projet'!$B$10,Paramètres!$A$1:$I$89,3,0)*VLOOKUP('Données projet'!$B$10,Paramètres!$A$1:$I$89,5,0)</f>
        <v>322.91999999999967</v>
      </c>
      <c r="AK78" s="13">
        <f t="shared" si="89"/>
        <v>75.960594879408688</v>
      </c>
      <c r="AL78" s="20">
        <f t="shared" si="58"/>
        <v>694.71703608163625</v>
      </c>
      <c r="AM78" s="59">
        <f t="shared" si="59"/>
        <v>988.05036941496951</v>
      </c>
      <c r="AN78" s="59">
        <f ca="1">AVERAGE(OFFSET($AM$3,0,0,'Données projet'!$E$10+1,1))-AVERAGE(OFFSET($H$3,0,0,'Données projet'!$E$10+1,1))</f>
        <v>318.09371753144256</v>
      </c>
      <c r="AO78" s="59">
        <f t="shared" si="90"/>
        <v>298.61479562586919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5.9347596574291241</v>
      </c>
      <c r="AW78" s="21">
        <f>EXP(-LN(2)/2)*AW77+(1-EXP(-LN(2)/2))/(LN(2)/2)*AQ78*AT78*VLOOKUP('Données projet'!$B$10,Paramètres!$A$1:$I$89,3,0)*0.475*44/12</f>
        <v>5.0998424501556375E-6</v>
      </c>
      <c r="AX78" s="21">
        <f t="shared" si="60"/>
        <v>7.3696909529420731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35.999999999999943</v>
      </c>
      <c r="BE78" s="13">
        <f>BD78*VLOOKUP('Données projet'!$B$11,Paramètres!$A$1:$I$89,3,0)*VLOOKUP('Données projet'!$B$11,Paramètres!$A$1:$I$89,5,0)</f>
        <v>31.449599999999958</v>
      </c>
      <c r="BF78" s="13">
        <f t="shared" si="91"/>
        <v>9.7016318496336709</v>
      </c>
      <c r="BG78" s="20">
        <f t="shared" si="61"/>
        <v>71.671728804778567</v>
      </c>
      <c r="BH78" s="59">
        <f t="shared" si="62"/>
        <v>365.0050621381119</v>
      </c>
      <c r="BI78" s="59">
        <f ca="1">AVERAGE(OFFSET($BH$3,0,0,'Données projet'!$E$11+1,1))-AVERAGE(OFFSET($H$3,0,0,'Données projet'!$E$11+1,1))</f>
        <v>247.43282553724879</v>
      </c>
      <c r="BJ78" s="59">
        <f t="shared" si="92"/>
        <v>637.29471578895527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4.6380171630007366E-5</v>
      </c>
      <c r="BS78" s="22">
        <f t="shared" si="63"/>
        <v>4.6380171630007366E-5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3.1</v>
      </c>
      <c r="BY78" s="12">
        <f>IF('Données projet'!$A$114&gt;35,BY77+BX78-CG77,IF(A78&lt;'Données projet'!$A$114,$BV$205^A78,IF(A78='Données projet'!$A$114,'Données projet'!$B$114,BY77+BX78-CG77)))</f>
        <v>268.49999999999994</v>
      </c>
      <c r="BZ78" s="13">
        <f>BY78*VLOOKUP('Données projet'!$B$12,Paramètres!$A$1:$I$89,3,0)*VLOOKUP('Données projet'!$B$12,Paramètres!$A$1:$I$89,5,0)</f>
        <v>217.80719999999997</v>
      </c>
      <c r="CA78" s="13">
        <f t="shared" si="93"/>
        <v>53.638013973813976</v>
      </c>
      <c r="CB78" s="20">
        <f t="shared" si="64"/>
        <v>472.76708100439265</v>
      </c>
      <c r="CC78" s="59">
        <f t="shared" si="65"/>
        <v>766.10041433772597</v>
      </c>
      <c r="CD78" s="59">
        <f ca="1">AVERAGE(OFFSET($CC$3,0,0,'Données projet'!$E$12+1,1))-AVERAGE(OFFSET($H$3,0,0,'Données projet'!$E$12+1,1))</f>
        <v>230.68538392491388</v>
      </c>
      <c r="CE78" s="59">
        <f t="shared" si="94"/>
        <v>267.97457956620724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2.4428151419095814</v>
      </c>
      <c r="CM78" s="21">
        <f>EXP(-LN(2)/2)*CM77+(1-EXP(-LN(2)/2))/(LN(2)/2)*CG78*CJ78*VLOOKUP('Données projet'!$B$12,Paramètres!$A$1:$I$89,3,0)*0.475*44/12</f>
        <v>1.8498368713482412E-6</v>
      </c>
      <c r="CN78" s="22">
        <f t="shared" si="66"/>
        <v>2.4428169917464526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181.99999999999991</v>
      </c>
      <c r="CU78" s="17">
        <f>CT78*VLOOKUP('Données projet'!$B$13,Paramètres!$A$1:$I$89,3,0)*VLOOKUP('Données projet'!$B$13,Paramètres!$A$1:$I$89,5,0)</f>
        <v>207.2615999999999</v>
      </c>
      <c r="CV78" s="13">
        <f t="shared" si="95"/>
        <v>51.3367200324452</v>
      </c>
      <c r="CW78" s="20">
        <f t="shared" si="67"/>
        <v>450.39207405650853</v>
      </c>
      <c r="CX78" s="59">
        <f t="shared" si="68"/>
        <v>743.72540738984185</v>
      </c>
      <c r="CY78" s="59">
        <f ca="1">AVERAGE(OFFSET($CX$3,0,0,'Données projet'!$E$13+1,1))-AVERAGE(OFFSET($H$3,0,0,'Données projet'!$E$13+1,1))</f>
        <v>242.1473060698724</v>
      </c>
      <c r="CZ78" s="59">
        <f t="shared" si="96"/>
        <v>96.127995920458659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0</v>
      </c>
      <c r="EP78" s="59">
        <f t="shared" si="100"/>
        <v>0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179.86010141761648</v>
      </c>
      <c r="T79" s="59">
        <f t="shared" si="88"/>
        <v>367.01744242396057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26.431267290171004</v>
      </c>
      <c r="AA79" s="21">
        <f>EXP(-LN(2)/25)*AA78+(1-EXP(-LN(2)/25))/(LN(2)/25)*Calculateur!V79*Calculateur!X79*VLOOKUP('Données projet'!$B$9,Paramètres!$A$1:$I$89,3,0)*0.475*44/12</f>
        <v>16.443004157126332</v>
      </c>
      <c r="AB79" s="21">
        <f>EXP(-LN(2)/2)*AB78+(1-EXP(-LN(2)/2))/(LN(2)/2)*V79*Y79*VLOOKUP('Données projet'!$B$9,Paramètres!$A$1:$I$89,3,0)*0.475*44/12</f>
        <v>5.4170545447751396E-5</v>
      </c>
      <c r="AC79" s="22">
        <f t="shared" si="57"/>
        <v>42.874325617842779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11.8</v>
      </c>
      <c r="AI79" s="13">
        <f>IF('Données projet'!$A$62&gt;35,AI78+AH79-AQ78,IF(A79&lt;'Données projet'!$A$62,$AF$205^A79,IF(A79='Données projet'!$A$62,'Données projet'!$B$62,AI78+AH79-AQ78)))</f>
        <v>551.79999999999939</v>
      </c>
      <c r="AJ79" s="13">
        <f>AI79*VLOOKUP('Données projet'!$B$10,Paramètres!$A$1:$I$89,3,0)*VLOOKUP('Données projet'!$B$10,Paramètres!$A$1:$I$89,5,0)</f>
        <v>329.97639999999967</v>
      </c>
      <c r="AK79" s="13">
        <f t="shared" si="89"/>
        <v>77.42541426934028</v>
      </c>
      <c r="AL79" s="20">
        <f t="shared" si="58"/>
        <v>709.55815985243373</v>
      </c>
      <c r="AM79" s="59">
        <f t="shared" si="59"/>
        <v>1002.8914931857671</v>
      </c>
      <c r="AN79" s="59">
        <f ca="1">AVERAGE(OFFSET($AM$3,0,0,'Données projet'!$E$10+1,1))-AVERAGE(OFFSET($H$3,0,0,'Données projet'!$E$10+1,1))</f>
        <v>318.09371753144256</v>
      </c>
      <c r="AO79" s="59">
        <f t="shared" si="90"/>
        <v>298.61479562586919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5.7724733425012786</v>
      </c>
      <c r="AW79" s="21">
        <f>EXP(-LN(2)/2)*AW78+(1-EXP(-LN(2)/2))/(LN(2)/2)*AQ79*AT79*VLOOKUP('Données projet'!$B$10,Paramètres!$A$1:$I$89,3,0)*0.475*44/12</f>
        <v>3.6061331794880691E-6</v>
      </c>
      <c r="AX79" s="21">
        <f t="shared" si="60"/>
        <v>7.179265116826417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35.999999999999943</v>
      </c>
      <c r="BE79" s="13">
        <f>BD79*VLOOKUP('Données projet'!$B$11,Paramètres!$A$1:$I$89,3,0)*VLOOKUP('Données projet'!$B$11,Paramètres!$A$1:$I$89,5,0)</f>
        <v>31.449599999999958</v>
      </c>
      <c r="BF79" s="13">
        <f t="shared" si="91"/>
        <v>9.7016318496336709</v>
      </c>
      <c r="BG79" s="20">
        <f t="shared" si="61"/>
        <v>71.671728804778567</v>
      </c>
      <c r="BH79" s="59">
        <f t="shared" si="62"/>
        <v>365.0050621381119</v>
      </c>
      <c r="BI79" s="59">
        <f ca="1">AVERAGE(OFFSET($BH$3,0,0,'Données projet'!$E$11+1,1))-AVERAGE(OFFSET($H$3,0,0,'Données projet'!$E$11+1,1))</f>
        <v>247.43282553724879</v>
      </c>
      <c r="BJ79" s="59">
        <f t="shared" si="92"/>
        <v>637.29471578895527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3.2795733872174137E-5</v>
      </c>
      <c r="BS79" s="22">
        <f t="shared" si="63"/>
        <v>3.2795733872174137E-5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3.1</v>
      </c>
      <c r="BY79" s="12">
        <f>IF('Données projet'!$A$114&gt;35,BY78+BX79-CG78,IF(A79&lt;'Données projet'!$A$114,$BV$205^A79,IF(A79='Données projet'!$A$114,'Données projet'!$B$114,BY78+BX79-CG78)))</f>
        <v>271.59999999999997</v>
      </c>
      <c r="BZ79" s="13">
        <f>BY79*VLOOKUP('Données projet'!$B$12,Paramètres!$A$1:$I$89,3,0)*VLOOKUP('Données projet'!$B$12,Paramètres!$A$1:$I$89,5,0)</f>
        <v>220.32192000000001</v>
      </c>
      <c r="CA79" s="13">
        <f t="shared" si="93"/>
        <v>54.18484748666976</v>
      </c>
      <c r="CB79" s="20">
        <f t="shared" si="64"/>
        <v>478.09928670594991</v>
      </c>
      <c r="CC79" s="59">
        <f t="shared" si="65"/>
        <v>771.43262003928317</v>
      </c>
      <c r="CD79" s="59">
        <f ca="1">AVERAGE(OFFSET($CC$3,0,0,'Données projet'!$E$12+1,1))-AVERAGE(OFFSET($H$3,0,0,'Données projet'!$E$12+1,1))</f>
        <v>230.68538392491388</v>
      </c>
      <c r="CE79" s="59">
        <f t="shared" si="94"/>
        <v>267.97457956620724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2.3760162333919985</v>
      </c>
      <c r="CM79" s="21">
        <f>EXP(-LN(2)/2)*CM78+(1-EXP(-LN(2)/2))/(LN(2)/2)*CG79*CJ79*VLOOKUP('Données projet'!$B$12,Paramètres!$A$1:$I$89,3,0)*0.475*44/12</f>
        <v>1.3080321958192486E-6</v>
      </c>
      <c r="CN79" s="22">
        <f t="shared" si="66"/>
        <v>2.3760175414241944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</v>
      </c>
      <c r="CT79" s="12">
        <f>IF('Données projet'!$A$140&gt;35,CT78+CS79-DB78,IF(A79&lt;'Données projet'!$A$140,$CQ$205^A79,IF(A79='Données projet'!$A$140,'Données projet'!$B$140,CT78+CS79-DB78)))</f>
        <v>186.79999999999993</v>
      </c>
      <c r="CU79" s="17">
        <f>CT79*VLOOKUP('Données projet'!$B$13,Paramètres!$A$1:$I$89,3,0)*VLOOKUP('Données projet'!$B$13,Paramètres!$A$1:$I$89,5,0)</f>
        <v>212.72783999999993</v>
      </c>
      <c r="CV79" s="13">
        <f t="shared" si="95"/>
        <v>52.53123887963983</v>
      </c>
      <c r="CW79" s="20">
        <f t="shared" si="67"/>
        <v>461.99289571537264</v>
      </c>
      <c r="CX79" s="59">
        <f t="shared" si="68"/>
        <v>755.32622904870595</v>
      </c>
      <c r="CY79" s="59">
        <f ca="1">AVERAGE(OFFSET($CX$3,0,0,'Données projet'!$E$13+1,1))-AVERAGE(OFFSET($H$3,0,0,'Données projet'!$E$13+1,1))</f>
        <v>242.1473060698724</v>
      </c>
      <c r="CZ79" s="59">
        <f t="shared" si="96"/>
        <v>96.127995920458659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0</v>
      </c>
      <c r="EP79" s="59">
        <f t="shared" si="100"/>
        <v>0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179.86010141761648</v>
      </c>
      <c r="T80" s="59">
        <f t="shared" si="88"/>
        <v>367.01744242396057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25.912966260091935</v>
      </c>
      <c r="AA80" s="21">
        <f>EXP(-LN(2)/25)*AA79+(1-EXP(-LN(2)/25))/(LN(2)/25)*Calculateur!V80*Calculateur!X80*VLOOKUP('Données projet'!$B$9,Paramètres!$A$1:$I$89,3,0)*0.475*44/12</f>
        <v>15.993369343749704</v>
      </c>
      <c r="AB80" s="21">
        <f>EXP(-LN(2)/2)*AB79+(1-EXP(-LN(2)/2))/(LN(2)/2)*V80*Y80*VLOOKUP('Données projet'!$B$9,Paramètres!$A$1:$I$89,3,0)*0.475*44/12</f>
        <v>3.8304360026679074E-5</v>
      </c>
      <c r="AC80" s="22">
        <f t="shared" si="57"/>
        <v>41.906373908201665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11.8</v>
      </c>
      <c r="AI80" s="13">
        <f>IF('Données projet'!$A$62&gt;35,AI79+AH80-AQ79,IF(A80&lt;'Données projet'!$A$62,$AF$205^A80,IF(A80='Données projet'!$A$62,'Données projet'!$B$62,AI79+AH80-AQ79)))</f>
        <v>563.59999999999934</v>
      </c>
      <c r="AJ80" s="13">
        <f>AI80*VLOOKUP('Données projet'!$B$10,Paramètres!$A$1:$I$89,3,0)*VLOOKUP('Données projet'!$B$10,Paramètres!$A$1:$I$89,5,0)</f>
        <v>337.03279999999961</v>
      </c>
      <c r="AK80" s="13">
        <f t="shared" si="89"/>
        <v>78.886591726224964</v>
      </c>
      <c r="AL80" s="20">
        <f t="shared" si="58"/>
        <v>724.39294058984115</v>
      </c>
      <c r="AM80" s="59">
        <f t="shared" si="59"/>
        <v>1017.7262739231744</v>
      </c>
      <c r="AN80" s="59">
        <f ca="1">AVERAGE(OFFSET($AM$3,0,0,'Données projet'!$E$10+1,1))-AVERAGE(OFFSET($H$3,0,0,'Données projet'!$E$10+1,1))</f>
        <v>318.09371753144256</v>
      </c>
      <c r="AO80" s="59">
        <f t="shared" si="90"/>
        <v>298.61479562586919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5.6146247553894009</v>
      </c>
      <c r="AW80" s="21">
        <f>EXP(-LN(2)/2)*AW79+(1-EXP(-LN(2)/2))/(LN(2)/2)*AQ80*AT80*VLOOKUP('Données projet'!$B$10,Paramètres!$A$1:$I$89,3,0)*0.475*44/12</f>
        <v>2.5499212250778192E-6</v>
      </c>
      <c r="AX80" s="21">
        <f t="shared" si="60"/>
        <v>6.9938292155803969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35.999999999999943</v>
      </c>
      <c r="BE80" s="13">
        <f>BD80*VLOOKUP('Données projet'!$B$11,Paramètres!$A$1:$I$89,3,0)*VLOOKUP('Données projet'!$B$11,Paramètres!$A$1:$I$89,5,0)</f>
        <v>31.449599999999958</v>
      </c>
      <c r="BF80" s="13">
        <f t="shared" si="91"/>
        <v>9.7016318496336709</v>
      </c>
      <c r="BG80" s="20">
        <f t="shared" si="61"/>
        <v>71.671728804778567</v>
      </c>
      <c r="BH80" s="59">
        <f t="shared" si="62"/>
        <v>365.0050621381119</v>
      </c>
      <c r="BI80" s="59">
        <f ca="1">AVERAGE(OFFSET($BH$3,0,0,'Données projet'!$E$11+1,1))-AVERAGE(OFFSET($H$3,0,0,'Données projet'!$E$11+1,1))</f>
        <v>247.43282553724879</v>
      </c>
      <c r="BJ80" s="59">
        <f t="shared" si="92"/>
        <v>637.29471578895527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2.3190085815003683E-5</v>
      </c>
      <c r="BS80" s="22">
        <f t="shared" si="63"/>
        <v>2.3190085815003683E-5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3.1</v>
      </c>
      <c r="BY80" s="12">
        <f>IF('Données projet'!$A$114&gt;35,BY79+BX80-CG79,IF(A80&lt;'Données projet'!$A$114,$BV$205^A80,IF(A80='Données projet'!$A$114,'Données projet'!$B$114,BY79+BX80-CG79)))</f>
        <v>274.7</v>
      </c>
      <c r="BZ80" s="13">
        <f>BY80*VLOOKUP('Données projet'!$B$12,Paramètres!$A$1:$I$89,3,0)*VLOOKUP('Données projet'!$B$12,Paramètres!$A$1:$I$89,5,0)</f>
        <v>222.83663999999999</v>
      </c>
      <c r="CA80" s="13">
        <f t="shared" si="93"/>
        <v>54.730954957867816</v>
      </c>
      <c r="CB80" s="20">
        <f t="shared" si="64"/>
        <v>483.43022788495313</v>
      </c>
      <c r="CC80" s="59">
        <f t="shared" si="65"/>
        <v>776.76356121828644</v>
      </c>
      <c r="CD80" s="59">
        <f ca="1">AVERAGE(OFFSET($CC$3,0,0,'Données projet'!$E$12+1,1))-AVERAGE(OFFSET($H$3,0,0,'Données projet'!$E$12+1,1))</f>
        <v>230.68538392491388</v>
      </c>
      <c r="CE80" s="59">
        <f t="shared" si="94"/>
        <v>267.97457956620724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2.3110439445406312</v>
      </c>
      <c r="CM80" s="21">
        <f>EXP(-LN(2)/2)*CM79+(1-EXP(-LN(2)/2))/(LN(2)/2)*CG80*CJ80*VLOOKUP('Données projet'!$B$12,Paramètres!$A$1:$I$89,3,0)*0.475*44/12</f>
        <v>9.2491843567412079E-7</v>
      </c>
      <c r="CN80" s="22">
        <f t="shared" si="66"/>
        <v>2.3110448694590668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</v>
      </c>
      <c r="CT80" s="12">
        <f>IF('Données projet'!$A$140&gt;35,CT79+CS80-DB79,IF(A80&lt;'Données projet'!$A$140,$CQ$205^A80,IF(A80='Données projet'!$A$140,'Données projet'!$B$140,CT79+CS80-DB79)))</f>
        <v>191.59999999999994</v>
      </c>
      <c r="CU80" s="17">
        <f>CT80*VLOOKUP('Données projet'!$B$13,Paramètres!$A$1:$I$89,3,0)*VLOOKUP('Données projet'!$B$13,Paramètres!$A$1:$I$89,5,0)</f>
        <v>218.1940799999999</v>
      </c>
      <c r="CV80" s="13">
        <f t="shared" si="95"/>
        <v>53.722189836188157</v>
      </c>
      <c r="CW80" s="20">
        <f t="shared" si="67"/>
        <v>473.58750329802757</v>
      </c>
      <c r="CX80" s="59">
        <f t="shared" si="68"/>
        <v>766.92083663136088</v>
      </c>
      <c r="CY80" s="59">
        <f ca="1">AVERAGE(OFFSET($CX$3,0,0,'Données projet'!$E$13+1,1))-AVERAGE(OFFSET($H$3,0,0,'Données projet'!$E$13+1,1))</f>
        <v>242.1473060698724</v>
      </c>
      <c r="CZ80" s="59">
        <f t="shared" si="96"/>
        <v>96.127995920458659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0</v>
      </c>
      <c r="EP80" s="59">
        <f t="shared" si="100"/>
        <v>0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179.86010141761648</v>
      </c>
      <c r="T81" s="59">
        <f t="shared" si="88"/>
        <v>367.01744242396057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25.404828797080302</v>
      </c>
      <c r="AA81" s="21">
        <f>EXP(-LN(2)/25)*AA80+(1-EXP(-LN(2)/25))/(LN(2)/25)*Calculateur!V81*Calculateur!X81*VLOOKUP('Données projet'!$B$9,Paramètres!$A$1:$I$89,3,0)*0.475*44/12</f>
        <v>15.556029817990128</v>
      </c>
      <c r="AB81" s="21">
        <f>EXP(-LN(2)/2)*AB80+(1-EXP(-LN(2)/2))/(LN(2)/2)*V81*Y81*VLOOKUP('Données projet'!$B$9,Paramètres!$A$1:$I$89,3,0)*0.475*44/12</f>
        <v>2.7085272723875698E-5</v>
      </c>
      <c r="AC81" s="22">
        <f t="shared" si="57"/>
        <v>40.960885700343155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11.8</v>
      </c>
      <c r="AI81" s="13">
        <f>IF('Données projet'!$A$62&gt;35,AI80+AH81-AQ80,IF(A81&lt;'Données projet'!$A$62,$AF$205^A81,IF(A81='Données projet'!$A$62,'Données projet'!$B$62,AI80+AH81-AQ80)))</f>
        <v>575.3999999999993</v>
      </c>
      <c r="AJ81" s="13">
        <f>AI81*VLOOKUP('Données projet'!$B$10,Paramètres!$A$1:$I$89,3,0)*VLOOKUP('Données projet'!$B$10,Paramètres!$A$1:$I$89,5,0)</f>
        <v>344.08919999999961</v>
      </c>
      <c r="AK81" s="13">
        <f t="shared" si="89"/>
        <v>80.344212285076679</v>
      </c>
      <c r="AL81" s="20">
        <f t="shared" si="58"/>
        <v>739.22152639650801</v>
      </c>
      <c r="AM81" s="59">
        <f t="shared" si="59"/>
        <v>1032.5548597298414</v>
      </c>
      <c r="AN81" s="59">
        <f ca="1">AVERAGE(OFFSET($AM$3,0,0,'Données projet'!$E$10+1,1))-AVERAGE(OFFSET($H$3,0,0,'Données projet'!$E$10+1,1))</f>
        <v>318.09371753144256</v>
      </c>
      <c r="AO81" s="59">
        <f t="shared" si="90"/>
        <v>298.61479562586919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5.4610925461929938</v>
      </c>
      <c r="AW81" s="21">
        <f>EXP(-LN(2)/2)*AW80+(1-EXP(-LN(2)/2))/(LN(2)/2)*AQ81*AT81*VLOOKUP('Données projet'!$B$10,Paramètres!$A$1:$I$89,3,0)*0.475*44/12</f>
        <v>1.8030665897440348E-6</v>
      </c>
      <c r="AX81" s="21">
        <f t="shared" si="60"/>
        <v>6.8132509512990644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35.999999999999943</v>
      </c>
      <c r="BE81" s="13">
        <f>BD81*VLOOKUP('Données projet'!$B$11,Paramètres!$A$1:$I$89,3,0)*VLOOKUP('Données projet'!$B$11,Paramètres!$A$1:$I$89,5,0)</f>
        <v>31.449599999999958</v>
      </c>
      <c r="BF81" s="13">
        <f t="shared" si="91"/>
        <v>9.7016318496336709</v>
      </c>
      <c r="BG81" s="20">
        <f t="shared" si="61"/>
        <v>71.671728804778567</v>
      </c>
      <c r="BH81" s="59">
        <f t="shared" si="62"/>
        <v>365.0050621381119</v>
      </c>
      <c r="BI81" s="59">
        <f ca="1">AVERAGE(OFFSET($BH$3,0,0,'Données projet'!$E$11+1,1))-AVERAGE(OFFSET($H$3,0,0,'Données projet'!$E$11+1,1))</f>
        <v>247.43282553724879</v>
      </c>
      <c r="BJ81" s="59">
        <f t="shared" si="92"/>
        <v>637.29471578895527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1.6397866936087069E-5</v>
      </c>
      <c r="BS81" s="22">
        <f t="shared" si="63"/>
        <v>1.6397866936087069E-5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3.1</v>
      </c>
      <c r="BY81" s="12">
        <f>IF('Données projet'!$A$114&gt;35,BY80+BX81-CG80,IF(A81&lt;'Données projet'!$A$114,$BV$205^A81,IF(A81='Données projet'!$A$114,'Données projet'!$B$114,BY80+BX81-CG80)))</f>
        <v>277.8</v>
      </c>
      <c r="BZ81" s="13">
        <f>BY81*VLOOKUP('Données projet'!$B$12,Paramètres!$A$1:$I$89,3,0)*VLOOKUP('Données projet'!$B$12,Paramètres!$A$1:$I$89,5,0)</f>
        <v>225.35136000000003</v>
      </c>
      <c r="CA81" s="13">
        <f t="shared" si="93"/>
        <v>55.276345528913524</v>
      </c>
      <c r="CB81" s="20">
        <f t="shared" si="64"/>
        <v>488.75992046285774</v>
      </c>
      <c r="CC81" s="59">
        <f t="shared" si="65"/>
        <v>782.09325379619099</v>
      </c>
      <c r="CD81" s="59">
        <f ca="1">AVERAGE(OFFSET($CC$3,0,0,'Données projet'!$E$12+1,1))-AVERAGE(OFFSET($H$3,0,0,'Données projet'!$E$12+1,1))</f>
        <v>230.68538392491388</v>
      </c>
      <c r="CE81" s="59">
        <f t="shared" si="94"/>
        <v>267.97457956620724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2.2478483263446485</v>
      </c>
      <c r="CM81" s="21">
        <f>EXP(-LN(2)/2)*CM80+(1-EXP(-LN(2)/2))/(LN(2)/2)*CG81*CJ81*VLOOKUP('Données projet'!$B$12,Paramètres!$A$1:$I$89,3,0)*0.475*44/12</f>
        <v>6.540160979096244E-7</v>
      </c>
      <c r="CN81" s="22">
        <f t="shared" si="66"/>
        <v>2.2478489803607462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</v>
      </c>
      <c r="CT81" s="12">
        <f>IF('Données projet'!$A$140&gt;35,CT80+CS81-DB80,IF(A81&lt;'Données projet'!$A$140,$CQ$205^A81,IF(A81='Données projet'!$A$140,'Données projet'!$B$140,CT80+CS81-DB80)))</f>
        <v>196.39999999999995</v>
      </c>
      <c r="CU81" s="17">
        <f>CT81*VLOOKUP('Données projet'!$B$13,Paramètres!$A$1:$I$89,3,0)*VLOOKUP('Données projet'!$B$13,Paramètres!$A$1:$I$89,5,0)</f>
        <v>223.66031999999993</v>
      </c>
      <c r="CV81" s="13">
        <f t="shared" si="95"/>
        <v>54.909672565546835</v>
      </c>
      <c r="CW81" s="20">
        <f t="shared" si="67"/>
        <v>485.17607038499403</v>
      </c>
      <c r="CX81" s="59">
        <f t="shared" si="68"/>
        <v>778.50940371832735</v>
      </c>
      <c r="CY81" s="59">
        <f ca="1">AVERAGE(OFFSET($CX$3,0,0,'Données projet'!$E$13+1,1))-AVERAGE(OFFSET($H$3,0,0,'Données projet'!$E$13+1,1))</f>
        <v>242.1473060698724</v>
      </c>
      <c r="CZ81" s="59">
        <f t="shared" si="96"/>
        <v>96.127995920458659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0</v>
      </c>
      <c r="EP81" s="59">
        <f t="shared" si="100"/>
        <v>0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179.86010141761648</v>
      </c>
      <c r="T82" s="59">
        <f t="shared" si="88"/>
        <v>367.01744242396057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24.906655599785079</v>
      </c>
      <c r="AA82" s="21">
        <f>EXP(-LN(2)/25)*AA81+(1-EXP(-LN(2)/25))/(LN(2)/25)*Calculateur!V82*Calculateur!X82*VLOOKUP('Données projet'!$B$9,Paramètres!$A$1:$I$89,3,0)*0.475*44/12</f>
        <v>15.130649364561133</v>
      </c>
      <c r="AB82" s="21">
        <f>EXP(-LN(2)/2)*AB81+(1-EXP(-LN(2)/2))/(LN(2)/2)*V82*Y82*VLOOKUP('Données projet'!$B$9,Paramètres!$A$1:$I$89,3,0)*0.475*44/12</f>
        <v>1.9152180013339537E-5</v>
      </c>
      <c r="AC82" s="22">
        <f t="shared" si="57"/>
        <v>40.037324116526229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11.8</v>
      </c>
      <c r="AI82" s="13">
        <f>IF('Données projet'!$A$62&gt;35,AI81+AH82-AQ81,IF(A82&lt;'Données projet'!$A$62,$AF$205^A82,IF(A82='Données projet'!$A$62,'Données projet'!$B$62,AI81+AH82-AQ81)))</f>
        <v>587.19999999999925</v>
      </c>
      <c r="AJ82" s="13">
        <f>AI82*VLOOKUP('Données projet'!$B$10,Paramètres!$A$1:$I$89,3,0)*VLOOKUP('Données projet'!$B$10,Paramètres!$A$1:$I$89,5,0)</f>
        <v>351.1455999999996</v>
      </c>
      <c r="AK82" s="13">
        <f t="shared" si="89"/>
        <v>81.798357293844219</v>
      </c>
      <c r="AL82" s="20">
        <f t="shared" si="58"/>
        <v>754.04405895344462</v>
      </c>
      <c r="AM82" s="59">
        <f t="shared" si="59"/>
        <v>1047.3773922867779</v>
      </c>
      <c r="AN82" s="59">
        <f ca="1">AVERAGE(OFFSET($AM$3,0,0,'Données projet'!$E$10+1,1))-AVERAGE(OFFSET($H$3,0,0,'Données projet'!$E$10+1,1))</f>
        <v>318.09371753144256</v>
      </c>
      <c r="AO82" s="59">
        <f t="shared" si="90"/>
        <v>298.61479562586919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5.3117586833309707</v>
      </c>
      <c r="AW82" s="21">
        <f>EXP(-LN(2)/2)*AW81+(1-EXP(-LN(2)/2))/(LN(2)/2)*AQ82*AT82*VLOOKUP('Données projet'!$B$10,Paramètres!$A$1:$I$89,3,0)*0.475*44/12</f>
        <v>1.2749606125389098E-6</v>
      </c>
      <c r="AX82" s="21">
        <f t="shared" si="60"/>
        <v>6.6374015940991624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35.999999999999943</v>
      </c>
      <c r="BE82" s="13">
        <f>BD82*VLOOKUP('Données projet'!$B$11,Paramètres!$A$1:$I$89,3,0)*VLOOKUP('Données projet'!$B$11,Paramètres!$A$1:$I$89,5,0)</f>
        <v>31.449599999999958</v>
      </c>
      <c r="BF82" s="13">
        <f t="shared" si="91"/>
        <v>9.7016318496336709</v>
      </c>
      <c r="BG82" s="20">
        <f t="shared" si="61"/>
        <v>71.671728804778567</v>
      </c>
      <c r="BH82" s="59">
        <f t="shared" si="62"/>
        <v>365.0050621381119</v>
      </c>
      <c r="BI82" s="59">
        <f ca="1">AVERAGE(OFFSET($BH$3,0,0,'Données projet'!$E$11+1,1))-AVERAGE(OFFSET($H$3,0,0,'Données projet'!$E$11+1,1))</f>
        <v>247.43282553724879</v>
      </c>
      <c r="BJ82" s="59">
        <f t="shared" si="92"/>
        <v>637.29471578895527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1.1595042907501841E-5</v>
      </c>
      <c r="BS82" s="22">
        <f t="shared" si="63"/>
        <v>1.1595042907501841E-5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3.1</v>
      </c>
      <c r="BY82" s="12">
        <f>IF('Données projet'!$A$114&gt;35,BY81+BX82-CG81,IF(A82&lt;'Données projet'!$A$114,$BV$205^A82,IF(A82='Données projet'!$A$114,'Données projet'!$B$114,BY81+BX82-CG81)))</f>
        <v>280.90000000000003</v>
      </c>
      <c r="BZ82" s="13">
        <f>BY82*VLOOKUP('Données projet'!$B$12,Paramètres!$A$1:$I$89,3,0)*VLOOKUP('Données projet'!$B$12,Paramètres!$A$1:$I$89,5,0)</f>
        <v>227.86608000000004</v>
      </c>
      <c r="CA82" s="13">
        <f t="shared" si="93"/>
        <v>55.82102812554308</v>
      </c>
      <c r="CB82" s="20">
        <f t="shared" si="64"/>
        <v>494.08837998532084</v>
      </c>
      <c r="CC82" s="59">
        <f t="shared" si="65"/>
        <v>787.42171331865416</v>
      </c>
      <c r="CD82" s="59">
        <f ca="1">AVERAGE(OFFSET($CC$3,0,0,'Données projet'!$E$12+1,1))-AVERAGE(OFFSET($H$3,0,0,'Données projet'!$E$12+1,1))</f>
        <v>230.68538392491388</v>
      </c>
      <c r="CE82" s="59">
        <f t="shared" si="94"/>
        <v>267.97457956620724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2.186380795651548</v>
      </c>
      <c r="CM82" s="21">
        <f>EXP(-LN(2)/2)*CM81+(1-EXP(-LN(2)/2))/(LN(2)/2)*CG82*CJ82*VLOOKUP('Données projet'!$B$12,Paramètres!$A$1:$I$89,3,0)*0.475*44/12</f>
        <v>4.6245921783706045E-7</v>
      </c>
      <c r="CN82" s="22">
        <f t="shared" si="66"/>
        <v>2.186381258110766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</v>
      </c>
      <c r="CT82" s="12">
        <f>IF('Données projet'!$A$140&gt;35,CT81+CS82-DB81,IF(A82&lt;'Données projet'!$A$140,$CQ$205^A82,IF(A82='Données projet'!$A$140,'Données projet'!$B$140,CT81+CS82-DB81)))</f>
        <v>201.19999999999996</v>
      </c>
      <c r="CU82" s="17">
        <f>CT82*VLOOKUP('Données projet'!$B$13,Paramètres!$A$1:$I$89,3,0)*VLOOKUP('Données projet'!$B$13,Paramètres!$A$1:$I$89,5,0)</f>
        <v>229.12655999999998</v>
      </c>
      <c r="CV82" s="13">
        <f t="shared" si="95"/>
        <v>56.093781581896756</v>
      </c>
      <c r="CW82" s="20">
        <f t="shared" si="67"/>
        <v>496.75876158847001</v>
      </c>
      <c r="CX82" s="59">
        <f t="shared" si="68"/>
        <v>790.09209492180332</v>
      </c>
      <c r="CY82" s="59">
        <f ca="1">AVERAGE(OFFSET($CX$3,0,0,'Données projet'!$E$13+1,1))-AVERAGE(OFFSET($H$3,0,0,'Données projet'!$E$13+1,1))</f>
        <v>242.1473060698724</v>
      </c>
      <c r="CZ82" s="59">
        <f t="shared" si="96"/>
        <v>96.127995920458659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0</v>
      </c>
      <c r="EP82" s="59">
        <f t="shared" si="100"/>
        <v>0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179.86010141761648</v>
      </c>
      <c r="T83" s="59">
        <f t="shared" si="88"/>
        <v>367.01744242396057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24.418251275033168</v>
      </c>
      <c r="AA83" s="21">
        <f>EXP(-LN(2)/25)*AA82+(1-EXP(-LN(2)/25))/(LN(2)/25)*Calculateur!V83*Calculateur!X83*VLOOKUP('Données projet'!$B$9,Paramètres!$A$1:$I$89,3,0)*0.475*44/12</f>
        <v>14.71690096200094</v>
      </c>
      <c r="AB83" s="21">
        <f>EXP(-LN(2)/2)*AB82+(1-EXP(-LN(2)/2))/(LN(2)/2)*V83*Y83*VLOOKUP('Données projet'!$B$9,Paramètres!$A$1:$I$89,3,0)*0.475*44/12</f>
        <v>1.3542636361937849E-5</v>
      </c>
      <c r="AC83" s="22">
        <f t="shared" si="57"/>
        <v>39.135165779670466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599</v>
      </c>
      <c r="AG83" s="12">
        <f>VLOOKUP(A83,'Données projet'!$A$61:$I$81,9,0)</f>
        <v>11.8</v>
      </c>
      <c r="AH83" s="12">
        <f t="array" ref="AH83">INDEX(AG:AG,MIN(IF(ISNUMBER(AG83:AG279),ROW(AG83:AG279),"")))</f>
        <v>11.8</v>
      </c>
      <c r="AI83" s="13">
        <f>IF('Données projet'!$A$62&gt;35,AI82+AH83-AQ82,IF(A83&lt;'Données projet'!$A$62,$AF$205^A83,IF(A83='Données projet'!$A$62,'Données projet'!$B$62,AI82+AH83-AQ82)))</f>
        <v>598.9999999999992</v>
      </c>
      <c r="AJ83" s="13">
        <f>AI83*VLOOKUP('Données projet'!$B$10,Paramètres!$A$1:$I$89,3,0)*VLOOKUP('Données projet'!$B$10,Paramètres!$A$1:$I$89,5,0)</f>
        <v>358.20199999999954</v>
      </c>
      <c r="AK83" s="13">
        <f t="shared" si="89"/>
        <v>83.249104644106694</v>
      </c>
      <c r="AL83" s="20">
        <f t="shared" si="58"/>
        <v>768.86067392181837</v>
      </c>
      <c r="AM83" s="59">
        <f t="shared" si="59"/>
        <v>1062.1940072551517</v>
      </c>
      <c r="AN83" s="59">
        <f ca="1">AVERAGE(OFFSET($AM$3,0,0,'Données projet'!$E$10+1,1))-AVERAGE(OFFSET($H$3,0,0,'Données projet'!$E$10+1,1))</f>
        <v>318.09371753144256</v>
      </c>
      <c r="AO83" s="59">
        <f t="shared" si="90"/>
        <v>298.61479562586919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5.1665083628020367</v>
      </c>
      <c r="AW83" s="21">
        <f>EXP(-LN(2)/2)*AW82+(1-EXP(-LN(2)/2))/(LN(2)/2)*AQ83*AT83*VLOOKUP('Données projet'!$B$10,Paramètres!$A$1:$I$89,3,0)*0.475*44/12</f>
        <v>9.015332948720176E-7</v>
      </c>
      <c r="AX83" s="21">
        <f t="shared" si="60"/>
        <v>6.4661558762262832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35.999999999999943</v>
      </c>
      <c r="BE83" s="13">
        <f>BD83*VLOOKUP('Données projet'!$B$11,Paramètres!$A$1:$I$89,3,0)*VLOOKUP('Données projet'!$B$11,Paramètres!$A$1:$I$89,5,0)</f>
        <v>31.449599999999958</v>
      </c>
      <c r="BF83" s="13">
        <f t="shared" si="91"/>
        <v>9.7016318496336709</v>
      </c>
      <c r="BG83" s="20">
        <f t="shared" si="61"/>
        <v>71.671728804778567</v>
      </c>
      <c r="BH83" s="59">
        <f t="shared" si="62"/>
        <v>365.0050621381119</v>
      </c>
      <c r="BI83" s="59">
        <f ca="1">AVERAGE(OFFSET($BH$3,0,0,'Données projet'!$E$11+1,1))-AVERAGE(OFFSET($H$3,0,0,'Données projet'!$E$11+1,1))</f>
        <v>247.43282553724879</v>
      </c>
      <c r="BJ83" s="59">
        <f t="shared" si="92"/>
        <v>637.29471578895527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8.1989334680435344E-6</v>
      </c>
      <c r="BS83" s="22">
        <f t="shared" si="63"/>
        <v>8.1989334680435344E-6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284</v>
      </c>
      <c r="BW83" s="12">
        <f>VLOOKUP(A83,'Données projet'!$A$113:$I$133,9,0)</f>
        <v>3.1</v>
      </c>
      <c r="BX83" s="12">
        <f t="array" ref="BX83">INDEX(BW:BW,MIN(IF(ISNUMBER(BW83:BW279),ROW(BW83:BW279),"")))</f>
        <v>3.1</v>
      </c>
      <c r="BY83" s="12">
        <f>IF('Données projet'!$A$114&gt;35,BY82+BX83-CG82,IF(A83&lt;'Données projet'!$A$114,$BV$205^A83,IF(A83='Données projet'!$A$114,'Données projet'!$B$114,BY82+BX83-CG82)))</f>
        <v>284.00000000000006</v>
      </c>
      <c r="BZ83" s="13">
        <f>BY83*VLOOKUP('Données projet'!$B$12,Paramètres!$A$1:$I$89,3,0)*VLOOKUP('Données projet'!$B$12,Paramètres!$A$1:$I$89,5,0)</f>
        <v>230.38080000000005</v>
      </c>
      <c r="CA83" s="13">
        <f t="shared" si="93"/>
        <v>56.365011465139979</v>
      </c>
      <c r="CB83" s="20">
        <f t="shared" si="64"/>
        <v>499.4156216351189</v>
      </c>
      <c r="CC83" s="59">
        <f t="shared" si="65"/>
        <v>792.74895496845215</v>
      </c>
      <c r="CD83" s="59">
        <f ca="1">AVERAGE(OFFSET($CC$3,0,0,'Données projet'!$E$12+1,1))-AVERAGE(OFFSET($H$3,0,0,'Données projet'!$E$12+1,1))</f>
        <v>230.68538392491388</v>
      </c>
      <c r="CE83" s="59">
        <f t="shared" si="94"/>
        <v>267.97457956620724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2.1265940978176876</v>
      </c>
      <c r="CM83" s="21">
        <f>EXP(-LN(2)/2)*CM82+(1-EXP(-LN(2)/2))/(LN(2)/2)*CG83*CJ83*VLOOKUP('Données projet'!$B$12,Paramètres!$A$1:$I$89,3,0)*0.475*44/12</f>
        <v>3.2700804895481225E-7</v>
      </c>
      <c r="CN83" s="22">
        <f t="shared" si="66"/>
        <v>2.1265944248257367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4.8</v>
      </c>
      <c r="CS83" s="12">
        <f t="array" ref="CS83">INDEX(CR:CR,MIN(IF(ISNUMBER(CR83:CR279),ROW(CR83:CR279),"")))</f>
        <v>4.8</v>
      </c>
      <c r="CT83" s="12">
        <f>IF('Données projet'!$A$140&gt;35,CT82+CS83-DB82,IF(A83&lt;'Données projet'!$A$140,$CQ$205^A83,IF(A83='Données projet'!$A$140,'Données projet'!$B$140,CT82+CS83-DB82)))</f>
        <v>205.99999999999997</v>
      </c>
      <c r="CU83" s="17">
        <f>CT83*VLOOKUP('Données projet'!$B$13,Paramètres!$A$1:$I$89,3,0)*VLOOKUP('Données projet'!$B$13,Paramètres!$A$1:$I$89,5,0)</f>
        <v>234.59279999999995</v>
      </c>
      <c r="CV83" s="13">
        <f t="shared" si="95"/>
        <v>57.274606632593994</v>
      </c>
      <c r="CW83" s="20">
        <f t="shared" si="67"/>
        <v>508.33573321843437</v>
      </c>
      <c r="CX83" s="59">
        <f t="shared" si="68"/>
        <v>801.66906655176763</v>
      </c>
      <c r="CY83" s="59">
        <f ca="1">AVERAGE(OFFSET($CX$3,0,0,'Données projet'!$E$13+1,1))-AVERAGE(OFFSET($H$3,0,0,'Données projet'!$E$13+1,1))</f>
        <v>242.1473060698724</v>
      </c>
      <c r="CZ83" s="59">
        <f t="shared" si="96"/>
        <v>96.127995920458659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0</v>
      </c>
      <c r="EP83" s="59">
        <f t="shared" si="100"/>
        <v>0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179.86010141761648</v>
      </c>
      <c r="T84" s="59">
        <f t="shared" si="88"/>
        <v>367.01744242396057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23.939424261192418</v>
      </c>
      <c r="AA84" s="21">
        <f>EXP(-LN(2)/25)*AA83+(1-EXP(-LN(2)/25))/(LN(2)/25)*Calculateur!V84*Calculateur!X84*VLOOKUP('Données projet'!$B$9,Paramètres!$A$1:$I$89,3,0)*0.475*44/12</f>
        <v>14.314466531266838</v>
      </c>
      <c r="AB84" s="21">
        <f>EXP(-LN(2)/2)*AB83+(1-EXP(-LN(2)/2))/(LN(2)/2)*V84*Y84*VLOOKUP('Données projet'!$B$9,Paramètres!$A$1:$I$89,3,0)*0.475*44/12</f>
        <v>9.5760900066697685E-6</v>
      </c>
      <c r="AC84" s="22">
        <f t="shared" si="57"/>
        <v>38.253900368549267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-4.758931027026848E-13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318.09371753144256</v>
      </c>
      <c r="AO84" s="59">
        <f t="shared" si="90"/>
        <v>298.61479562586919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5.0252299199263488</v>
      </c>
      <c r="AW84" s="21">
        <f>EXP(-LN(2)/2)*AW83+(1-EXP(-LN(2)/2))/(LN(2)/2)*AQ84*AT84*VLOOKUP('Données projet'!$B$10,Paramètres!$A$1:$I$89,3,0)*0.475*44/12</f>
        <v>6.3748030626945501E-7</v>
      </c>
      <c r="AX84" s="21">
        <f t="shared" si="60"/>
        <v>6.2993918919445848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35.999999999999943</v>
      </c>
      <c r="BE84" s="13">
        <f>BD84*VLOOKUP('Données projet'!$B$11,Paramètres!$A$1:$I$89,3,0)*VLOOKUP('Données projet'!$B$11,Paramètres!$A$1:$I$89,5,0)</f>
        <v>31.449599999999958</v>
      </c>
      <c r="BF84" s="13">
        <f t="shared" si="91"/>
        <v>9.7016318496336709</v>
      </c>
      <c r="BG84" s="20">
        <f t="shared" si="61"/>
        <v>71.671728804778567</v>
      </c>
      <c r="BH84" s="59">
        <f t="shared" si="62"/>
        <v>365.0050621381119</v>
      </c>
      <c r="BI84" s="59">
        <f ca="1">AVERAGE(OFFSET($BH$3,0,0,'Données projet'!$E$11+1,1))-AVERAGE(OFFSET($H$3,0,0,'Données projet'!$E$11+1,1))</f>
        <v>247.43282553724879</v>
      </c>
      <c r="BJ84" s="59">
        <f t="shared" si="92"/>
        <v>637.29471578895527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5.7975214537509207E-6</v>
      </c>
      <c r="BS84" s="22">
        <f t="shared" si="63"/>
        <v>5.7975214537509207E-6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4.6111381379887463E-14</v>
      </c>
      <c r="CA84" s="13">
        <f t="shared" si="93"/>
        <v>7.5804141040779151E-13</v>
      </c>
      <c r="CB84" s="20">
        <f t="shared" si="64"/>
        <v>1.4005661123635408E-12</v>
      </c>
      <c r="CC84" s="59">
        <f t="shared" si="65"/>
        <v>293.33333333333474</v>
      </c>
      <c r="CD84" s="59">
        <f ca="1">AVERAGE(OFFSET($CC$3,0,0,'Données projet'!$E$12+1,1))-AVERAGE(OFFSET($H$3,0,0,'Données projet'!$E$12+1,1))</f>
        <v>230.68538392491388</v>
      </c>
      <c r="CE84" s="59">
        <f t="shared" si="94"/>
        <v>267.97457956620724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2.0684422703801397</v>
      </c>
      <c r="CM84" s="21">
        <f>EXP(-LN(2)/2)*CM83+(1-EXP(-LN(2)/2))/(LN(2)/2)*CG84*CJ84*VLOOKUP('Données projet'!$B$12,Paramètres!$A$1:$I$89,3,0)*0.475*44/12</f>
        <v>2.3122960891853025E-7</v>
      </c>
      <c r="CN84" s="22">
        <f t="shared" si="66"/>
        <v>2.0684425016097485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182.29999999999998</v>
      </c>
      <c r="CU84" s="17">
        <f>CT84*VLOOKUP('Données projet'!$B$13,Paramètres!$A$1:$I$89,3,0)*VLOOKUP('Données projet'!$B$13,Paramètres!$A$1:$I$89,5,0)</f>
        <v>207.60323999999997</v>
      </c>
      <c r="CV84" s="13">
        <f t="shared" si="95"/>
        <v>51.411483950264589</v>
      </c>
      <c r="CW84" s="20">
        <f t="shared" si="67"/>
        <v>451.11731088004416</v>
      </c>
      <c r="CX84" s="59">
        <f t="shared" si="68"/>
        <v>744.45064421337747</v>
      </c>
      <c r="CY84" s="59">
        <f ca="1">AVERAGE(OFFSET($CX$3,0,0,'Données projet'!$E$13+1,1))-AVERAGE(OFFSET($H$3,0,0,'Données projet'!$E$13+1,1))</f>
        <v>242.1473060698724</v>
      </c>
      <c r="CZ84" s="59">
        <f t="shared" si="96"/>
        <v>96.127995920458659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0</v>
      </c>
      <c r="EP84" s="59">
        <f t="shared" si="100"/>
        <v>0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179.86010141761648</v>
      </c>
      <c r="T85" s="59">
        <f t="shared" si="88"/>
        <v>367.01744242396057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23.469986753037446</v>
      </c>
      <c r="AA85" s="21">
        <f>EXP(-LN(2)/25)*AA84+(1-EXP(-LN(2)/25))/(LN(2)/25)*Calculateur!V85*Calculateur!X85*VLOOKUP('Données projet'!$B$9,Paramètres!$A$1:$I$89,3,0)*0.475*44/12</f>
        <v>13.923036691204267</v>
      </c>
      <c r="AB85" s="21">
        <f>EXP(-LN(2)/2)*AB84+(1-EXP(-LN(2)/2))/(LN(2)/2)*V85*Y85*VLOOKUP('Données projet'!$B$9,Paramètres!$A$1:$I$89,3,0)*0.475*44/12</f>
        <v>6.7713181809689245E-6</v>
      </c>
      <c r="AC85" s="22">
        <f t="shared" si="57"/>
        <v>37.393030215559897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-4.758931027026848E-13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318.09371753144256</v>
      </c>
      <c r="AO85" s="59">
        <f t="shared" si="90"/>
        <v>298.61479562586919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4.8878147435006065</v>
      </c>
      <c r="AW85" s="21">
        <f>EXP(-LN(2)/2)*AW84+(1-EXP(-LN(2)/2))/(LN(2)/2)*AQ85*AT85*VLOOKUP('Données projet'!$B$10,Paramètres!$A$1:$I$89,3,0)*0.475*44/12</f>
        <v>4.5076664743600885E-7</v>
      </c>
      <c r="AX85" s="21">
        <f t="shared" si="60"/>
        <v>6.1369910021965701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35.999999999999943</v>
      </c>
      <c r="BE85" s="13">
        <f>BD85*VLOOKUP('Données projet'!$B$11,Paramètres!$A$1:$I$89,3,0)*VLOOKUP('Données projet'!$B$11,Paramètres!$A$1:$I$89,5,0)</f>
        <v>31.449599999999958</v>
      </c>
      <c r="BF85" s="13">
        <f t="shared" si="91"/>
        <v>9.7016318496336709</v>
      </c>
      <c r="BG85" s="20">
        <f t="shared" si="61"/>
        <v>71.671728804778567</v>
      </c>
      <c r="BH85" s="59">
        <f t="shared" si="62"/>
        <v>365.0050621381119</v>
      </c>
      <c r="BI85" s="59">
        <f ca="1">AVERAGE(OFFSET($BH$3,0,0,'Données projet'!$E$11+1,1))-AVERAGE(OFFSET($H$3,0,0,'Données projet'!$E$11+1,1))</f>
        <v>247.43282553724879</v>
      </c>
      <c r="BJ85" s="59">
        <f t="shared" si="92"/>
        <v>637.29471578895527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4.0994667340217672E-6</v>
      </c>
      <c r="BS85" s="22">
        <f t="shared" si="63"/>
        <v>4.0994667340217672E-6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4.6111381379887463E-14</v>
      </c>
      <c r="CA85" s="13">
        <f t="shared" si="93"/>
        <v>7.5804141040779151E-13</v>
      </c>
      <c r="CB85" s="20">
        <f t="shared" si="64"/>
        <v>1.4005661123635408E-12</v>
      </c>
      <c r="CC85" s="59">
        <f t="shared" si="65"/>
        <v>293.33333333333474</v>
      </c>
      <c r="CD85" s="59">
        <f ca="1">AVERAGE(OFFSET($CC$3,0,0,'Données projet'!$E$12+1,1))-AVERAGE(OFFSET($H$3,0,0,'Données projet'!$E$12+1,1))</f>
        <v>230.68538392491388</v>
      </c>
      <c r="CE85" s="59">
        <f t="shared" si="94"/>
        <v>267.97457956620724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2.0118806077219431</v>
      </c>
      <c r="CM85" s="21">
        <f>EXP(-LN(2)/2)*CM84+(1-EXP(-LN(2)/2))/(LN(2)/2)*CG85*CJ85*VLOOKUP('Données projet'!$B$12,Paramètres!$A$1:$I$89,3,0)*0.475*44/12</f>
        <v>1.6350402447740613E-7</v>
      </c>
      <c r="CN85" s="22">
        <f t="shared" si="66"/>
        <v>2.0118807712259676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186.6</v>
      </c>
      <c r="CU85" s="17">
        <f>CT85*VLOOKUP('Données projet'!$B$13,Paramètres!$A$1:$I$89,3,0)*VLOOKUP('Données projet'!$B$13,Paramètres!$A$1:$I$89,5,0)</f>
        <v>212.50008</v>
      </c>
      <c r="CV85" s="13">
        <f t="shared" si="95"/>
        <v>52.481539204941875</v>
      </c>
      <c r="CW85" s="20">
        <f t="shared" si="67"/>
        <v>461.50965344860703</v>
      </c>
      <c r="CX85" s="59">
        <f t="shared" si="68"/>
        <v>754.84298678194034</v>
      </c>
      <c r="CY85" s="59">
        <f ca="1">AVERAGE(OFFSET($CX$3,0,0,'Données projet'!$E$13+1,1))-AVERAGE(OFFSET($H$3,0,0,'Données projet'!$E$13+1,1))</f>
        <v>242.1473060698724</v>
      </c>
      <c r="CZ85" s="59">
        <f t="shared" si="96"/>
        <v>96.127995920458659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0</v>
      </c>
      <c r="EP85" s="59">
        <f t="shared" si="100"/>
        <v>0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179.86010141761648</v>
      </c>
      <c r="T86" s="59">
        <f t="shared" si="88"/>
        <v>367.01744242396057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23.009754628088785</v>
      </c>
      <c r="AA86" s="21">
        <f>EXP(-LN(2)/25)*AA85+(1-EXP(-LN(2)/25))/(LN(2)/25)*Calculateur!V86*Calculateur!X86*VLOOKUP('Données projet'!$B$9,Paramètres!$A$1:$I$89,3,0)*0.475*44/12</f>
        <v>13.542310520702609</v>
      </c>
      <c r="AB86" s="21">
        <f>EXP(-LN(2)/2)*AB85+(1-EXP(-LN(2)/2))/(LN(2)/2)*V86*Y86*VLOOKUP('Données projet'!$B$9,Paramètres!$A$1:$I$89,3,0)*0.475*44/12</f>
        <v>4.7880450033348842E-6</v>
      </c>
      <c r="AC86" s="22">
        <f t="shared" si="57"/>
        <v>36.552069936836396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-4.758931027026848E-13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318.09371753144256</v>
      </c>
      <c r="AO86" s="59">
        <f t="shared" si="90"/>
        <v>298.61479562586919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4.7541571923005765</v>
      </c>
      <c r="AW86" s="21">
        <f>EXP(-LN(2)/2)*AW85+(1-EXP(-LN(2)/2))/(LN(2)/2)*AQ86*AT86*VLOOKUP('Données projet'!$B$10,Paramètres!$A$1:$I$89,3,0)*0.475*44/12</f>
        <v>3.1874015313472756E-7</v>
      </c>
      <c r="AX86" s="21">
        <f t="shared" si="60"/>
        <v>5.9788377432985618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35.999999999999943</v>
      </c>
      <c r="BE86" s="13">
        <f>BD86*VLOOKUP('Données projet'!$B$11,Paramètres!$A$1:$I$89,3,0)*VLOOKUP('Données projet'!$B$11,Paramètres!$A$1:$I$89,5,0)</f>
        <v>31.449599999999958</v>
      </c>
      <c r="BF86" s="13">
        <f t="shared" si="91"/>
        <v>9.7016318496336709</v>
      </c>
      <c r="BG86" s="20">
        <f t="shared" si="61"/>
        <v>71.671728804778567</v>
      </c>
      <c r="BH86" s="59">
        <f t="shared" si="62"/>
        <v>365.0050621381119</v>
      </c>
      <c r="BI86" s="59">
        <f ca="1">AVERAGE(OFFSET($BH$3,0,0,'Données projet'!$E$11+1,1))-AVERAGE(OFFSET($H$3,0,0,'Données projet'!$E$11+1,1))</f>
        <v>247.43282553724879</v>
      </c>
      <c r="BJ86" s="59">
        <f t="shared" si="92"/>
        <v>637.29471578895527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2.8987607268754604E-6</v>
      </c>
      <c r="BS86" s="22">
        <f t="shared" si="63"/>
        <v>2.8987607268754604E-6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4.6111381379887463E-14</v>
      </c>
      <c r="CA86" s="13">
        <f t="shared" si="93"/>
        <v>7.5804141040779151E-13</v>
      </c>
      <c r="CB86" s="20">
        <f t="shared" si="64"/>
        <v>1.4005661123635408E-12</v>
      </c>
      <c r="CC86" s="59">
        <f t="shared" si="65"/>
        <v>293.33333333333474</v>
      </c>
      <c r="CD86" s="59">
        <f ca="1">AVERAGE(OFFSET($CC$3,0,0,'Données projet'!$E$12+1,1))-AVERAGE(OFFSET($H$3,0,0,'Données projet'!$E$12+1,1))</f>
        <v>230.68538392491388</v>
      </c>
      <c r="CE86" s="59">
        <f t="shared" si="94"/>
        <v>267.97457956620724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1.9568656267035835</v>
      </c>
      <c r="CM86" s="21">
        <f>EXP(-LN(2)/2)*CM85+(1-EXP(-LN(2)/2))/(LN(2)/2)*CG86*CJ86*VLOOKUP('Données projet'!$B$12,Paramètres!$A$1:$I$89,3,0)*0.475*44/12</f>
        <v>1.1561480445926513E-7</v>
      </c>
      <c r="CN86" s="22">
        <f t="shared" si="66"/>
        <v>1.9568657423183879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190.9</v>
      </c>
      <c r="CU86" s="17">
        <f>CT86*VLOOKUP('Données projet'!$B$13,Paramètres!$A$1:$I$89,3,0)*VLOOKUP('Données projet'!$B$13,Paramètres!$A$1:$I$89,5,0)</f>
        <v>217.39691999999999</v>
      </c>
      <c r="CV86" s="13">
        <f t="shared" si="95"/>
        <v>53.548727812073309</v>
      </c>
      <c r="CW86" s="20">
        <f t="shared" si="67"/>
        <v>471.89700327269423</v>
      </c>
      <c r="CX86" s="59">
        <f t="shared" si="68"/>
        <v>765.23033660602755</v>
      </c>
      <c r="CY86" s="59">
        <f ca="1">AVERAGE(OFFSET($CX$3,0,0,'Données projet'!$E$13+1,1))-AVERAGE(OFFSET($H$3,0,0,'Données projet'!$E$13+1,1))</f>
        <v>242.1473060698724</v>
      </c>
      <c r="CZ86" s="59">
        <f t="shared" si="96"/>
        <v>96.127995920458659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0</v>
      </c>
      <c r="EP86" s="59">
        <f t="shared" si="100"/>
        <v>0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179.86010141761648</v>
      </c>
      <c r="T87" s="59">
        <f t="shared" si="88"/>
        <v>367.01744242396057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22.55854737439649</v>
      </c>
      <c r="AA87" s="21">
        <f>EXP(-LN(2)/25)*AA86+(1-EXP(-LN(2)/25))/(LN(2)/25)*Calculateur!V87*Calculateur!X87*VLOOKUP('Données projet'!$B$9,Paramètres!$A$1:$I$89,3,0)*0.475*44/12</f>
        <v>13.171995327354837</v>
      </c>
      <c r="AB87" s="21">
        <f>EXP(-LN(2)/2)*AB86+(1-EXP(-LN(2)/2))/(LN(2)/2)*V87*Y87*VLOOKUP('Données projet'!$B$9,Paramètres!$A$1:$I$89,3,0)*0.475*44/12</f>
        <v>3.3856590904844623E-6</v>
      </c>
      <c r="AC87" s="22">
        <f t="shared" si="57"/>
        <v>35.730546087410417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-4.758931027026848E-13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318.09371753144256</v>
      </c>
      <c r="AO87" s="59">
        <f t="shared" si="90"/>
        <v>298.61479562586919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4.6241545138668565</v>
      </c>
      <c r="AW87" s="21">
        <f>EXP(-LN(2)/2)*AW86+(1-EXP(-LN(2)/2))/(LN(2)/2)*AQ87*AT87*VLOOKUP('Données projet'!$B$10,Paramètres!$A$1:$I$89,3,0)*0.475*44/12</f>
        <v>2.2538332371800445E-7</v>
      </c>
      <c r="AX87" s="21">
        <f t="shared" si="60"/>
        <v>5.824819739134619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35.999999999999943</v>
      </c>
      <c r="BE87" s="13">
        <f>BD87*VLOOKUP('Données projet'!$B$11,Paramètres!$A$1:$I$89,3,0)*VLOOKUP('Données projet'!$B$11,Paramètres!$A$1:$I$89,5,0)</f>
        <v>31.449599999999958</v>
      </c>
      <c r="BF87" s="13">
        <f t="shared" si="91"/>
        <v>9.7016318496336709</v>
      </c>
      <c r="BG87" s="20">
        <f t="shared" si="61"/>
        <v>71.671728804778567</v>
      </c>
      <c r="BH87" s="59">
        <f t="shared" si="62"/>
        <v>365.0050621381119</v>
      </c>
      <c r="BI87" s="59">
        <f ca="1">AVERAGE(OFFSET($BH$3,0,0,'Données projet'!$E$11+1,1))-AVERAGE(OFFSET($H$3,0,0,'Données projet'!$E$11+1,1))</f>
        <v>247.43282553724879</v>
      </c>
      <c r="BJ87" s="59">
        <f t="shared" si="92"/>
        <v>637.29471578895527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2.0497333670108836E-6</v>
      </c>
      <c r="BS87" s="22">
        <f t="shared" si="63"/>
        <v>2.0497333670108836E-6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4.6111381379887463E-14</v>
      </c>
      <c r="CA87" s="13">
        <f t="shared" si="93"/>
        <v>7.5804141040779151E-13</v>
      </c>
      <c r="CB87" s="20">
        <f t="shared" si="64"/>
        <v>1.4005661123635408E-12</v>
      </c>
      <c r="CC87" s="59">
        <f t="shared" si="65"/>
        <v>293.33333333333474</v>
      </c>
      <c r="CD87" s="59">
        <f ca="1">AVERAGE(OFFSET($CC$3,0,0,'Données projet'!$E$12+1,1))-AVERAGE(OFFSET($H$3,0,0,'Données projet'!$E$12+1,1))</f>
        <v>230.68538392491388</v>
      </c>
      <c r="CE87" s="59">
        <f t="shared" si="94"/>
        <v>267.97457956620724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1.9033550332342832</v>
      </c>
      <c r="CM87" s="21">
        <f>EXP(-LN(2)/2)*CM86+(1-EXP(-LN(2)/2))/(LN(2)/2)*CG87*CJ87*VLOOKUP('Données projet'!$B$12,Paramètres!$A$1:$I$89,3,0)*0.475*44/12</f>
        <v>8.1752012238703063E-8</v>
      </c>
      <c r="CN87" s="22">
        <f t="shared" si="66"/>
        <v>1.9033551149862955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195.20000000000002</v>
      </c>
      <c r="CU87" s="17">
        <f>CT87*VLOOKUP('Données projet'!$B$13,Paramètres!$A$1:$I$89,3,0)*VLOOKUP('Données projet'!$B$13,Paramètres!$A$1:$I$89,5,0)</f>
        <v>222.29376000000002</v>
      </c>
      <c r="CV87" s="13">
        <f t="shared" si="95"/>
        <v>54.613121776493159</v>
      </c>
      <c r="CW87" s="20">
        <f t="shared" si="67"/>
        <v>482.27948576072555</v>
      </c>
      <c r="CX87" s="59">
        <f t="shared" si="68"/>
        <v>775.61281909405886</v>
      </c>
      <c r="CY87" s="59">
        <f ca="1">AVERAGE(OFFSET($CX$3,0,0,'Données projet'!$E$13+1,1))-AVERAGE(OFFSET($H$3,0,0,'Données projet'!$E$13+1,1))</f>
        <v>242.1473060698724</v>
      </c>
      <c r="CZ87" s="59">
        <f t="shared" si="96"/>
        <v>96.127995920458659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0</v>
      </c>
      <c r="EP87" s="59">
        <f t="shared" si="100"/>
        <v>0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179.86010141761648</v>
      </c>
      <c r="T88" s="59">
        <f t="shared" si="88"/>
        <v>367.01744242396057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22.116188019739848</v>
      </c>
      <c r="AA88" s="21">
        <f>EXP(-LN(2)/25)*AA87+(1-EXP(-LN(2)/25))/(LN(2)/25)*Calculateur!V88*Calculateur!X88*VLOOKUP('Données projet'!$B$9,Paramètres!$A$1:$I$89,3,0)*0.475*44/12</f>
        <v>12.81180642244319</v>
      </c>
      <c r="AB88" s="21">
        <f>EXP(-LN(2)/2)*AB87+(1-EXP(-LN(2)/2))/(LN(2)/2)*V88*Y88*VLOOKUP('Données projet'!$B$9,Paramètres!$A$1:$I$89,3,0)*0.475*44/12</f>
        <v>2.3940225016674421E-6</v>
      </c>
      <c r="AC88" s="22">
        <f t="shared" si="57"/>
        <v>34.927996836205537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-4.758931027026848E-13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318.09371753144256</v>
      </c>
      <c r="AO88" s="59">
        <f t="shared" si="90"/>
        <v>298.61479562586919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4.4977067655114498</v>
      </c>
      <c r="AW88" s="21">
        <f>EXP(-LN(2)/2)*AW87+(1-EXP(-LN(2)/2))/(LN(2)/2)*AQ88*AT88*VLOOKUP('Données projet'!$B$10,Paramètres!$A$1:$I$89,3,0)*0.475*44/12</f>
        <v>1.5937007656736378E-7</v>
      </c>
      <c r="AX88" s="21">
        <f t="shared" si="60"/>
        <v>5.6748276164515694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35.999999999999943</v>
      </c>
      <c r="BE88" s="13">
        <f>BD88*VLOOKUP('Données projet'!$B$11,Paramètres!$A$1:$I$89,3,0)*VLOOKUP('Données projet'!$B$11,Paramètres!$A$1:$I$89,5,0)</f>
        <v>31.449599999999958</v>
      </c>
      <c r="BF88" s="13">
        <f t="shared" si="91"/>
        <v>9.7016318496336709</v>
      </c>
      <c r="BG88" s="20">
        <f t="shared" si="61"/>
        <v>71.671728804778567</v>
      </c>
      <c r="BH88" s="59">
        <f t="shared" si="62"/>
        <v>365.0050621381119</v>
      </c>
      <c r="BI88" s="59">
        <f ca="1">AVERAGE(OFFSET($BH$3,0,0,'Données projet'!$E$11+1,1))-AVERAGE(OFFSET($H$3,0,0,'Données projet'!$E$11+1,1))</f>
        <v>247.43282553724879</v>
      </c>
      <c r="BJ88" s="59">
        <f t="shared" si="92"/>
        <v>637.29471578895527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1.4493803634377302E-6</v>
      </c>
      <c r="BS88" s="22">
        <f t="shared" si="63"/>
        <v>1.4493803634377302E-6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4.6111381379887463E-14</v>
      </c>
      <c r="CA88" s="13">
        <f t="shared" si="93"/>
        <v>7.5804141040779151E-13</v>
      </c>
      <c r="CB88" s="20">
        <f t="shared" si="64"/>
        <v>1.4005661123635408E-12</v>
      </c>
      <c r="CC88" s="59">
        <f t="shared" si="65"/>
        <v>293.33333333333474</v>
      </c>
      <c r="CD88" s="59">
        <f ca="1">AVERAGE(OFFSET($CC$3,0,0,'Données projet'!$E$12+1,1))-AVERAGE(OFFSET($H$3,0,0,'Données projet'!$E$12+1,1))</f>
        <v>230.68538392491388</v>
      </c>
      <c r="CE88" s="59">
        <f t="shared" si="94"/>
        <v>267.97457956620724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1.8513076897574008</v>
      </c>
      <c r="CM88" s="21">
        <f>EXP(-LN(2)/2)*CM87+(1-EXP(-LN(2)/2))/(LN(2)/2)*CG88*CJ88*VLOOKUP('Données projet'!$B$12,Paramètres!$A$1:$I$89,3,0)*0.475*44/12</f>
        <v>5.7807402229632563E-8</v>
      </c>
      <c r="CN88" s="22">
        <f t="shared" si="66"/>
        <v>1.851307747564803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199.50000000000003</v>
      </c>
      <c r="CU88" s="17">
        <f>CT88*VLOOKUP('Données projet'!$B$13,Paramètres!$A$1:$I$89,3,0)*VLOOKUP('Données projet'!$B$13,Paramètres!$A$1:$I$89,5,0)</f>
        <v>227.19060000000005</v>
      </c>
      <c r="CV88" s="13">
        <f t="shared" si="95"/>
        <v>55.674789749546278</v>
      </c>
      <c r="CW88" s="20">
        <f t="shared" si="67"/>
        <v>492.6572204804599</v>
      </c>
      <c r="CX88" s="59">
        <f t="shared" si="68"/>
        <v>785.99055381379321</v>
      </c>
      <c r="CY88" s="59">
        <f ca="1">AVERAGE(OFFSET($CX$3,0,0,'Données projet'!$E$13+1,1))-AVERAGE(OFFSET($H$3,0,0,'Données projet'!$E$13+1,1))</f>
        <v>242.1473060698724</v>
      </c>
      <c r="CZ88" s="59">
        <f t="shared" si="96"/>
        <v>96.127995920458659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0</v>
      </c>
      <c r="EP88" s="59">
        <f t="shared" si="100"/>
        <v>0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179.86010141761648</v>
      </c>
      <c r="T89" s="59">
        <f t="shared" si="88"/>
        <v>367.01744242396057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21.68250306221546</v>
      </c>
      <c r="AA89" s="21">
        <f>EXP(-LN(2)/25)*AA88+(1-EXP(-LN(2)/25))/(LN(2)/25)*Calculateur!V89*Calculateur!X89*VLOOKUP('Données projet'!$B$9,Paramètres!$A$1:$I$89,3,0)*0.475*44/12</f>
        <v>12.461466902077863</v>
      </c>
      <c r="AB89" s="21">
        <f>EXP(-LN(2)/2)*AB88+(1-EXP(-LN(2)/2))/(LN(2)/2)*V89*Y89*VLOOKUP('Données projet'!$B$9,Paramètres!$A$1:$I$89,3,0)*0.475*44/12</f>
        <v>1.6928295452422311E-6</v>
      </c>
      <c r="AC89" s="22">
        <f t="shared" si="57"/>
        <v>34.143971657122862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-4.758931027026848E-13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318.09371753144256</v>
      </c>
      <c r="AO89" s="59">
        <f t="shared" si="90"/>
        <v>298.61479562586919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4.3747167374844196</v>
      </c>
      <c r="AW89" s="21">
        <f>EXP(-LN(2)/2)*AW88+(1-EXP(-LN(2)/2))/(LN(2)/2)*AQ89*AT89*VLOOKUP('Données projet'!$B$10,Paramètres!$A$1:$I$89,3,0)*0.475*44/12</f>
        <v>1.1269166185900223E-7</v>
      </c>
      <c r="AX89" s="21">
        <f t="shared" si="60"/>
        <v>5.5287549229571651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35.999999999999943</v>
      </c>
      <c r="BE89" s="13">
        <f>BD89*VLOOKUP('Données projet'!$B$11,Paramètres!$A$1:$I$89,3,0)*VLOOKUP('Données projet'!$B$11,Paramètres!$A$1:$I$89,5,0)</f>
        <v>31.449599999999958</v>
      </c>
      <c r="BF89" s="13">
        <f t="shared" si="91"/>
        <v>9.7016318496336709</v>
      </c>
      <c r="BG89" s="20">
        <f t="shared" si="61"/>
        <v>71.671728804778567</v>
      </c>
      <c r="BH89" s="59">
        <f t="shared" si="62"/>
        <v>365.0050621381119</v>
      </c>
      <c r="BI89" s="59">
        <f ca="1">AVERAGE(OFFSET($BH$3,0,0,'Données projet'!$E$11+1,1))-AVERAGE(OFFSET($H$3,0,0,'Données projet'!$E$11+1,1))</f>
        <v>247.43282553724879</v>
      </c>
      <c r="BJ89" s="59">
        <f t="shared" si="92"/>
        <v>637.29471578895527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1.0248666835054418E-6</v>
      </c>
      <c r="BS89" s="22">
        <f t="shared" si="63"/>
        <v>1.0248666835054418E-6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4.6111381379887463E-14</v>
      </c>
      <c r="CA89" s="13">
        <f t="shared" si="93"/>
        <v>7.5804141040779151E-13</v>
      </c>
      <c r="CB89" s="20">
        <f t="shared" si="64"/>
        <v>1.4005661123635408E-12</v>
      </c>
      <c r="CC89" s="59">
        <f t="shared" si="65"/>
        <v>293.33333333333474</v>
      </c>
      <c r="CD89" s="59">
        <f ca="1">AVERAGE(OFFSET($CC$3,0,0,'Données projet'!$E$12+1,1))-AVERAGE(OFFSET($H$3,0,0,'Données projet'!$E$12+1,1))</f>
        <v>230.68538392491388</v>
      </c>
      <c r="CE89" s="59">
        <f t="shared" si="94"/>
        <v>267.97457956620724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1.8006835836249444</v>
      </c>
      <c r="CM89" s="21">
        <f>EXP(-LN(2)/2)*CM88+(1-EXP(-LN(2)/2))/(LN(2)/2)*CG89*CJ89*VLOOKUP('Données projet'!$B$12,Paramètres!$A$1:$I$89,3,0)*0.475*44/12</f>
        <v>4.0876006119351532E-8</v>
      </c>
      <c r="CN89" s="22">
        <f t="shared" si="66"/>
        <v>1.8006836245009505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203.80000000000004</v>
      </c>
      <c r="CU89" s="17">
        <f>CT89*VLOOKUP('Données projet'!$B$13,Paramètres!$A$1:$I$89,3,0)*VLOOKUP('Données projet'!$B$13,Paramètres!$A$1:$I$89,5,0)</f>
        <v>232.08744000000004</v>
      </c>
      <c r="CV89" s="13">
        <f t="shared" si="95"/>
        <v>56.733797254131133</v>
      </c>
      <c r="CW89" s="20">
        <f t="shared" si="67"/>
        <v>503.03032155094508</v>
      </c>
      <c r="CX89" s="59">
        <f t="shared" si="68"/>
        <v>796.36365488427839</v>
      </c>
      <c r="CY89" s="59">
        <f ca="1">AVERAGE(OFFSET($CX$3,0,0,'Données projet'!$E$13+1,1))-AVERAGE(OFFSET($H$3,0,0,'Données projet'!$E$13+1,1))</f>
        <v>242.1473060698724</v>
      </c>
      <c r="CZ89" s="59">
        <f t="shared" si="96"/>
        <v>96.127995920458659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0</v>
      </c>
      <c r="EP89" s="59">
        <f t="shared" si="100"/>
        <v>0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179.86010141761648</v>
      </c>
      <c r="T90" s="59">
        <f t="shared" si="88"/>
        <v>367.01744242396057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21.257322402186421</v>
      </c>
      <c r="AA90" s="21">
        <f>EXP(-LN(2)/25)*AA89+(1-EXP(-LN(2)/25))/(LN(2)/25)*Calculateur!V90*Calculateur!X90*VLOOKUP('Données projet'!$B$9,Paramètres!$A$1:$I$89,3,0)*0.475*44/12</f>
        <v>12.120707434320479</v>
      </c>
      <c r="AB90" s="21">
        <f>EXP(-LN(2)/2)*AB89+(1-EXP(-LN(2)/2))/(LN(2)/2)*V90*Y90*VLOOKUP('Données projet'!$B$9,Paramètres!$A$1:$I$89,3,0)*0.475*44/12</f>
        <v>1.1970112508337211E-6</v>
      </c>
      <c r="AC90" s="22">
        <f t="shared" si="57"/>
        <v>33.378031033518148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-4.758931027026848E-13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318.09371753144256</v>
      </c>
      <c r="AO90" s="59">
        <f t="shared" si="90"/>
        <v>298.61479562586919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4.2550898782415532</v>
      </c>
      <c r="AW90" s="21">
        <f>EXP(-LN(2)/2)*AW89+(1-EXP(-LN(2)/2))/(LN(2)/2)*AQ90*AT90*VLOOKUP('Données projet'!$B$10,Paramètres!$A$1:$I$89,3,0)*0.475*44/12</f>
        <v>7.968503828368189E-8</v>
      </c>
      <c r="AX90" s="21">
        <f t="shared" si="60"/>
        <v>5.3864980479941584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35.999999999999943</v>
      </c>
      <c r="BE90" s="13">
        <f>BD90*VLOOKUP('Données projet'!$B$11,Paramètres!$A$1:$I$89,3,0)*VLOOKUP('Données projet'!$B$11,Paramètres!$A$1:$I$89,5,0)</f>
        <v>31.449599999999958</v>
      </c>
      <c r="BF90" s="13">
        <f t="shared" si="91"/>
        <v>9.7016318496336709</v>
      </c>
      <c r="BG90" s="20">
        <f t="shared" si="61"/>
        <v>71.671728804778567</v>
      </c>
      <c r="BH90" s="59">
        <f t="shared" si="62"/>
        <v>365.0050621381119</v>
      </c>
      <c r="BI90" s="59">
        <f ca="1">AVERAGE(OFFSET($BH$3,0,0,'Données projet'!$E$11+1,1))-AVERAGE(OFFSET($H$3,0,0,'Données projet'!$E$11+1,1))</f>
        <v>247.43282553724879</v>
      </c>
      <c r="BJ90" s="59">
        <f t="shared" si="92"/>
        <v>637.29471578895527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7.2469018171886509E-7</v>
      </c>
      <c r="BS90" s="22">
        <f t="shared" si="63"/>
        <v>7.2469018171886509E-7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4.6111381379887463E-14</v>
      </c>
      <c r="CA90" s="13">
        <f t="shared" si="93"/>
        <v>7.5804141040779151E-13</v>
      </c>
      <c r="CB90" s="20">
        <f t="shared" si="64"/>
        <v>1.4005661123635408E-12</v>
      </c>
      <c r="CC90" s="59">
        <f t="shared" si="65"/>
        <v>293.33333333333474</v>
      </c>
      <c r="CD90" s="59">
        <f ca="1">AVERAGE(OFFSET($CC$3,0,0,'Données projet'!$E$12+1,1))-AVERAGE(OFFSET($H$3,0,0,'Données projet'!$E$12+1,1))</f>
        <v>230.68538392491388</v>
      </c>
      <c r="CE90" s="59">
        <f t="shared" si="94"/>
        <v>267.97457956620724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1.7514437963368861</v>
      </c>
      <c r="CM90" s="21">
        <f>EXP(-LN(2)/2)*CM89+(1-EXP(-LN(2)/2))/(LN(2)/2)*CG90*CJ90*VLOOKUP('Données projet'!$B$12,Paramètres!$A$1:$I$89,3,0)*0.475*44/12</f>
        <v>2.8903701114816281E-8</v>
      </c>
      <c r="CN90" s="22">
        <f t="shared" si="66"/>
        <v>1.7514438252405873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208.10000000000005</v>
      </c>
      <c r="CU90" s="17">
        <f>CT90*VLOOKUP('Données projet'!$B$13,Paramètres!$A$1:$I$89,3,0)*VLOOKUP('Données projet'!$B$13,Paramètres!$A$1:$I$89,5,0)</f>
        <v>236.98428000000007</v>
      </c>
      <c r="CV90" s="13">
        <f t="shared" si="95"/>
        <v>57.790206890214137</v>
      </c>
      <c r="CW90" s="20">
        <f t="shared" si="67"/>
        <v>513.39889800045637</v>
      </c>
      <c r="CX90" s="59">
        <f t="shared" si="68"/>
        <v>806.73223133378974</v>
      </c>
      <c r="CY90" s="59">
        <f ca="1">AVERAGE(OFFSET($CX$3,0,0,'Données projet'!$E$13+1,1))-AVERAGE(OFFSET($H$3,0,0,'Données projet'!$E$13+1,1))</f>
        <v>242.1473060698724</v>
      </c>
      <c r="CZ90" s="59">
        <f t="shared" si="96"/>
        <v>96.127995920458659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0</v>
      </c>
      <c r="EP90" s="59">
        <f t="shared" si="100"/>
        <v>0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179.86010141761648</v>
      </c>
      <c r="T91" s="59">
        <f t="shared" si="88"/>
        <v>367.01744242396057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20.840479275565954</v>
      </c>
      <c r="AA91" s="21">
        <f>EXP(-LN(2)/25)*AA90+(1-EXP(-LN(2)/25))/(LN(2)/25)*Calculateur!V91*Calculateur!X91*VLOOKUP('Données projet'!$B$9,Paramètres!$A$1:$I$89,3,0)*0.475*44/12</f>
        <v>11.789266052128685</v>
      </c>
      <c r="AB91" s="21">
        <f>EXP(-LN(2)/2)*AB90+(1-EXP(-LN(2)/2))/(LN(2)/2)*V91*Y91*VLOOKUP('Données projet'!$B$9,Paramètres!$A$1:$I$89,3,0)*0.475*44/12</f>
        <v>8.4641477262111557E-7</v>
      </c>
      <c r="AC91" s="22">
        <f t="shared" si="57"/>
        <v>32.629746174109407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-4.758931027026848E-13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318.09371753144256</v>
      </c>
      <c r="AO91" s="59">
        <f t="shared" si="90"/>
        <v>298.61479562586919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4.1387342217555867</v>
      </c>
      <c r="AW91" s="21">
        <f>EXP(-LN(2)/2)*AW90+(1-EXP(-LN(2)/2))/(LN(2)/2)*AQ91*AT91*VLOOKUP('Données projet'!$B$10,Paramètres!$A$1:$I$89,3,0)*0.475*44/12</f>
        <v>5.6345830929501113E-8</v>
      </c>
      <c r="AX91" s="21">
        <f t="shared" si="60"/>
        <v>5.2479561456135535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35.999999999999943</v>
      </c>
      <c r="BE91" s="13">
        <f>BD91*VLOOKUP('Données projet'!$B$11,Paramètres!$A$1:$I$89,3,0)*VLOOKUP('Données projet'!$B$11,Paramètres!$A$1:$I$89,5,0)</f>
        <v>31.449599999999958</v>
      </c>
      <c r="BF91" s="13">
        <f t="shared" si="91"/>
        <v>9.7016318496336709</v>
      </c>
      <c r="BG91" s="20">
        <f t="shared" si="61"/>
        <v>71.671728804778567</v>
      </c>
      <c r="BH91" s="59">
        <f t="shared" si="62"/>
        <v>365.0050621381119</v>
      </c>
      <c r="BI91" s="59">
        <f ca="1">AVERAGE(OFFSET($BH$3,0,0,'Données projet'!$E$11+1,1))-AVERAGE(OFFSET($H$3,0,0,'Données projet'!$E$11+1,1))</f>
        <v>247.43282553724879</v>
      </c>
      <c r="BJ91" s="59">
        <f t="shared" si="92"/>
        <v>637.29471578895527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5.124333417527209E-7</v>
      </c>
      <c r="BS91" s="22">
        <f t="shared" si="63"/>
        <v>5.124333417527209E-7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4.6111381379887463E-14</v>
      </c>
      <c r="CA91" s="13">
        <f t="shared" si="93"/>
        <v>7.5804141040779151E-13</v>
      </c>
      <c r="CB91" s="20">
        <f t="shared" si="64"/>
        <v>1.4005661123635408E-12</v>
      </c>
      <c r="CC91" s="59">
        <f t="shared" si="65"/>
        <v>293.33333333333474</v>
      </c>
      <c r="CD91" s="59">
        <f ca="1">AVERAGE(OFFSET($CC$3,0,0,'Données projet'!$E$12+1,1))-AVERAGE(OFFSET($H$3,0,0,'Données projet'!$E$12+1,1))</f>
        <v>230.68538392491388</v>
      </c>
      <c r="CE91" s="59">
        <f t="shared" si="94"/>
        <v>267.97457956620724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1.7035504736216276</v>
      </c>
      <c r="CM91" s="21">
        <f>EXP(-LN(2)/2)*CM90+(1-EXP(-LN(2)/2))/(LN(2)/2)*CG91*CJ91*VLOOKUP('Données projet'!$B$12,Paramètres!$A$1:$I$89,3,0)*0.475*44/12</f>
        <v>2.0438003059675766E-8</v>
      </c>
      <c r="CN91" s="22">
        <f t="shared" si="66"/>
        <v>1.7035504940596307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212.40000000000006</v>
      </c>
      <c r="CU91" s="17">
        <f>CT91*VLOOKUP('Données projet'!$B$13,Paramètres!$A$1:$I$89,3,0)*VLOOKUP('Données projet'!$B$13,Paramètres!$A$1:$I$89,5,0)</f>
        <v>241.8811200000001</v>
      </c>
      <c r="CV91" s="13">
        <f t="shared" si="95"/>
        <v>58.844078522878426</v>
      </c>
      <c r="CW91" s="20">
        <f t="shared" si="67"/>
        <v>523.76305409401346</v>
      </c>
      <c r="CX91" s="59">
        <f t="shared" si="68"/>
        <v>817.09638742734683</v>
      </c>
      <c r="CY91" s="59">
        <f ca="1">AVERAGE(OFFSET($CX$3,0,0,'Données projet'!$E$13+1,1))-AVERAGE(OFFSET($H$3,0,0,'Données projet'!$E$13+1,1))</f>
        <v>242.1473060698724</v>
      </c>
      <c r="CZ91" s="59">
        <f t="shared" si="96"/>
        <v>96.127995920458659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0</v>
      </c>
      <c r="EP91" s="59">
        <f t="shared" si="100"/>
        <v>0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179.86010141761648</v>
      </c>
      <c r="T92" s="59">
        <f t="shared" si="88"/>
        <v>367.01744242396057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20.431810188409315</v>
      </c>
      <c r="AA92" s="21">
        <f>EXP(-LN(2)/25)*AA91+(1-EXP(-LN(2)/25))/(LN(2)/25)*Calculateur!V92*Calculateur!X92*VLOOKUP('Données projet'!$B$9,Paramètres!$A$1:$I$89,3,0)*0.475*44/12</f>
        <v>11.466887951962669</v>
      </c>
      <c r="AB92" s="21">
        <f>EXP(-LN(2)/2)*AB91+(1-EXP(-LN(2)/2))/(LN(2)/2)*V92*Y92*VLOOKUP('Données projet'!$B$9,Paramètres!$A$1:$I$89,3,0)*0.475*44/12</f>
        <v>5.9850562541686053E-7</v>
      </c>
      <c r="AC92" s="22">
        <f t="shared" si="57"/>
        <v>31.898698738877609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-4.758931027026848E-13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318.09371753144256</v>
      </c>
      <c r="AO92" s="59">
        <f t="shared" si="90"/>
        <v>298.61479562586919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4.0255603168151071</v>
      </c>
      <c r="AW92" s="21">
        <f>EXP(-LN(2)/2)*AW91+(1-EXP(-LN(2)/2))/(LN(2)/2)*AQ92*AT92*VLOOKUP('Données projet'!$B$10,Paramètres!$A$1:$I$89,3,0)*0.475*44/12</f>
        <v>3.9842519141840945E-8</v>
      </c>
      <c r="AX92" s="21">
        <f t="shared" si="60"/>
        <v>5.1130310599063842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35.999999999999943</v>
      </c>
      <c r="BE92" s="13">
        <f>BD92*VLOOKUP('Données projet'!$B$11,Paramètres!$A$1:$I$89,3,0)*VLOOKUP('Données projet'!$B$11,Paramètres!$A$1:$I$89,5,0)</f>
        <v>31.449599999999958</v>
      </c>
      <c r="BF92" s="13">
        <f t="shared" si="91"/>
        <v>9.7016318496336709</v>
      </c>
      <c r="BG92" s="20">
        <f t="shared" si="61"/>
        <v>71.671728804778567</v>
      </c>
      <c r="BH92" s="59">
        <f t="shared" si="62"/>
        <v>365.0050621381119</v>
      </c>
      <c r="BI92" s="59">
        <f ca="1">AVERAGE(OFFSET($BH$3,0,0,'Données projet'!$E$11+1,1))-AVERAGE(OFFSET($H$3,0,0,'Données projet'!$E$11+1,1))</f>
        <v>247.43282553724879</v>
      </c>
      <c r="BJ92" s="59">
        <f t="shared" si="92"/>
        <v>637.29471578895527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3.6234509085943255E-7</v>
      </c>
      <c r="BS92" s="22">
        <f t="shared" si="63"/>
        <v>3.6234509085943255E-7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4.6111381379887463E-14</v>
      </c>
      <c r="CA92" s="13">
        <f t="shared" si="93"/>
        <v>7.5804141040779151E-13</v>
      </c>
      <c r="CB92" s="20">
        <f t="shared" si="64"/>
        <v>1.4005661123635408E-12</v>
      </c>
      <c r="CC92" s="59">
        <f t="shared" si="65"/>
        <v>293.33333333333474</v>
      </c>
      <c r="CD92" s="59">
        <f ca="1">AVERAGE(OFFSET($CC$3,0,0,'Données projet'!$E$12+1,1))-AVERAGE(OFFSET($H$3,0,0,'Données projet'!$E$12+1,1))</f>
        <v>230.68538392491388</v>
      </c>
      <c r="CE92" s="59">
        <f t="shared" si="94"/>
        <v>267.97457956620724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1.6569667963346182</v>
      </c>
      <c r="CM92" s="21">
        <f>EXP(-LN(2)/2)*CM91+(1-EXP(-LN(2)/2))/(LN(2)/2)*CG92*CJ92*VLOOKUP('Données projet'!$B$12,Paramètres!$A$1:$I$89,3,0)*0.475*44/12</f>
        <v>1.4451850557408141E-8</v>
      </c>
      <c r="CN92" s="22">
        <f t="shared" si="66"/>
        <v>1.6569668107864688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216.70000000000007</v>
      </c>
      <c r="CU92" s="17">
        <f>CT92*VLOOKUP('Données projet'!$B$13,Paramètres!$A$1:$I$89,3,0)*VLOOKUP('Données projet'!$B$13,Paramètres!$A$1:$I$89,5,0)</f>
        <v>246.77796000000009</v>
      </c>
      <c r="CV92" s="13">
        <f t="shared" si="95"/>
        <v>59.895469454713925</v>
      </c>
      <c r="CW92" s="20">
        <f t="shared" si="67"/>
        <v>534.12288963362687</v>
      </c>
      <c r="CX92" s="59">
        <f t="shared" si="68"/>
        <v>827.45622296696024</v>
      </c>
      <c r="CY92" s="59">
        <f ca="1">AVERAGE(OFFSET($CX$3,0,0,'Données projet'!$E$13+1,1))-AVERAGE(OFFSET($H$3,0,0,'Données projet'!$E$13+1,1))</f>
        <v>242.1473060698724</v>
      </c>
      <c r="CZ92" s="59">
        <f t="shared" si="96"/>
        <v>96.127995920458659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0</v>
      </c>
      <c r="EP92" s="59">
        <f t="shared" si="100"/>
        <v>0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179.86010141761648</v>
      </c>
      <c r="T93" s="59">
        <f t="shared" si="88"/>
        <v>367.01744242396057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20.031154852788287</v>
      </c>
      <c r="AA93" s="21">
        <f>EXP(-LN(2)/25)*AA92+(1-EXP(-LN(2)/25))/(LN(2)/25)*Calculateur!V93*Calculateur!X93*VLOOKUP('Données projet'!$B$9,Paramètres!$A$1:$I$89,3,0)*0.475*44/12</f>
        <v>11.153325297898819</v>
      </c>
      <c r="AB93" s="21">
        <f>EXP(-LN(2)/2)*AB92+(1-EXP(-LN(2)/2))/(LN(2)/2)*V93*Y93*VLOOKUP('Données projet'!$B$9,Paramètres!$A$1:$I$89,3,0)*0.475*44/12</f>
        <v>4.2320738631055778E-7</v>
      </c>
      <c r="AC93" s="22">
        <f t="shared" si="57"/>
        <v>31.184480573894493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-4.758931027026848E-13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318.09371753144256</v>
      </c>
      <c r="AO93" s="59">
        <f t="shared" si="90"/>
        <v>298.61479562586919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3.9154811582567812</v>
      </c>
      <c r="AW93" s="21">
        <f>EXP(-LN(2)/2)*AW92+(1-EXP(-LN(2)/2))/(LN(2)/2)*AQ93*AT93*VLOOKUP('Données projet'!$B$10,Paramètres!$A$1:$I$89,3,0)*0.475*44/12</f>
        <v>2.8172915464750557E-8</v>
      </c>
      <c r="AX93" s="21">
        <f t="shared" si="60"/>
        <v>4.9816272524793801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35.999999999999943</v>
      </c>
      <c r="BE93" s="13">
        <f>BD93*VLOOKUP('Données projet'!$B$11,Paramètres!$A$1:$I$89,3,0)*VLOOKUP('Données projet'!$B$11,Paramètres!$A$1:$I$89,5,0)</f>
        <v>31.449599999999958</v>
      </c>
      <c r="BF93" s="13">
        <f t="shared" si="91"/>
        <v>9.7016318496336709</v>
      </c>
      <c r="BG93" s="20">
        <f t="shared" si="61"/>
        <v>71.671728804778567</v>
      </c>
      <c r="BH93" s="59">
        <f t="shared" si="62"/>
        <v>365.0050621381119</v>
      </c>
      <c r="BI93" s="59">
        <f ca="1">AVERAGE(OFFSET($BH$3,0,0,'Données projet'!$E$11+1,1))-AVERAGE(OFFSET($H$3,0,0,'Données projet'!$E$11+1,1))</f>
        <v>247.43282553724879</v>
      </c>
      <c r="BJ93" s="59">
        <f t="shared" si="92"/>
        <v>637.29471578895527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2.5621667087636045E-7</v>
      </c>
      <c r="BS93" s="22">
        <f t="shared" si="63"/>
        <v>2.5621667087636045E-7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4.6111381379887463E-14</v>
      </c>
      <c r="CA93" s="13">
        <f t="shared" si="93"/>
        <v>7.5804141040779151E-13</v>
      </c>
      <c r="CB93" s="20">
        <f t="shared" si="64"/>
        <v>1.4005661123635408E-12</v>
      </c>
      <c r="CC93" s="59">
        <f t="shared" si="65"/>
        <v>293.33333333333474</v>
      </c>
      <c r="CD93" s="59">
        <f ca="1">AVERAGE(OFFSET($CC$3,0,0,'Données projet'!$E$12+1,1))-AVERAGE(OFFSET($H$3,0,0,'Données projet'!$E$12+1,1))</f>
        <v>230.68538392491388</v>
      </c>
      <c r="CE93" s="59">
        <f t="shared" si="94"/>
        <v>267.97457956620724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1.6116569521527513</v>
      </c>
      <c r="CM93" s="21">
        <f>EXP(-LN(2)/2)*CM92+(1-EXP(-LN(2)/2))/(LN(2)/2)*CG93*CJ93*VLOOKUP('Données projet'!$B$12,Paramètres!$A$1:$I$89,3,0)*0.475*44/12</f>
        <v>1.0219001529837883E-8</v>
      </c>
      <c r="CN93" s="22">
        <f t="shared" si="66"/>
        <v>1.6116569623717527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221.00000000000009</v>
      </c>
      <c r="CU93" s="17">
        <f>CT93*VLOOKUP('Données projet'!$B$13,Paramètres!$A$1:$I$89,3,0)*VLOOKUP('Données projet'!$B$13,Paramètres!$A$1:$I$89,5,0)</f>
        <v>251.67480000000012</v>
      </c>
      <c r="CV93" s="13">
        <f t="shared" si="95"/>
        <v>60.944434584138499</v>
      </c>
      <c r="CW93" s="20">
        <f t="shared" si="67"/>
        <v>544.47850023404135</v>
      </c>
      <c r="CX93" s="59">
        <f t="shared" si="68"/>
        <v>837.81183356737461</v>
      </c>
      <c r="CY93" s="59">
        <f ca="1">AVERAGE(OFFSET($CX$3,0,0,'Données projet'!$E$13+1,1))-AVERAGE(OFFSET($H$3,0,0,'Données projet'!$E$13+1,1))</f>
        <v>242.1473060698724</v>
      </c>
      <c r="CZ93" s="59">
        <f t="shared" si="96"/>
        <v>96.127995920458659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0</v>
      </c>
      <c r="EP93" s="59">
        <f t="shared" si="100"/>
        <v>0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179.86010141761648</v>
      </c>
      <c r="T94" s="59">
        <f t="shared" si="88"/>
        <v>367.01744242396057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19.638356123923163</v>
      </c>
      <c r="AA94" s="21">
        <f>EXP(-LN(2)/25)*AA93+(1-EXP(-LN(2)/25))/(LN(2)/25)*Calculateur!V94*Calculateur!X94*VLOOKUP('Données projet'!$B$9,Paramètres!$A$1:$I$89,3,0)*0.475*44/12</f>
        <v>10.84833703109989</v>
      </c>
      <c r="AB94" s="21">
        <f>EXP(-LN(2)/2)*AB93+(1-EXP(-LN(2)/2))/(LN(2)/2)*V94*Y94*VLOOKUP('Données projet'!$B$9,Paramètres!$A$1:$I$89,3,0)*0.475*44/12</f>
        <v>2.9925281270843027E-7</v>
      </c>
      <c r="AC94" s="22">
        <f t="shared" si="57"/>
        <v>30.486693454275866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-4.758931027026848E-13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318.09371753144256</v>
      </c>
      <c r="AO94" s="59">
        <f t="shared" si="90"/>
        <v>298.61479562586919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3.8084121200780445</v>
      </c>
      <c r="AW94" s="21">
        <f>EXP(-LN(2)/2)*AW93+(1-EXP(-LN(2)/2))/(LN(2)/2)*AQ94*AT94*VLOOKUP('Données projet'!$B$10,Paramètres!$A$1:$I$89,3,0)*0.475*44/12</f>
        <v>1.9921259570920472E-8</v>
      </c>
      <c r="AX94" s="21">
        <f t="shared" si="60"/>
        <v>4.8536517319786432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35.999999999999943</v>
      </c>
      <c r="BE94" s="13">
        <f>BD94*VLOOKUP('Données projet'!$B$11,Paramètres!$A$1:$I$89,3,0)*VLOOKUP('Données projet'!$B$11,Paramètres!$A$1:$I$89,5,0)</f>
        <v>31.449599999999958</v>
      </c>
      <c r="BF94" s="13">
        <f t="shared" si="91"/>
        <v>9.7016318496336709</v>
      </c>
      <c r="BG94" s="20">
        <f t="shared" si="61"/>
        <v>71.671728804778567</v>
      </c>
      <c r="BH94" s="59">
        <f t="shared" si="62"/>
        <v>365.0050621381119</v>
      </c>
      <c r="BI94" s="59">
        <f ca="1">AVERAGE(OFFSET($BH$3,0,0,'Données projet'!$E$11+1,1))-AVERAGE(OFFSET($H$3,0,0,'Données projet'!$E$11+1,1))</f>
        <v>247.43282553724879</v>
      </c>
      <c r="BJ94" s="59">
        <f t="shared" si="92"/>
        <v>637.29471578895527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1.8117254542971627E-7</v>
      </c>
      <c r="BS94" s="22">
        <f t="shared" si="63"/>
        <v>1.8117254542971627E-7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4.6111381379887463E-14</v>
      </c>
      <c r="CA94" s="13">
        <f t="shared" si="93"/>
        <v>7.5804141040779151E-13</v>
      </c>
      <c r="CB94" s="20">
        <f t="shared" si="64"/>
        <v>1.4005661123635408E-12</v>
      </c>
      <c r="CC94" s="59">
        <f t="shared" si="65"/>
        <v>293.33333333333474</v>
      </c>
      <c r="CD94" s="59">
        <f ca="1">AVERAGE(OFFSET($CC$3,0,0,'Données projet'!$E$12+1,1))-AVERAGE(OFFSET($H$3,0,0,'Données projet'!$E$12+1,1))</f>
        <v>230.68538392491388</v>
      </c>
      <c r="CE94" s="59">
        <f t="shared" si="94"/>
        <v>267.97457956620724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1.5675861080427786</v>
      </c>
      <c r="CM94" s="21">
        <f>EXP(-LN(2)/2)*CM93+(1-EXP(-LN(2)/2))/(LN(2)/2)*CG94*CJ94*VLOOKUP('Données projet'!$B$12,Paramètres!$A$1:$I$89,3,0)*0.475*44/12</f>
        <v>7.2259252787040704E-9</v>
      </c>
      <c r="CN94" s="22">
        <f t="shared" si="66"/>
        <v>1.5675861152687038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196.70000000000007</v>
      </c>
      <c r="CU94" s="17">
        <f>CT94*VLOOKUP('Données projet'!$B$13,Paramètres!$A$1:$I$89,3,0)*VLOOKUP('Données projet'!$B$13,Paramètres!$A$1:$I$89,5,0)</f>
        <v>224.00196000000005</v>
      </c>
      <c r="CV94" s="13">
        <f t="shared" si="95"/>
        <v>54.983777263895249</v>
      </c>
      <c r="CW94" s="20">
        <f t="shared" si="67"/>
        <v>485.90015906795094</v>
      </c>
      <c r="CX94" s="59">
        <f t="shared" si="68"/>
        <v>779.23349240128425</v>
      </c>
      <c r="CY94" s="59">
        <f ca="1">AVERAGE(OFFSET($CX$3,0,0,'Données projet'!$E$13+1,1))-AVERAGE(OFFSET($H$3,0,0,'Données projet'!$E$13+1,1))</f>
        <v>242.1473060698724</v>
      </c>
      <c r="CZ94" s="59">
        <f t="shared" si="96"/>
        <v>96.127995920458659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0</v>
      </c>
      <c r="EP94" s="59">
        <f t="shared" si="100"/>
        <v>0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179.86010141761648</v>
      </c>
      <c r="T95" s="59">
        <f t="shared" si="88"/>
        <v>367.01744242396057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19.253259938547515</v>
      </c>
      <c r="AA95" s="21">
        <f>EXP(-LN(2)/25)*AA94+(1-EXP(-LN(2)/25))/(LN(2)/25)*Calculateur!V95*Calculateur!X95*VLOOKUP('Données projet'!$B$9,Paramètres!$A$1:$I$89,3,0)*0.475*44/12</f>
        <v>10.551688684495213</v>
      </c>
      <c r="AB95" s="21">
        <f>EXP(-LN(2)/2)*AB94+(1-EXP(-LN(2)/2))/(LN(2)/2)*V95*Y95*VLOOKUP('Données projet'!$B$9,Paramètres!$A$1:$I$89,3,0)*0.475*44/12</f>
        <v>2.1160369315527889E-7</v>
      </c>
      <c r="AC95" s="22">
        <f t="shared" si="57"/>
        <v>29.804948834646421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-4.758931027026848E-13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318.09371753144256</v>
      </c>
      <c r="AO95" s="59">
        <f t="shared" si="90"/>
        <v>298.61479562586919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3.7042708903788211</v>
      </c>
      <c r="AW95" s="21">
        <f>EXP(-LN(2)/2)*AW94+(1-EXP(-LN(2)/2))/(LN(2)/2)*AQ95*AT95*VLOOKUP('Données projet'!$B$10,Paramètres!$A$1:$I$89,3,0)*0.475*44/12</f>
        <v>1.4086457732375278E-8</v>
      </c>
      <c r="AX95" s="21">
        <f t="shared" si="60"/>
        <v>4.7290139855791029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35.999999999999943</v>
      </c>
      <c r="BE95" s="13">
        <f>BD95*VLOOKUP('Données projet'!$B$11,Paramètres!$A$1:$I$89,3,0)*VLOOKUP('Données projet'!$B$11,Paramètres!$A$1:$I$89,5,0)</f>
        <v>31.449599999999958</v>
      </c>
      <c r="BF95" s="13">
        <f t="shared" si="91"/>
        <v>9.7016318496336709</v>
      </c>
      <c r="BG95" s="20">
        <f t="shared" si="61"/>
        <v>71.671728804778567</v>
      </c>
      <c r="BH95" s="59">
        <f t="shared" si="62"/>
        <v>365.0050621381119</v>
      </c>
      <c r="BI95" s="59">
        <f ca="1">AVERAGE(OFFSET($BH$3,0,0,'Données projet'!$E$11+1,1))-AVERAGE(OFFSET($H$3,0,0,'Données projet'!$E$11+1,1))</f>
        <v>247.43282553724879</v>
      </c>
      <c r="BJ95" s="59">
        <f t="shared" si="92"/>
        <v>637.29471578895527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1.2810833543818022E-7</v>
      </c>
      <c r="BS95" s="22">
        <f t="shared" si="63"/>
        <v>1.2810833543818022E-7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4.6111381379887463E-14</v>
      </c>
      <c r="CA95" s="13">
        <f t="shared" si="93"/>
        <v>7.5804141040779151E-13</v>
      </c>
      <c r="CB95" s="20">
        <f t="shared" si="64"/>
        <v>1.4005661123635408E-12</v>
      </c>
      <c r="CC95" s="59">
        <f t="shared" si="65"/>
        <v>293.33333333333474</v>
      </c>
      <c r="CD95" s="59">
        <f ca="1">AVERAGE(OFFSET($CC$3,0,0,'Données projet'!$E$12+1,1))-AVERAGE(OFFSET($H$3,0,0,'Données projet'!$E$12+1,1))</f>
        <v>230.68538392491388</v>
      </c>
      <c r="CE95" s="59">
        <f t="shared" si="94"/>
        <v>267.97457956620724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1.5247203834825782</v>
      </c>
      <c r="CM95" s="21">
        <f>EXP(-LN(2)/2)*CM94+(1-EXP(-LN(2)/2))/(LN(2)/2)*CG95*CJ95*VLOOKUP('Données projet'!$B$12,Paramètres!$A$1:$I$89,3,0)*0.475*44/12</f>
        <v>5.1095007649189415E-9</v>
      </c>
      <c r="CN95" s="22">
        <f t="shared" si="66"/>
        <v>1.524720388592079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200.40000000000006</v>
      </c>
      <c r="CU95" s="17">
        <f>CT95*VLOOKUP('Données projet'!$B$13,Paramètres!$A$1:$I$89,3,0)*VLOOKUP('Données projet'!$B$13,Paramètres!$A$1:$I$89,5,0)</f>
        <v>228.21552000000005</v>
      </c>
      <c r="CV95" s="13">
        <f t="shared" si="95"/>
        <v>55.896660499583824</v>
      </c>
      <c r="CW95" s="20">
        <f t="shared" si="67"/>
        <v>494.82871437010857</v>
      </c>
      <c r="CX95" s="59">
        <f t="shared" si="68"/>
        <v>788.16204770344189</v>
      </c>
      <c r="CY95" s="59">
        <f ca="1">AVERAGE(OFFSET($CX$3,0,0,'Données projet'!$E$13+1,1))-AVERAGE(OFFSET($H$3,0,0,'Données projet'!$E$13+1,1))</f>
        <v>242.1473060698724</v>
      </c>
      <c r="CZ95" s="59">
        <f t="shared" si="96"/>
        <v>96.127995920458659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0</v>
      </c>
      <c r="EP95" s="59">
        <f t="shared" si="100"/>
        <v>0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179.86010141761648</v>
      </c>
      <c r="T96" s="59">
        <f t="shared" si="88"/>
        <v>367.01744242396057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18.875715254481605</v>
      </c>
      <c r="AA96" s="21">
        <f>EXP(-LN(2)/25)*AA95+(1-EXP(-LN(2)/25))/(LN(2)/25)*Calculateur!V96*Calculateur!X96*VLOOKUP('Données projet'!$B$9,Paramètres!$A$1:$I$89,3,0)*0.475*44/12</f>
        <v>10.2631522025285</v>
      </c>
      <c r="AB96" s="21">
        <f>EXP(-LN(2)/2)*AB95+(1-EXP(-LN(2)/2))/(LN(2)/2)*V96*Y96*VLOOKUP('Données projet'!$B$9,Paramètres!$A$1:$I$89,3,0)*0.475*44/12</f>
        <v>1.4962640635421513E-7</v>
      </c>
      <c r="AC96" s="22">
        <f t="shared" si="57"/>
        <v>29.138867606636513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-4.758931027026848E-13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318.09371753144256</v>
      </c>
      <c r="AO96" s="59">
        <f t="shared" si="90"/>
        <v>298.61479562586919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3.6029774080822725</v>
      </c>
      <c r="AW96" s="21">
        <f>EXP(-LN(2)/2)*AW95+(1-EXP(-LN(2)/2))/(LN(2)/2)*AQ96*AT96*VLOOKUP('Données projet'!$B$10,Paramètres!$A$1:$I$89,3,0)*0.475*44/12</f>
        <v>9.9606297854602362E-9</v>
      </c>
      <c r="AX96" s="21">
        <f t="shared" si="60"/>
        <v>4.6076259123676468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35.999999999999943</v>
      </c>
      <c r="BE96" s="13">
        <f>BD96*VLOOKUP('Données projet'!$B$11,Paramètres!$A$1:$I$89,3,0)*VLOOKUP('Données projet'!$B$11,Paramètres!$A$1:$I$89,5,0)</f>
        <v>31.449599999999958</v>
      </c>
      <c r="BF96" s="13">
        <f t="shared" si="91"/>
        <v>9.7016318496336709</v>
      </c>
      <c r="BG96" s="20">
        <f t="shared" si="61"/>
        <v>71.671728804778567</v>
      </c>
      <c r="BH96" s="59">
        <f t="shared" si="62"/>
        <v>365.0050621381119</v>
      </c>
      <c r="BI96" s="59">
        <f ca="1">AVERAGE(OFFSET($BH$3,0,0,'Données projet'!$E$11+1,1))-AVERAGE(OFFSET($H$3,0,0,'Données projet'!$E$11+1,1))</f>
        <v>247.43282553724879</v>
      </c>
      <c r="BJ96" s="59">
        <f t="shared" si="92"/>
        <v>637.29471578895527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9.0586272714858136E-8</v>
      </c>
      <c r="BS96" s="22">
        <f t="shared" si="63"/>
        <v>9.0586272714858136E-8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4.6111381379887463E-14</v>
      </c>
      <c r="CA96" s="13">
        <f t="shared" si="93"/>
        <v>7.5804141040779151E-13</v>
      </c>
      <c r="CB96" s="20">
        <f t="shared" si="64"/>
        <v>1.4005661123635408E-12</v>
      </c>
      <c r="CC96" s="59">
        <f t="shared" si="65"/>
        <v>293.33333333333474</v>
      </c>
      <c r="CD96" s="59">
        <f ca="1">AVERAGE(OFFSET($CC$3,0,0,'Données projet'!$E$12+1,1))-AVERAGE(OFFSET($H$3,0,0,'Données projet'!$E$12+1,1))</f>
        <v>230.68538392491388</v>
      </c>
      <c r="CE96" s="59">
        <f t="shared" si="94"/>
        <v>267.97457956620724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1.4830268244146869</v>
      </c>
      <c r="CM96" s="21">
        <f>EXP(-LN(2)/2)*CM95+(1-EXP(-LN(2)/2))/(LN(2)/2)*CG96*CJ96*VLOOKUP('Données projet'!$B$12,Paramètres!$A$1:$I$89,3,0)*0.475*44/12</f>
        <v>3.6129626393520352E-9</v>
      </c>
      <c r="CN96" s="22">
        <f t="shared" si="66"/>
        <v>1.4830268280276495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204.10000000000005</v>
      </c>
      <c r="CU96" s="17">
        <f>CT96*VLOOKUP('Données projet'!$B$13,Paramètres!$A$1:$I$89,3,0)*VLOOKUP('Données projet'!$B$13,Paramètres!$A$1:$I$89,5,0)</f>
        <v>232.42908000000006</v>
      </c>
      <c r="CV96" s="13">
        <f t="shared" si="95"/>
        <v>56.80758384518689</v>
      </c>
      <c r="CW96" s="20">
        <f t="shared" si="67"/>
        <v>503.75385619703394</v>
      </c>
      <c r="CX96" s="59">
        <f t="shared" si="68"/>
        <v>797.08718953036725</v>
      </c>
      <c r="CY96" s="59">
        <f ca="1">AVERAGE(OFFSET($CX$3,0,0,'Données projet'!$E$13+1,1))-AVERAGE(OFFSET($H$3,0,0,'Données projet'!$E$13+1,1))</f>
        <v>242.1473060698724</v>
      </c>
      <c r="CZ96" s="59">
        <f t="shared" si="96"/>
        <v>96.127995920458659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0</v>
      </c>
      <c r="EP96" s="59">
        <f t="shared" si="100"/>
        <v>0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179.86010141761648</v>
      </c>
      <c r="T97" s="59">
        <f t="shared" si="88"/>
        <v>367.01744242396057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18.505573991390708</v>
      </c>
      <c r="AA97" s="21">
        <f>EXP(-LN(2)/25)*AA96+(1-EXP(-LN(2)/25))/(LN(2)/25)*Calculateur!V97*Calculateur!X97*VLOOKUP('Données projet'!$B$9,Paramètres!$A$1:$I$89,3,0)*0.475*44/12</f>
        <v>9.9825057658346417</v>
      </c>
      <c r="AB97" s="21">
        <f>EXP(-LN(2)/2)*AB96+(1-EXP(-LN(2)/2))/(LN(2)/2)*V97*Y97*VLOOKUP('Données projet'!$B$9,Paramètres!$A$1:$I$89,3,0)*0.475*44/12</f>
        <v>1.0580184657763945E-7</v>
      </c>
      <c r="AC97" s="22">
        <f t="shared" si="57"/>
        <v>28.488079863027195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-4.758931027026848E-13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318.09371753144256</v>
      </c>
      <c r="AO97" s="59">
        <f t="shared" si="90"/>
        <v>298.61479562586919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3.5044538013859157</v>
      </c>
      <c r="AW97" s="21">
        <f>EXP(-LN(2)/2)*AW96+(1-EXP(-LN(2)/2))/(LN(2)/2)*AQ97*AT97*VLOOKUP('Données projet'!$B$10,Paramètres!$A$1:$I$89,3,0)*0.475*44/12</f>
        <v>7.0432288661876391E-9</v>
      </c>
      <c r="AX97" s="21">
        <f t="shared" si="60"/>
        <v>4.4894017585552568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35.999999999999943</v>
      </c>
      <c r="BE97" s="13">
        <f>BD97*VLOOKUP('Données projet'!$B$11,Paramètres!$A$1:$I$89,3,0)*VLOOKUP('Données projet'!$B$11,Paramètres!$A$1:$I$89,5,0)</f>
        <v>31.449599999999958</v>
      </c>
      <c r="BF97" s="13">
        <f t="shared" si="91"/>
        <v>9.7016318496336709</v>
      </c>
      <c r="BG97" s="20">
        <f t="shared" si="61"/>
        <v>71.671728804778567</v>
      </c>
      <c r="BH97" s="59">
        <f t="shared" si="62"/>
        <v>365.0050621381119</v>
      </c>
      <c r="BI97" s="59">
        <f ca="1">AVERAGE(OFFSET($BH$3,0,0,'Données projet'!$E$11+1,1))-AVERAGE(OFFSET($H$3,0,0,'Données projet'!$E$11+1,1))</f>
        <v>247.43282553724879</v>
      </c>
      <c r="BJ97" s="59">
        <f t="shared" si="92"/>
        <v>637.29471578895527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6.4054167719090112E-8</v>
      </c>
      <c r="BS97" s="22">
        <f t="shared" si="63"/>
        <v>6.4054167719090112E-8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4.6111381379887463E-14</v>
      </c>
      <c r="CA97" s="13">
        <f t="shared" si="93"/>
        <v>7.5804141040779151E-13</v>
      </c>
      <c r="CB97" s="20">
        <f t="shared" si="64"/>
        <v>1.4005661123635408E-12</v>
      </c>
      <c r="CC97" s="59">
        <f t="shared" si="65"/>
        <v>293.33333333333474</v>
      </c>
      <c r="CD97" s="59">
        <f ca="1">AVERAGE(OFFSET($CC$3,0,0,'Données projet'!$E$12+1,1))-AVERAGE(OFFSET($H$3,0,0,'Données projet'!$E$12+1,1))</f>
        <v>230.68538392491388</v>
      </c>
      <c r="CE97" s="59">
        <f t="shared" si="94"/>
        <v>267.97457956620724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1.4424733779120762</v>
      </c>
      <c r="CM97" s="21">
        <f>EXP(-LN(2)/2)*CM96+(1-EXP(-LN(2)/2))/(LN(2)/2)*CG97*CJ97*VLOOKUP('Données projet'!$B$12,Paramètres!$A$1:$I$89,3,0)*0.475*44/12</f>
        <v>2.5547503824594707E-9</v>
      </c>
      <c r="CN97" s="22">
        <f t="shared" si="66"/>
        <v>1.4424733804668266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207.80000000000004</v>
      </c>
      <c r="CU97" s="17">
        <f>CT97*VLOOKUP('Données projet'!$B$13,Paramètres!$A$1:$I$89,3,0)*VLOOKUP('Données projet'!$B$13,Paramètres!$A$1:$I$89,5,0)</f>
        <v>236.64264000000003</v>
      </c>
      <c r="CV97" s="13">
        <f t="shared" si="95"/>
        <v>57.716586928517103</v>
      </c>
      <c r="CW97" s="20">
        <f t="shared" si="67"/>
        <v>512.67565356716739</v>
      </c>
      <c r="CX97" s="59">
        <f t="shared" si="68"/>
        <v>806.00898690050076</v>
      </c>
      <c r="CY97" s="59">
        <f ca="1">AVERAGE(OFFSET($CX$3,0,0,'Données projet'!$E$13+1,1))-AVERAGE(OFFSET($H$3,0,0,'Données projet'!$E$13+1,1))</f>
        <v>242.1473060698724</v>
      </c>
      <c r="CZ97" s="59">
        <f t="shared" si="96"/>
        <v>96.127995920458659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0</v>
      </c>
      <c r="EP97" s="59">
        <f t="shared" si="100"/>
        <v>0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179.86010141761648</v>
      </c>
      <c r="T98" s="59">
        <f t="shared" si="88"/>
        <v>367.01744242396057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18.142690972705143</v>
      </c>
      <c r="AA98" s="21">
        <f>EXP(-LN(2)/25)*AA97+(1-EXP(-LN(2)/25))/(LN(2)/25)*Calculateur!V98*Calculateur!X98*VLOOKUP('Données projet'!$B$9,Paramètres!$A$1:$I$89,3,0)*0.475*44/12</f>
        <v>9.7095336207107312</v>
      </c>
      <c r="AB98" s="21">
        <f>EXP(-LN(2)/2)*AB97+(1-EXP(-LN(2)/2))/(LN(2)/2)*V98*Y98*VLOOKUP('Données projet'!$B$9,Paramètres!$A$1:$I$89,3,0)*0.475*44/12</f>
        <v>7.4813203177107566E-8</v>
      </c>
      <c r="AC98" s="22">
        <f t="shared" si="57"/>
        <v>27.852224668229081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-4.758931027026848E-13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318.09371753144256</v>
      </c>
      <c r="AO98" s="59">
        <f t="shared" si="90"/>
        <v>298.61479562586919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3.4086243278958017</v>
      </c>
      <c r="AW98" s="21">
        <f>EXP(-LN(2)/2)*AW97+(1-EXP(-LN(2)/2))/(LN(2)/2)*AQ98*AT98*VLOOKUP('Données projet'!$B$10,Paramètres!$A$1:$I$89,3,0)*0.475*44/12</f>
        <v>4.9803148927301181E-9</v>
      </c>
      <c r="AX98" s="21">
        <f t="shared" si="60"/>
        <v>4.3742580544591849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35.999999999999943</v>
      </c>
      <c r="BE98" s="13">
        <f>BD98*VLOOKUP('Données projet'!$B$11,Paramètres!$A$1:$I$89,3,0)*VLOOKUP('Données projet'!$B$11,Paramètres!$A$1:$I$89,5,0)</f>
        <v>31.449599999999958</v>
      </c>
      <c r="BF98" s="13">
        <f t="shared" si="91"/>
        <v>9.7016318496336709</v>
      </c>
      <c r="BG98" s="20">
        <f t="shared" si="61"/>
        <v>71.671728804778567</v>
      </c>
      <c r="BH98" s="59">
        <f t="shared" si="62"/>
        <v>365.0050621381119</v>
      </c>
      <c r="BI98" s="59">
        <f ca="1">AVERAGE(OFFSET($BH$3,0,0,'Données projet'!$E$11+1,1))-AVERAGE(OFFSET($H$3,0,0,'Données projet'!$E$11+1,1))</f>
        <v>247.43282553724879</v>
      </c>
      <c r="BJ98" s="59">
        <f t="shared" si="92"/>
        <v>637.29471578895527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4.5293136357429068E-8</v>
      </c>
      <c r="BS98" s="22">
        <f t="shared" si="63"/>
        <v>4.5293136357429068E-8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4.6111381379887463E-14</v>
      </c>
      <c r="CA98" s="13">
        <f t="shared" si="93"/>
        <v>7.5804141040779151E-13</v>
      </c>
      <c r="CB98" s="20">
        <f t="shared" si="64"/>
        <v>1.4005661123635408E-12</v>
      </c>
      <c r="CC98" s="59">
        <f t="shared" si="65"/>
        <v>293.33333333333474</v>
      </c>
      <c r="CD98" s="59">
        <f ca="1">AVERAGE(OFFSET($CC$3,0,0,'Données projet'!$E$12+1,1))-AVERAGE(OFFSET($H$3,0,0,'Données projet'!$E$12+1,1))</f>
        <v>230.68538392491388</v>
      </c>
      <c r="CE98" s="59">
        <f t="shared" si="94"/>
        <v>267.97457956620724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1.4030288675366924</v>
      </c>
      <c r="CM98" s="21">
        <f>EXP(-LN(2)/2)*CM97+(1-EXP(-LN(2)/2))/(LN(2)/2)*CG98*CJ98*VLOOKUP('Données projet'!$B$12,Paramètres!$A$1:$I$89,3,0)*0.475*44/12</f>
        <v>1.8064813196760176E-9</v>
      </c>
      <c r="CN98" s="22">
        <f t="shared" si="66"/>
        <v>1.4030288693431738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211.50000000000003</v>
      </c>
      <c r="CU98" s="17">
        <f>CT98*VLOOKUP('Données projet'!$B$13,Paramètres!$A$1:$I$89,3,0)*VLOOKUP('Données projet'!$B$13,Paramètres!$A$1:$I$89,5,0)</f>
        <v>240.85620000000003</v>
      </c>
      <c r="CV98" s="13">
        <f t="shared" si="95"/>
        <v>58.623707885373882</v>
      </c>
      <c r="CW98" s="20">
        <f t="shared" si="67"/>
        <v>521.59417290035958</v>
      </c>
      <c r="CX98" s="59">
        <f t="shared" si="68"/>
        <v>814.92750623369284</v>
      </c>
      <c r="CY98" s="59">
        <f ca="1">AVERAGE(OFFSET($CX$3,0,0,'Données projet'!$E$13+1,1))-AVERAGE(OFFSET($H$3,0,0,'Données projet'!$E$13+1,1))</f>
        <v>242.1473060698724</v>
      </c>
      <c r="CZ98" s="59">
        <f t="shared" si="96"/>
        <v>96.127995920458659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0</v>
      </c>
      <c r="EP98" s="59">
        <f t="shared" si="100"/>
        <v>0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179.86010141761648</v>
      </c>
      <c r="T99" s="59">
        <f t="shared" si="88"/>
        <v>367.01744242396057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17.786923868679217</v>
      </c>
      <c r="AA99" s="21">
        <f>EXP(-LN(2)/25)*AA98+(1-EXP(-LN(2)/25))/(LN(2)/25)*Calculateur!V99*Calculateur!X99*VLOOKUP('Données projet'!$B$9,Paramètres!$A$1:$I$89,3,0)*0.475*44/12</f>
        <v>9.4440259132502149</v>
      </c>
      <c r="AB99" s="21">
        <f>EXP(-LN(2)/2)*AB98+(1-EXP(-LN(2)/2))/(LN(2)/2)*V99*Y99*VLOOKUP('Données projet'!$B$9,Paramètres!$A$1:$I$89,3,0)*0.475*44/12</f>
        <v>5.2900923288819723E-8</v>
      </c>
      <c r="AC99" s="22">
        <f t="shared" si="57"/>
        <v>27.230949834830355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-4.758931027026848E-13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318.09371753144256</v>
      </c>
      <c r="AO99" s="59">
        <f t="shared" si="90"/>
        <v>298.61479562586919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3.3154153163977282</v>
      </c>
      <c r="AW99" s="21">
        <f>EXP(-LN(2)/2)*AW98+(1-EXP(-LN(2)/2))/(LN(2)/2)*AQ99*AT99*VLOOKUP('Données projet'!$B$10,Paramètres!$A$1:$I$89,3,0)*0.475*44/12</f>
        <v>3.5216144330938196E-9</v>
      </c>
      <c r="AX99" s="21">
        <f t="shared" si="60"/>
        <v>4.2621135532005798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35.999999999999943</v>
      </c>
      <c r="BE99" s="13">
        <f>BD99*VLOOKUP('Données projet'!$B$11,Paramètres!$A$1:$I$89,3,0)*VLOOKUP('Données projet'!$B$11,Paramètres!$A$1:$I$89,5,0)</f>
        <v>31.449599999999958</v>
      </c>
      <c r="BF99" s="13">
        <f t="shared" si="91"/>
        <v>9.7016318496336709</v>
      </c>
      <c r="BG99" s="20">
        <f t="shared" si="61"/>
        <v>71.671728804778567</v>
      </c>
      <c r="BH99" s="59">
        <f t="shared" si="62"/>
        <v>365.0050621381119</v>
      </c>
      <c r="BI99" s="59">
        <f ca="1">AVERAGE(OFFSET($BH$3,0,0,'Données projet'!$E$11+1,1))-AVERAGE(OFFSET($H$3,0,0,'Données projet'!$E$11+1,1))</f>
        <v>247.43282553724879</v>
      </c>
      <c r="BJ99" s="59">
        <f t="shared" si="92"/>
        <v>637.29471578895527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3.2027083859545056E-8</v>
      </c>
      <c r="BS99" s="22">
        <f t="shared" si="63"/>
        <v>3.2027083859545056E-8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4.6111381379887463E-14</v>
      </c>
      <c r="CA99" s="13">
        <f t="shared" si="93"/>
        <v>7.5804141040779151E-13</v>
      </c>
      <c r="CB99" s="20">
        <f t="shared" si="64"/>
        <v>1.4005661123635408E-12</v>
      </c>
      <c r="CC99" s="59">
        <f t="shared" si="65"/>
        <v>293.33333333333474</v>
      </c>
      <c r="CD99" s="59">
        <f ca="1">AVERAGE(OFFSET($CC$3,0,0,'Données projet'!$E$12+1,1))-AVERAGE(OFFSET($H$3,0,0,'Données projet'!$E$12+1,1))</f>
        <v>230.68538392491388</v>
      </c>
      <c r="CE99" s="59">
        <f t="shared" si="94"/>
        <v>267.97457956620724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1.3646629693718202</v>
      </c>
      <c r="CM99" s="21">
        <f>EXP(-LN(2)/2)*CM98+(1-EXP(-LN(2)/2))/(LN(2)/2)*CG99*CJ99*VLOOKUP('Données projet'!$B$12,Paramètres!$A$1:$I$89,3,0)*0.475*44/12</f>
        <v>1.2773751912297354E-9</v>
      </c>
      <c r="CN99" s="22">
        <f t="shared" si="66"/>
        <v>1.3646629706491953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215.20000000000002</v>
      </c>
      <c r="CU99" s="17">
        <f>CT99*VLOOKUP('Données projet'!$B$13,Paramètres!$A$1:$I$89,3,0)*VLOOKUP('Données projet'!$B$13,Paramètres!$A$1:$I$89,5,0)</f>
        <v>245.06976</v>
      </c>
      <c r="CV99" s="13">
        <f t="shared" si="95"/>
        <v>59.528983440819111</v>
      </c>
      <c r="CW99" s="20">
        <f t="shared" si="67"/>
        <v>530.50947815942664</v>
      </c>
      <c r="CX99" s="59">
        <f t="shared" si="68"/>
        <v>823.84281149275989</v>
      </c>
      <c r="CY99" s="59">
        <f ca="1">AVERAGE(OFFSET($CX$3,0,0,'Données projet'!$E$13+1,1))-AVERAGE(OFFSET($H$3,0,0,'Données projet'!$E$13+1,1))</f>
        <v>242.1473060698724</v>
      </c>
      <c r="CZ99" s="59">
        <f t="shared" si="96"/>
        <v>96.127995920458659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0</v>
      </c>
      <c r="EP99" s="59">
        <f t="shared" si="100"/>
        <v>0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179.86010141761648</v>
      </c>
      <c r="T100" s="59">
        <f t="shared" si="88"/>
        <v>367.01744242396057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17.438133140566734</v>
      </c>
      <c r="AA100" s="21">
        <f>EXP(-LN(2)/25)*AA99+(1-EXP(-LN(2)/25))/(LN(2)/25)*Calculateur!V100*Calculateur!X100*VLOOKUP('Données projet'!$B$9,Paramètres!$A$1:$I$89,3,0)*0.475*44/12</f>
        <v>9.1857785280126496</v>
      </c>
      <c r="AB100" s="21">
        <f>EXP(-LN(2)/2)*AB99+(1-EXP(-LN(2)/2))/(LN(2)/2)*V100*Y100*VLOOKUP('Données projet'!$B$9,Paramètres!$A$1:$I$89,3,0)*0.475*44/12</f>
        <v>3.7406601588553783E-8</v>
      </c>
      <c r="AC100" s="22">
        <f t="shared" si="57"/>
        <v>26.623911705985982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-4.758931027026848E-13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318.09371753144256</v>
      </c>
      <c r="AO100" s="59">
        <f t="shared" si="90"/>
        <v>298.61479562586919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3.2247551102207184</v>
      </c>
      <c r="AW100" s="21">
        <f>EXP(-LN(2)/2)*AW99+(1-EXP(-LN(2)/2))/(LN(2)/2)*AQ100*AT100*VLOOKUP('Données projet'!$B$10,Paramètres!$A$1:$I$89,3,0)*0.475*44/12</f>
        <v>2.490157446365059E-9</v>
      </c>
      <c r="AX100" s="21">
        <f t="shared" si="60"/>
        <v>4.1528891710663745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35.999999999999943</v>
      </c>
      <c r="BE100" s="13">
        <f>BD100*VLOOKUP('Données projet'!$B$11,Paramètres!$A$1:$I$89,3,0)*VLOOKUP('Données projet'!$B$11,Paramètres!$A$1:$I$89,5,0)</f>
        <v>31.449599999999958</v>
      </c>
      <c r="BF100" s="13">
        <f t="shared" si="91"/>
        <v>9.7016318496336709</v>
      </c>
      <c r="BG100" s="20">
        <f t="shared" si="61"/>
        <v>71.671728804778567</v>
      </c>
      <c r="BH100" s="59">
        <f t="shared" si="62"/>
        <v>365.0050621381119</v>
      </c>
      <c r="BI100" s="59">
        <f ca="1">AVERAGE(OFFSET($BH$3,0,0,'Données projet'!$E$11+1,1))-AVERAGE(OFFSET($H$3,0,0,'Données projet'!$E$11+1,1))</f>
        <v>247.43282553724879</v>
      </c>
      <c r="BJ100" s="59">
        <f t="shared" si="92"/>
        <v>637.29471578895527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2.2646568178714534E-8</v>
      </c>
      <c r="BS100" s="22">
        <f t="shared" si="63"/>
        <v>2.2646568178714534E-8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4.6111381379887463E-14</v>
      </c>
      <c r="CA100" s="13">
        <f t="shared" si="93"/>
        <v>7.5804141040779151E-13</v>
      </c>
      <c r="CB100" s="20">
        <f t="shared" si="64"/>
        <v>1.4005661123635408E-12</v>
      </c>
      <c r="CC100" s="59">
        <f t="shared" si="65"/>
        <v>293.33333333333474</v>
      </c>
      <c r="CD100" s="59">
        <f ca="1">AVERAGE(OFFSET($CC$3,0,0,'Données projet'!$E$12+1,1))-AVERAGE(OFFSET($H$3,0,0,'Données projet'!$E$12+1,1))</f>
        <v>230.68538392491388</v>
      </c>
      <c r="CE100" s="59">
        <f t="shared" si="94"/>
        <v>267.97457956620724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1.3273461887098412</v>
      </c>
      <c r="CM100" s="21">
        <f>EXP(-LN(2)/2)*CM99+(1-EXP(-LN(2)/2))/(LN(2)/2)*CG100*CJ100*VLOOKUP('Données projet'!$B$12,Paramètres!$A$1:$I$89,3,0)*0.475*44/12</f>
        <v>9.0324065983800879E-10</v>
      </c>
      <c r="CN100" s="22">
        <f t="shared" si="66"/>
        <v>1.3273461896130818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218.9</v>
      </c>
      <c r="CU100" s="17">
        <f>CT100*VLOOKUP('Données projet'!$B$13,Paramètres!$A$1:$I$89,3,0)*VLOOKUP('Données projet'!$B$13,Paramètres!$A$1:$I$89,5,0)</f>
        <v>249.28332</v>
      </c>
      <c r="CV100" s="13">
        <f t="shared" si="95"/>
        <v>60.432448984705822</v>
      </c>
      <c r="CW100" s="20">
        <f t="shared" si="67"/>
        <v>539.42163098169601</v>
      </c>
      <c r="CX100" s="59">
        <f t="shared" si="68"/>
        <v>832.75496431502938</v>
      </c>
      <c r="CY100" s="59">
        <f ca="1">AVERAGE(OFFSET($CX$3,0,0,'Données projet'!$E$13+1,1))-AVERAGE(OFFSET($H$3,0,0,'Données projet'!$E$13+1,1))</f>
        <v>242.1473060698724</v>
      </c>
      <c r="CZ100" s="59">
        <f t="shared" si="96"/>
        <v>96.127995920458659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0</v>
      </c>
      <c r="EP100" s="59">
        <f t="shared" si="100"/>
        <v>0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179.86010141761648</v>
      </c>
      <c r="T101" s="59">
        <f t="shared" si="88"/>
        <v>367.01744242396057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17.096181985891196</v>
      </c>
      <c r="AA101" s="21">
        <f>EXP(-LN(2)/25)*AA100+(1-EXP(-LN(2)/25))/(LN(2)/25)*Calculateur!V101*Calculateur!X101*VLOOKUP('Données projet'!$B$9,Paramètres!$A$1:$I$89,3,0)*0.475*44/12</f>
        <v>8.9345929311050458</v>
      </c>
      <c r="AB101" s="21">
        <f>EXP(-LN(2)/2)*AB100+(1-EXP(-LN(2)/2))/(LN(2)/2)*V101*Y101*VLOOKUP('Données projet'!$B$9,Paramètres!$A$1:$I$89,3,0)*0.475*44/12</f>
        <v>2.6450461644409862E-8</v>
      </c>
      <c r="AC101" s="22">
        <f t="shared" si="57"/>
        <v>26.030774943446705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-4.758931027026848E-13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318.09371753144256</v>
      </c>
      <c r="AO101" s="59">
        <f t="shared" si="90"/>
        <v>298.61479562586919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3.1365740121492318</v>
      </c>
      <c r="AW101" s="21">
        <f>EXP(-LN(2)/2)*AW100+(1-EXP(-LN(2)/2))/(LN(2)/2)*AQ101*AT101*VLOOKUP('Données projet'!$B$10,Paramètres!$A$1:$I$89,3,0)*0.475*44/12</f>
        <v>1.7608072165469098E-9</v>
      </c>
      <c r="AX101" s="21">
        <f t="shared" si="60"/>
        <v>4.0465079294870643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35.999999999999943</v>
      </c>
      <c r="BE101" s="13">
        <f>BD101*VLOOKUP('Données projet'!$B$11,Paramètres!$A$1:$I$89,3,0)*VLOOKUP('Données projet'!$B$11,Paramètres!$A$1:$I$89,5,0)</f>
        <v>31.449599999999958</v>
      </c>
      <c r="BF101" s="13">
        <f t="shared" si="91"/>
        <v>9.7016318496336709</v>
      </c>
      <c r="BG101" s="20">
        <f t="shared" si="61"/>
        <v>71.671728804778567</v>
      </c>
      <c r="BH101" s="59">
        <f t="shared" si="62"/>
        <v>365.0050621381119</v>
      </c>
      <c r="BI101" s="59">
        <f ca="1">AVERAGE(OFFSET($BH$3,0,0,'Données projet'!$E$11+1,1))-AVERAGE(OFFSET($H$3,0,0,'Données projet'!$E$11+1,1))</f>
        <v>247.43282553724879</v>
      </c>
      <c r="BJ101" s="59">
        <f t="shared" si="92"/>
        <v>637.29471578895527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1.6013541929772528E-8</v>
      </c>
      <c r="BS101" s="22">
        <f t="shared" si="63"/>
        <v>1.6013541929772528E-8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4.6111381379887463E-14</v>
      </c>
      <c r="CA101" s="13">
        <f t="shared" si="93"/>
        <v>7.5804141040779151E-13</v>
      </c>
      <c r="CB101" s="20">
        <f t="shared" si="64"/>
        <v>1.4005661123635408E-12</v>
      </c>
      <c r="CC101" s="59">
        <f t="shared" si="65"/>
        <v>293.33333333333474</v>
      </c>
      <c r="CD101" s="59">
        <f ca="1">AVERAGE(OFFSET($CC$3,0,0,'Données projet'!$E$12+1,1))-AVERAGE(OFFSET($H$3,0,0,'Données projet'!$E$12+1,1))</f>
        <v>230.68538392491388</v>
      </c>
      <c r="CE101" s="59">
        <f t="shared" si="94"/>
        <v>267.97457956620724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1.2910498373774681</v>
      </c>
      <c r="CM101" s="21">
        <f>EXP(-LN(2)/2)*CM100+(1-EXP(-LN(2)/2))/(LN(2)/2)*CG101*CJ101*VLOOKUP('Données projet'!$B$12,Paramètres!$A$1:$I$89,3,0)*0.475*44/12</f>
        <v>6.3868759561486768E-10</v>
      </c>
      <c r="CN101" s="22">
        <f t="shared" si="66"/>
        <v>1.2910498380161557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222.6</v>
      </c>
      <c r="CU101" s="17">
        <f>CT101*VLOOKUP('Données projet'!$B$13,Paramètres!$A$1:$I$89,3,0)*VLOOKUP('Données projet'!$B$13,Paramètres!$A$1:$I$89,5,0)</f>
        <v>253.49688</v>
      </c>
      <c r="CV101" s="13">
        <f t="shared" si="95"/>
        <v>61.334138641955136</v>
      </c>
      <c r="CW101" s="20">
        <f t="shared" si="67"/>
        <v>548.33069080140524</v>
      </c>
      <c r="CX101" s="59">
        <f t="shared" si="68"/>
        <v>841.66402413473861</v>
      </c>
      <c r="CY101" s="59">
        <f ca="1">AVERAGE(OFFSET($CX$3,0,0,'Données projet'!$E$13+1,1))-AVERAGE(OFFSET($H$3,0,0,'Données projet'!$E$13+1,1))</f>
        <v>242.1473060698724</v>
      </c>
      <c r="CZ101" s="59">
        <f t="shared" si="96"/>
        <v>96.127995920458659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0</v>
      </c>
      <c r="EP101" s="59">
        <f t="shared" si="100"/>
        <v>0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179.86010141761648</v>
      </c>
      <c r="T102" s="59">
        <f t="shared" si="88"/>
        <v>367.01744242396057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16.760936284789238</v>
      </c>
      <c r="AA102" s="21">
        <f>EXP(-LN(2)/25)*AA101+(1-EXP(-LN(2)/25))/(LN(2)/25)*Calculateur!V102*Calculateur!X102*VLOOKUP('Données projet'!$B$9,Paramètres!$A$1:$I$89,3,0)*0.475*44/12</f>
        <v>8.6902760175541562</v>
      </c>
      <c r="AB102" s="21">
        <f>EXP(-LN(2)/2)*AB101+(1-EXP(-LN(2)/2))/(LN(2)/2)*V102*Y102*VLOOKUP('Données projet'!$B$9,Paramètres!$A$1:$I$89,3,0)*0.475*44/12</f>
        <v>1.8703300794276892E-8</v>
      </c>
      <c r="AC102" s="22">
        <f t="shared" si="57"/>
        <v>25.451212321046693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-4.758931027026848E-13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318.09371753144256</v>
      </c>
      <c r="AO102" s="59">
        <f t="shared" si="90"/>
        <v>298.61479562586919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3.0508042308417527</v>
      </c>
      <c r="AW102" s="21">
        <f>EXP(-LN(2)/2)*AW101+(1-EXP(-LN(2)/2))/(LN(2)/2)*AQ102*AT102*VLOOKUP('Données projet'!$B$10,Paramètres!$A$1:$I$89,3,0)*0.475*44/12</f>
        <v>1.2450787231825295E-9</v>
      </c>
      <c r="AX102" s="21">
        <f t="shared" si="60"/>
        <v>3.9428948985842771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35.999999999999943</v>
      </c>
      <c r="BE102" s="13">
        <f>BD102*VLOOKUP('Données projet'!$B$11,Paramètres!$A$1:$I$89,3,0)*VLOOKUP('Données projet'!$B$11,Paramètres!$A$1:$I$89,5,0)</f>
        <v>31.449599999999958</v>
      </c>
      <c r="BF102" s="13">
        <f t="shared" si="91"/>
        <v>9.7016318496336709</v>
      </c>
      <c r="BG102" s="20">
        <f t="shared" si="61"/>
        <v>71.671728804778567</v>
      </c>
      <c r="BH102" s="59">
        <f t="shared" si="62"/>
        <v>365.0050621381119</v>
      </c>
      <c r="BI102" s="59">
        <f ca="1">AVERAGE(OFFSET($BH$3,0,0,'Données projet'!$E$11+1,1))-AVERAGE(OFFSET($H$3,0,0,'Données projet'!$E$11+1,1))</f>
        <v>247.43282553724879</v>
      </c>
      <c r="BJ102" s="59">
        <f t="shared" si="92"/>
        <v>637.29471578895527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1.1323284089357267E-8</v>
      </c>
      <c r="BS102" s="22">
        <f t="shared" si="63"/>
        <v>1.1323284089357267E-8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4.6111381379887463E-14</v>
      </c>
      <c r="CA102" s="13">
        <f t="shared" si="93"/>
        <v>7.5804141040779151E-13</v>
      </c>
      <c r="CB102" s="20">
        <f t="shared" si="64"/>
        <v>1.4005661123635408E-12</v>
      </c>
      <c r="CC102" s="59">
        <f t="shared" si="65"/>
        <v>293.33333333333474</v>
      </c>
      <c r="CD102" s="59">
        <f ca="1">AVERAGE(OFFSET($CC$3,0,0,'Données projet'!$E$12+1,1))-AVERAGE(OFFSET($H$3,0,0,'Données projet'!$E$12+1,1))</f>
        <v>230.68538392491388</v>
      </c>
      <c r="CE102" s="59">
        <f t="shared" si="94"/>
        <v>267.97457956620724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1.2557460116810211</v>
      </c>
      <c r="CM102" s="21">
        <f>EXP(-LN(2)/2)*CM101+(1-EXP(-LN(2)/2))/(LN(2)/2)*CG102*CJ102*VLOOKUP('Données projet'!$B$12,Paramètres!$A$1:$I$89,3,0)*0.475*44/12</f>
        <v>4.516203299190044E-10</v>
      </c>
      <c r="CN102" s="22">
        <f t="shared" si="66"/>
        <v>1.2557460121326414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226.29999999999998</v>
      </c>
      <c r="CU102" s="17">
        <f>CT102*VLOOKUP('Données projet'!$B$13,Paramètres!$A$1:$I$89,3,0)*VLOOKUP('Données projet'!$B$13,Paramètres!$A$1:$I$89,5,0)</f>
        <v>257.71044000000001</v>
      </c>
      <c r="CV102" s="13">
        <f t="shared" si="95"/>
        <v>62.234085338028265</v>
      </c>
      <c r="CW102" s="20">
        <f t="shared" si="67"/>
        <v>557.23671496373254</v>
      </c>
      <c r="CX102" s="59">
        <f t="shared" si="68"/>
        <v>850.5700482970658</v>
      </c>
      <c r="CY102" s="59">
        <f ca="1">AVERAGE(OFFSET($CX$3,0,0,'Données projet'!$E$13+1,1))-AVERAGE(OFFSET($H$3,0,0,'Données projet'!$E$13+1,1))</f>
        <v>242.1473060698724</v>
      </c>
      <c r="CZ102" s="59">
        <f t="shared" si="96"/>
        <v>96.127995920458659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0</v>
      </c>
      <c r="EP102" s="59">
        <f t="shared" si="100"/>
        <v>0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179.86010141761648</v>
      </c>
      <c r="T103" s="59">
        <f t="shared" si="88"/>
        <v>367.01744242396057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16.432264547406202</v>
      </c>
      <c r="AA103" s="21">
        <f>EXP(-LN(2)/25)*AA102+(1-EXP(-LN(2)/25))/(LN(2)/25)*Calculateur!V103*Calculateur!X103*VLOOKUP('Données projet'!$B$9,Paramètres!$A$1:$I$89,3,0)*0.475*44/12</f>
        <v>8.4526399628523841</v>
      </c>
      <c r="AB103" s="21">
        <f>EXP(-LN(2)/2)*AB102+(1-EXP(-LN(2)/2))/(LN(2)/2)*V103*Y103*VLOOKUP('Données projet'!$B$9,Paramètres!$A$1:$I$89,3,0)*0.475*44/12</f>
        <v>1.3225230822204931E-8</v>
      </c>
      <c r="AC103" s="22">
        <f t="shared" si="57"/>
        <v>24.884904523483819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-4.758931027026848E-13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318.09371753144256</v>
      </c>
      <c r="AO103" s="59">
        <f t="shared" si="90"/>
        <v>298.61479562586919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2.967379828714563</v>
      </c>
      <c r="AW103" s="21">
        <f>EXP(-LN(2)/2)*AW102+(1-EXP(-LN(2)/2))/(LN(2)/2)*AQ103*AT103*VLOOKUP('Données projet'!$B$10,Paramètres!$A$1:$I$89,3,0)*0.475*44/12</f>
        <v>8.8040360827345489E-10</v>
      </c>
      <c r="AX103" s="21">
        <f t="shared" si="60"/>
        <v>3.8419771422439761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35.999999999999943</v>
      </c>
      <c r="BE103" s="13">
        <f>BD103*VLOOKUP('Données projet'!$B$11,Paramètres!$A$1:$I$89,3,0)*VLOOKUP('Données projet'!$B$11,Paramètres!$A$1:$I$89,5,0)</f>
        <v>31.449599999999958</v>
      </c>
      <c r="BF103" s="13">
        <f t="shared" si="91"/>
        <v>9.7016318496336709</v>
      </c>
      <c r="BG103" s="20">
        <f t="shared" si="61"/>
        <v>71.671728804778567</v>
      </c>
      <c r="BH103" s="59">
        <f t="shared" si="62"/>
        <v>365.0050621381119</v>
      </c>
      <c r="BI103" s="59">
        <f ca="1">AVERAGE(OFFSET($BH$3,0,0,'Données projet'!$E$11+1,1))-AVERAGE(OFFSET($H$3,0,0,'Données projet'!$E$11+1,1))</f>
        <v>247.43282553724879</v>
      </c>
      <c r="BJ103" s="59">
        <f t="shared" si="92"/>
        <v>637.29471578895527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8.006770964886264E-9</v>
      </c>
      <c r="BS103" s="22">
        <f t="shared" si="63"/>
        <v>8.006770964886264E-9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4.6111381379887463E-14</v>
      </c>
      <c r="CA103" s="13">
        <f t="shared" si="93"/>
        <v>7.5804141040779151E-13</v>
      </c>
      <c r="CB103" s="20">
        <f t="shared" si="64"/>
        <v>1.4005661123635408E-12</v>
      </c>
      <c r="CC103" s="59">
        <f t="shared" si="65"/>
        <v>293.33333333333474</v>
      </c>
      <c r="CD103" s="59">
        <f ca="1">AVERAGE(OFFSET($CC$3,0,0,'Données projet'!$E$12+1,1))-AVERAGE(OFFSET($H$3,0,0,'Données projet'!$E$12+1,1))</f>
        <v>230.68538392491388</v>
      </c>
      <c r="CE103" s="59">
        <f t="shared" si="94"/>
        <v>267.97457956620724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1.2214075709547909</v>
      </c>
      <c r="CM103" s="21">
        <f>EXP(-LN(2)/2)*CM102+(1-EXP(-LN(2)/2))/(LN(2)/2)*CG103*CJ103*VLOOKUP('Données projet'!$B$12,Paramètres!$A$1:$I$89,3,0)*0.475*44/12</f>
        <v>3.1934379780743384E-10</v>
      </c>
      <c r="CN103" s="22">
        <f t="shared" si="66"/>
        <v>1.2214075712741348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229.99999999999997</v>
      </c>
      <c r="CU103" s="17">
        <f>CT103*VLOOKUP('Données projet'!$B$13,Paramètres!$A$1:$I$89,3,0)*VLOOKUP('Données projet'!$B$13,Paramètres!$A$1:$I$89,5,0)</f>
        <v>261.92399999999998</v>
      </c>
      <c r="CV103" s="13">
        <f t="shared" si="95"/>
        <v>63.132320859995644</v>
      </c>
      <c r="CW103" s="20">
        <f t="shared" si="67"/>
        <v>566.13975883115904</v>
      </c>
      <c r="CX103" s="59">
        <f t="shared" si="68"/>
        <v>859.4730921644923</v>
      </c>
      <c r="CY103" s="59">
        <f ca="1">AVERAGE(OFFSET($CX$3,0,0,'Données projet'!$E$13+1,1))-AVERAGE(OFFSET($H$3,0,0,'Données projet'!$E$13+1,1))</f>
        <v>242.1473060698724</v>
      </c>
      <c r="CZ103" s="59">
        <f t="shared" si="96"/>
        <v>96.127995920458659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0</v>
      </c>
      <c r="EP103" s="59">
        <f t="shared" si="100"/>
        <v>0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179.86010141761648</v>
      </c>
      <c r="T104" s="59">
        <f t="shared" si="88"/>
        <v>367.01744242396057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16.110037862323281</v>
      </c>
      <c r="AA104" s="21">
        <f>EXP(-LN(2)/25)*AA103+(1-EXP(-LN(2)/25))/(LN(2)/25)*Calculateur!V104*Calculateur!X104*VLOOKUP('Données projet'!$B$9,Paramètres!$A$1:$I$89,3,0)*0.475*44/12</f>
        <v>8.2215020785631694</v>
      </c>
      <c r="AB104" s="21">
        <f>EXP(-LN(2)/2)*AB103+(1-EXP(-LN(2)/2))/(LN(2)/2)*V104*Y104*VLOOKUP('Données projet'!$B$9,Paramètres!$A$1:$I$89,3,0)*0.475*44/12</f>
        <v>9.3516503971384458E-9</v>
      </c>
      <c r="AC104" s="22">
        <f t="shared" si="57"/>
        <v>24.331539950238103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-4.758931027026848E-13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318.09371753144256</v>
      </c>
      <c r="AO104" s="59">
        <f t="shared" si="90"/>
        <v>298.61479562586919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2.8862366712506402</v>
      </c>
      <c r="AW104" s="21">
        <f>EXP(-LN(2)/2)*AW103+(1-EXP(-LN(2)/2))/(LN(2)/2)*AQ104*AT104*VLOOKUP('Données projet'!$B$10,Paramètres!$A$1:$I$89,3,0)*0.475*44/12</f>
        <v>6.2253936159126476E-10</v>
      </c>
      <c r="AX104" s="21">
        <f t="shared" si="60"/>
        <v>3.7436836646728286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35.999999999999943</v>
      </c>
      <c r="BE104" s="13">
        <f>BD104*VLOOKUP('Données projet'!$B$11,Paramètres!$A$1:$I$89,3,0)*VLOOKUP('Données projet'!$B$11,Paramètres!$A$1:$I$89,5,0)</f>
        <v>31.449599999999958</v>
      </c>
      <c r="BF104" s="13">
        <f t="shared" si="91"/>
        <v>9.7016318496336709</v>
      </c>
      <c r="BG104" s="20">
        <f t="shared" si="61"/>
        <v>71.671728804778567</v>
      </c>
      <c r="BH104" s="59">
        <f t="shared" si="62"/>
        <v>365.0050621381119</v>
      </c>
      <c r="BI104" s="59">
        <f ca="1">AVERAGE(OFFSET($BH$3,0,0,'Données projet'!$E$11+1,1))-AVERAGE(OFFSET($H$3,0,0,'Données projet'!$E$11+1,1))</f>
        <v>247.43282553724879</v>
      </c>
      <c r="BJ104" s="59">
        <f t="shared" si="92"/>
        <v>637.29471578895527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5.6616420446786335E-9</v>
      </c>
      <c r="BS104" s="22">
        <f t="shared" si="63"/>
        <v>5.6616420446786335E-9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4.6111381379887463E-14</v>
      </c>
      <c r="CA104" s="13">
        <f t="shared" si="93"/>
        <v>7.5804141040779151E-13</v>
      </c>
      <c r="CB104" s="20">
        <f t="shared" si="64"/>
        <v>1.4005661123635408E-12</v>
      </c>
      <c r="CC104" s="59">
        <f t="shared" si="65"/>
        <v>293.33333333333474</v>
      </c>
      <c r="CD104" s="59">
        <f ca="1">AVERAGE(OFFSET($CC$3,0,0,'Données projet'!$E$12+1,1))-AVERAGE(OFFSET($H$3,0,0,'Données projet'!$E$12+1,1))</f>
        <v>230.68538392491388</v>
      </c>
      <c r="CE104" s="59">
        <f t="shared" si="94"/>
        <v>267.97457956620724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1.1880081166959995</v>
      </c>
      <c r="CM104" s="21">
        <f>EXP(-LN(2)/2)*CM103+(1-EXP(-LN(2)/2))/(LN(2)/2)*CG104*CJ104*VLOOKUP('Données projet'!$B$12,Paramètres!$A$1:$I$89,3,0)*0.475*44/12</f>
        <v>2.258101649595022E-10</v>
      </c>
      <c r="CN104" s="22">
        <f t="shared" si="66"/>
        <v>1.1880081169218097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3.1</v>
      </c>
      <c r="CT104" s="12">
        <f>IF('Données projet'!$A$140&gt;35,CT103+CS104-DB103,IF(A104&lt;'Données projet'!$A$140,$CQ$205^A104,IF(A104='Données projet'!$A$140,'Données projet'!$B$140,CT103+CS104-DB103)))</f>
        <v>205.09999999999997</v>
      </c>
      <c r="CU104" s="17">
        <f>CT104*VLOOKUP('Données projet'!$B$13,Paramètres!$A$1:$I$89,3,0)*VLOOKUP('Données projet'!$B$13,Paramètres!$A$1:$I$89,5,0)</f>
        <v>233.56787999999997</v>
      </c>
      <c r="CV104" s="13">
        <f t="shared" si="95"/>
        <v>57.053448096740226</v>
      </c>
      <c r="CW104" s="20">
        <f t="shared" si="67"/>
        <v>506.16547976848915</v>
      </c>
      <c r="CX104" s="59">
        <f t="shared" si="68"/>
        <v>799.49881310182241</v>
      </c>
      <c r="CY104" s="59">
        <f ca="1">AVERAGE(OFFSET($CX$3,0,0,'Données projet'!$E$13+1,1))-AVERAGE(OFFSET($H$3,0,0,'Données projet'!$E$13+1,1))</f>
        <v>242.1473060698724</v>
      </c>
      <c r="CZ104" s="59">
        <f t="shared" si="96"/>
        <v>96.127995920458659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0</v>
      </c>
      <c r="EP104" s="59">
        <f t="shared" si="100"/>
        <v>0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179.86010141761648</v>
      </c>
      <c r="T105" s="59">
        <f t="shared" si="88"/>
        <v>367.01744242396057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15.794129845995966</v>
      </c>
      <c r="AA105" s="21">
        <f>EXP(-LN(2)/25)*AA104+(1-EXP(-LN(2)/25))/(LN(2)/25)*Calculateur!V105*Calculateur!X105*VLOOKUP('Données projet'!$B$9,Paramètres!$A$1:$I$89,3,0)*0.475*44/12</f>
        <v>7.9966846718748554</v>
      </c>
      <c r="AB105" s="21">
        <f>EXP(-LN(2)/2)*AB104+(1-EXP(-LN(2)/2))/(LN(2)/2)*V105*Y105*VLOOKUP('Données projet'!$B$9,Paramètres!$A$1:$I$89,3,0)*0.475*44/12</f>
        <v>6.6126154111024654E-9</v>
      </c>
      <c r="AC105" s="22">
        <f t="shared" si="57"/>
        <v>23.790814524483437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-4.758931027026848E-13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318.09371753144256</v>
      </c>
      <c r="AO105" s="59">
        <f t="shared" si="90"/>
        <v>298.61479562586919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2.8073123776947013</v>
      </c>
      <c r="AW105" s="21">
        <f>EXP(-LN(2)/2)*AW104+(1-EXP(-LN(2)/2))/(LN(2)/2)*AQ105*AT105*VLOOKUP('Données projet'!$B$10,Paramètres!$A$1:$I$89,3,0)*0.475*44/12</f>
        <v>4.4020180413672745E-10</v>
      </c>
      <c r="AX105" s="21">
        <f t="shared" si="60"/>
        <v>3.6479453583967758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35.999999999999943</v>
      </c>
      <c r="BE105" s="13">
        <f>BD105*VLOOKUP('Données projet'!$B$11,Paramètres!$A$1:$I$89,3,0)*VLOOKUP('Données projet'!$B$11,Paramètres!$A$1:$I$89,5,0)</f>
        <v>31.449599999999958</v>
      </c>
      <c r="BF105" s="13">
        <f t="shared" si="91"/>
        <v>9.7016318496336709</v>
      </c>
      <c r="BG105" s="20">
        <f t="shared" si="61"/>
        <v>71.671728804778567</v>
      </c>
      <c r="BH105" s="59">
        <f t="shared" si="62"/>
        <v>365.0050621381119</v>
      </c>
      <c r="BI105" s="59">
        <f ca="1">AVERAGE(OFFSET($BH$3,0,0,'Données projet'!$E$11+1,1))-AVERAGE(OFFSET($H$3,0,0,'Données projet'!$E$11+1,1))</f>
        <v>247.43282553724879</v>
      </c>
      <c r="BJ105" s="59">
        <f t="shared" si="92"/>
        <v>637.29471578895527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4.003385482443132E-9</v>
      </c>
      <c r="BS105" s="22">
        <f t="shared" si="63"/>
        <v>4.003385482443132E-9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4.6111381379887463E-14</v>
      </c>
      <c r="CA105" s="13">
        <f t="shared" si="93"/>
        <v>7.5804141040779151E-13</v>
      </c>
      <c r="CB105" s="20">
        <f t="shared" si="64"/>
        <v>1.4005661123635408E-12</v>
      </c>
      <c r="CC105" s="59">
        <f t="shared" si="65"/>
        <v>293.33333333333474</v>
      </c>
      <c r="CD105" s="59">
        <f ca="1">AVERAGE(OFFSET($CC$3,0,0,'Données projet'!$E$12+1,1))-AVERAGE(OFFSET($H$3,0,0,'Données projet'!$E$12+1,1))</f>
        <v>230.68538392491388</v>
      </c>
      <c r="CE105" s="59">
        <f t="shared" si="94"/>
        <v>267.97457956620724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1.1555219722703158</v>
      </c>
      <c r="CM105" s="21">
        <f>EXP(-LN(2)/2)*CM104+(1-EXP(-LN(2)/2))/(LN(2)/2)*CG105*CJ105*VLOOKUP('Données projet'!$B$12,Paramètres!$A$1:$I$89,3,0)*0.475*44/12</f>
        <v>1.5967189890371692E-10</v>
      </c>
      <c r="CN105" s="22">
        <f t="shared" si="66"/>
        <v>1.1555219724299877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3.1</v>
      </c>
      <c r="CT105" s="12">
        <f>IF('Données projet'!$A$140&gt;35,CT104+CS105-DB104,IF(A105&lt;'Données projet'!$A$140,$CQ$205^A105,IF(A105='Données projet'!$A$140,'Données projet'!$B$140,CT104+CS105-DB104)))</f>
        <v>208.19999999999996</v>
      </c>
      <c r="CU105" s="17">
        <f>CT105*VLOOKUP('Données projet'!$B$13,Paramètres!$A$1:$I$89,3,0)*VLOOKUP('Données projet'!$B$13,Paramètres!$A$1:$I$89,5,0)</f>
        <v>237.09815999999995</v>
      </c>
      <c r="CV105" s="13">
        <f t="shared" si="95"/>
        <v>57.814744131423225</v>
      </c>
      <c r="CW105" s="20">
        <f t="shared" si="67"/>
        <v>513.63997469556193</v>
      </c>
      <c r="CX105" s="59">
        <f t="shared" si="68"/>
        <v>806.97330802889519</v>
      </c>
      <c r="CY105" s="59">
        <f ca="1">AVERAGE(OFFSET($CX$3,0,0,'Données projet'!$E$13+1,1))-AVERAGE(OFFSET($H$3,0,0,'Données projet'!$E$13+1,1))</f>
        <v>242.1473060698724</v>
      </c>
      <c r="CZ105" s="59">
        <f t="shared" si="96"/>
        <v>96.127995920458659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0</v>
      </c>
      <c r="EP105" s="59">
        <f t="shared" si="100"/>
        <v>0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179.86010141761648</v>
      </c>
      <c r="T106" s="59">
        <f t="shared" si="88"/>
        <v>367.01744242396057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15.484416593183965</v>
      </c>
      <c r="AA106" s="21">
        <f>EXP(-LN(2)/25)*AA105+(1-EXP(-LN(2)/25))/(LN(2)/25)*Calculateur!V106*Calculateur!X106*VLOOKUP('Données projet'!$B$9,Paramètres!$A$1:$I$89,3,0)*0.475*44/12</f>
        <v>7.7780149089950674</v>
      </c>
      <c r="AB106" s="21">
        <f>EXP(-LN(2)/2)*AB105+(1-EXP(-LN(2)/2))/(LN(2)/2)*V106*Y106*VLOOKUP('Données projet'!$B$9,Paramètres!$A$1:$I$89,3,0)*0.475*44/12</f>
        <v>4.6758251985692229E-9</v>
      </c>
      <c r="AC106" s="22">
        <f t="shared" si="57"/>
        <v>23.26243150685486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-4.758931027026848E-13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318.09371753144256</v>
      </c>
      <c r="AO106" s="59">
        <f t="shared" si="90"/>
        <v>298.61479562586919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2.7305462730964978</v>
      </c>
      <c r="AW106" s="21">
        <f>EXP(-LN(2)/2)*AW105+(1-EXP(-LN(2)/2))/(LN(2)/2)*AQ106*AT106*VLOOKUP('Données projet'!$B$10,Paramètres!$A$1:$I$89,3,0)*0.475*44/12</f>
        <v>3.1126968079563238E-10</v>
      </c>
      <c r="AX106" s="21">
        <f t="shared" si="60"/>
        <v>3.5546949536621946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35.999999999999943</v>
      </c>
      <c r="BE106" s="13">
        <f>BD106*VLOOKUP('Données projet'!$B$11,Paramètres!$A$1:$I$89,3,0)*VLOOKUP('Données projet'!$B$11,Paramètres!$A$1:$I$89,5,0)</f>
        <v>31.449599999999958</v>
      </c>
      <c r="BF106" s="13">
        <f t="shared" si="91"/>
        <v>9.7016318496336709</v>
      </c>
      <c r="BG106" s="20">
        <f t="shared" si="61"/>
        <v>71.671728804778567</v>
      </c>
      <c r="BH106" s="59">
        <f t="shared" si="62"/>
        <v>365.0050621381119</v>
      </c>
      <c r="BI106" s="59">
        <f ca="1">AVERAGE(OFFSET($BH$3,0,0,'Données projet'!$E$11+1,1))-AVERAGE(OFFSET($H$3,0,0,'Données projet'!$E$11+1,1))</f>
        <v>247.43282553724879</v>
      </c>
      <c r="BJ106" s="59">
        <f t="shared" si="92"/>
        <v>637.29471578895527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2.8308210223393168E-9</v>
      </c>
      <c r="BS106" s="22">
        <f t="shared" si="63"/>
        <v>2.8308210223393168E-9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4.6111381379887463E-14</v>
      </c>
      <c r="CA106" s="13">
        <f t="shared" si="93"/>
        <v>7.5804141040779151E-13</v>
      </c>
      <c r="CB106" s="20">
        <f t="shared" si="64"/>
        <v>1.4005661123635408E-12</v>
      </c>
      <c r="CC106" s="59">
        <f t="shared" si="65"/>
        <v>293.33333333333474</v>
      </c>
      <c r="CD106" s="59">
        <f ca="1">AVERAGE(OFFSET($CC$3,0,0,'Données projet'!$E$12+1,1))-AVERAGE(OFFSET($H$3,0,0,'Données projet'!$E$12+1,1))</f>
        <v>230.68538392491388</v>
      </c>
      <c r="CE106" s="59">
        <f t="shared" si="94"/>
        <v>267.97457956620724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1.1239241631723245</v>
      </c>
      <c r="CM106" s="21">
        <f>EXP(-LN(2)/2)*CM105+(1-EXP(-LN(2)/2))/(LN(2)/2)*CG106*CJ106*VLOOKUP('Données projet'!$B$12,Paramètres!$A$1:$I$89,3,0)*0.475*44/12</f>
        <v>1.129050824797511E-10</v>
      </c>
      <c r="CN106" s="22">
        <f t="shared" si="66"/>
        <v>1.1239241632852295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3.1</v>
      </c>
      <c r="CT106" s="12">
        <f>IF('Données projet'!$A$140&gt;35,CT105+CS106-DB105,IF(A106&lt;'Données projet'!$A$140,$CQ$205^A106,IF(A106='Données projet'!$A$140,'Données projet'!$B$140,CT105+CS106-DB105)))</f>
        <v>211.29999999999995</v>
      </c>
      <c r="CU106" s="17">
        <f>CT106*VLOOKUP('Données projet'!$B$13,Paramètres!$A$1:$I$89,3,0)*VLOOKUP('Données projet'!$B$13,Paramètres!$A$1:$I$89,5,0)</f>
        <v>240.62843999999996</v>
      </c>
      <c r="CV106" s="13">
        <f t="shared" si="95"/>
        <v>58.574721823791833</v>
      </c>
      <c r="CW106" s="20">
        <f t="shared" si="67"/>
        <v>521.11217350977063</v>
      </c>
      <c r="CX106" s="59">
        <f t="shared" si="68"/>
        <v>814.44550684310389</v>
      </c>
      <c r="CY106" s="59">
        <f ca="1">AVERAGE(OFFSET($CX$3,0,0,'Données projet'!$E$13+1,1))-AVERAGE(OFFSET($H$3,0,0,'Données projet'!$E$13+1,1))</f>
        <v>242.1473060698724</v>
      </c>
      <c r="CZ106" s="59">
        <f t="shared" si="96"/>
        <v>96.127995920458659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0</v>
      </c>
      <c r="EP106" s="59">
        <f t="shared" si="100"/>
        <v>0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179.86010141761648</v>
      </c>
      <c r="T107" s="59">
        <f t="shared" si="88"/>
        <v>367.01744242396057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15.180776628353177</v>
      </c>
      <c r="AA107" s="21">
        <f>EXP(-LN(2)/25)*AA106+(1-EXP(-LN(2)/25))/(LN(2)/25)*Calculateur!V107*Calculateur!X107*VLOOKUP('Données projet'!$B$9,Paramètres!$A$1:$I$89,3,0)*0.475*44/12</f>
        <v>7.5653246822805702</v>
      </c>
      <c r="AB107" s="21">
        <f>EXP(-LN(2)/2)*AB106+(1-EXP(-LN(2)/2))/(LN(2)/2)*V107*Y107*VLOOKUP('Données projet'!$B$9,Paramètres!$A$1:$I$89,3,0)*0.475*44/12</f>
        <v>3.3063077055512327E-9</v>
      </c>
      <c r="AC107" s="22">
        <f t="shared" si="57"/>
        <v>22.746101313940056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-4.758931027026848E-13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318.09371753144256</v>
      </c>
      <c r="AO107" s="59">
        <f t="shared" si="90"/>
        <v>298.61479562586919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2.6558793416654862</v>
      </c>
      <c r="AW107" s="21">
        <f>EXP(-LN(2)/2)*AW106+(1-EXP(-LN(2)/2))/(LN(2)/2)*AQ107*AT107*VLOOKUP('Données projet'!$B$10,Paramètres!$A$1:$I$89,3,0)*0.475*44/12</f>
        <v>2.2010090206836372E-10</v>
      </c>
      <c r="AX107" s="21">
        <f t="shared" si="60"/>
        <v>3.463866969201284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35.999999999999943</v>
      </c>
      <c r="BE107" s="13">
        <f>BD107*VLOOKUP('Données projet'!$B$11,Paramètres!$A$1:$I$89,3,0)*VLOOKUP('Données projet'!$B$11,Paramètres!$A$1:$I$89,5,0)</f>
        <v>31.449599999999958</v>
      </c>
      <c r="BF107" s="13">
        <f t="shared" si="91"/>
        <v>9.7016318496336709</v>
      </c>
      <c r="BG107" s="20">
        <f t="shared" si="61"/>
        <v>71.671728804778567</v>
      </c>
      <c r="BH107" s="59">
        <f t="shared" si="62"/>
        <v>365.0050621381119</v>
      </c>
      <c r="BI107" s="59">
        <f ca="1">AVERAGE(OFFSET($BH$3,0,0,'Données projet'!$E$11+1,1))-AVERAGE(OFFSET($H$3,0,0,'Données projet'!$E$11+1,1))</f>
        <v>247.43282553724879</v>
      </c>
      <c r="BJ107" s="59">
        <f t="shared" si="92"/>
        <v>637.29471578895527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2.001692741221566E-9</v>
      </c>
      <c r="BS107" s="22">
        <f t="shared" si="63"/>
        <v>2.001692741221566E-9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4.6111381379887463E-14</v>
      </c>
      <c r="CA107" s="13">
        <f t="shared" si="93"/>
        <v>7.5804141040779151E-13</v>
      </c>
      <c r="CB107" s="20">
        <f t="shared" si="64"/>
        <v>1.4005661123635408E-12</v>
      </c>
      <c r="CC107" s="59">
        <f t="shared" si="65"/>
        <v>293.33333333333474</v>
      </c>
      <c r="CD107" s="59">
        <f ca="1">AVERAGE(OFFSET($CC$3,0,0,'Données projet'!$E$12+1,1))-AVERAGE(OFFSET($H$3,0,0,'Données projet'!$E$12+1,1))</f>
        <v>230.68538392491388</v>
      </c>
      <c r="CE107" s="59">
        <f t="shared" si="94"/>
        <v>267.97457956620724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1.0931903978257742</v>
      </c>
      <c r="CM107" s="21">
        <f>EXP(-LN(2)/2)*CM106+(1-EXP(-LN(2)/2))/(LN(2)/2)*CG107*CJ107*VLOOKUP('Données projet'!$B$12,Paramètres!$A$1:$I$89,3,0)*0.475*44/12</f>
        <v>7.983594945185846E-11</v>
      </c>
      <c r="CN107" s="22">
        <f t="shared" si="66"/>
        <v>1.0931903979056101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3.1</v>
      </c>
      <c r="CT107" s="12">
        <f>IF('Données projet'!$A$140&gt;35,CT106+CS107-DB106,IF(A107&lt;'Données projet'!$A$140,$CQ$205^A107,IF(A107='Données projet'!$A$140,'Données projet'!$B$140,CT106+CS107-DB106)))</f>
        <v>214.39999999999995</v>
      </c>
      <c r="CU107" s="17">
        <f>CT107*VLOOKUP('Données projet'!$B$13,Paramètres!$A$1:$I$89,3,0)*VLOOKUP('Données projet'!$B$13,Paramètres!$A$1:$I$89,5,0)</f>
        <v>244.15871999999996</v>
      </c>
      <c r="CV107" s="13">
        <f t="shared" si="95"/>
        <v>59.333402749839792</v>
      </c>
      <c r="CW107" s="20">
        <f t="shared" si="67"/>
        <v>528.58211378930412</v>
      </c>
      <c r="CX107" s="59">
        <f t="shared" si="68"/>
        <v>821.91544712263749</v>
      </c>
      <c r="CY107" s="59">
        <f ca="1">AVERAGE(OFFSET($CX$3,0,0,'Données projet'!$E$13+1,1))-AVERAGE(OFFSET($H$3,0,0,'Données projet'!$E$13+1,1))</f>
        <v>242.1473060698724</v>
      </c>
      <c r="CZ107" s="59">
        <f t="shared" si="96"/>
        <v>96.127995920458659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0</v>
      </c>
      <c r="EP107" s="59">
        <f t="shared" si="100"/>
        <v>0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179.86010141761648</v>
      </c>
      <c r="T108" s="59">
        <f t="shared" si="88"/>
        <v>367.01744242396057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14.883090858030629</v>
      </c>
      <c r="AA108" s="21">
        <f>EXP(-LN(2)/25)*AA107+(1-EXP(-LN(2)/25))/(LN(2)/25)*Calculateur!V108*Calculateur!X108*VLOOKUP('Données projet'!$B$9,Paramètres!$A$1:$I$89,3,0)*0.475*44/12</f>
        <v>7.3584504810004736</v>
      </c>
      <c r="AB108" s="21">
        <f>EXP(-LN(2)/2)*AB107+(1-EXP(-LN(2)/2))/(LN(2)/2)*V108*Y108*VLOOKUP('Données projet'!$B$9,Paramètres!$A$1:$I$89,3,0)*0.475*44/12</f>
        <v>2.3379125992846114E-9</v>
      </c>
      <c r="AC108" s="22">
        <f t="shared" si="57"/>
        <v>22.241541341369015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-4.758931027026848E-13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318.09371753144256</v>
      </c>
      <c r="AO108" s="59">
        <f t="shared" si="90"/>
        <v>298.61479562586919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2.5832541814010188</v>
      </c>
      <c r="AW108" s="21">
        <f>EXP(-LN(2)/2)*AW107+(1-EXP(-LN(2)/2))/(LN(2)/2)*AQ108*AT108*VLOOKUP('Données projet'!$B$10,Paramètres!$A$1:$I$89,3,0)*0.475*44/12</f>
        <v>1.5563484039781619E-10</v>
      </c>
      <c r="AX108" s="21">
        <f t="shared" si="60"/>
        <v>3.3753976643244803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35.999999999999943</v>
      </c>
      <c r="BE108" s="13">
        <f>BD108*VLOOKUP('Données projet'!$B$11,Paramètres!$A$1:$I$89,3,0)*VLOOKUP('Données projet'!$B$11,Paramètres!$A$1:$I$89,5,0)</f>
        <v>31.449599999999958</v>
      </c>
      <c r="BF108" s="13">
        <f t="shared" si="91"/>
        <v>9.7016318496336709</v>
      </c>
      <c r="BG108" s="20">
        <f t="shared" si="61"/>
        <v>71.671728804778567</v>
      </c>
      <c r="BH108" s="59">
        <f t="shared" si="62"/>
        <v>365.0050621381119</v>
      </c>
      <c r="BI108" s="59">
        <f ca="1">AVERAGE(OFFSET($BH$3,0,0,'Données projet'!$E$11+1,1))-AVERAGE(OFFSET($H$3,0,0,'Données projet'!$E$11+1,1))</f>
        <v>247.43282553724879</v>
      </c>
      <c r="BJ108" s="59">
        <f t="shared" si="92"/>
        <v>637.29471578895527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1.4154105111696584E-9</v>
      </c>
      <c r="BS108" s="22">
        <f t="shared" si="63"/>
        <v>1.4154105111696584E-9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4.6111381379887463E-14</v>
      </c>
      <c r="CA108" s="13">
        <f t="shared" si="93"/>
        <v>7.5804141040779151E-13</v>
      </c>
      <c r="CB108" s="20">
        <f t="shared" si="64"/>
        <v>1.4005661123635408E-12</v>
      </c>
      <c r="CC108" s="59">
        <f t="shared" si="65"/>
        <v>293.33333333333474</v>
      </c>
      <c r="CD108" s="59">
        <f ca="1">AVERAGE(OFFSET($CC$3,0,0,'Données projet'!$E$12+1,1))-AVERAGE(OFFSET($H$3,0,0,'Données projet'!$E$12+1,1))</f>
        <v>230.68538392491388</v>
      </c>
      <c r="CE108" s="59">
        <f t="shared" si="94"/>
        <v>267.97457956620724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1.0632970489088438</v>
      </c>
      <c r="CM108" s="21">
        <f>EXP(-LN(2)/2)*CM107+(1-EXP(-LN(2)/2))/(LN(2)/2)*CG108*CJ108*VLOOKUP('Données projet'!$B$12,Paramètres!$A$1:$I$89,3,0)*0.475*44/12</f>
        <v>5.645254123987555E-11</v>
      </c>
      <c r="CN108" s="22">
        <f t="shared" si="66"/>
        <v>1.0632970489652964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3.1</v>
      </c>
      <c r="CT108" s="12">
        <f>IF('Données projet'!$A$140&gt;35,CT107+CS108-DB107,IF(A108&lt;'Données projet'!$A$140,$CQ$205^A108,IF(A108='Données projet'!$A$140,'Données projet'!$B$140,CT107+CS108-DB107)))</f>
        <v>217.49999999999994</v>
      </c>
      <c r="CU108" s="17">
        <f>CT108*VLOOKUP('Données projet'!$B$13,Paramètres!$A$1:$I$89,3,0)*VLOOKUP('Données projet'!$B$13,Paramètres!$A$1:$I$89,5,0)</f>
        <v>247.68899999999994</v>
      </c>
      <c r="CV108" s="13">
        <f t="shared" si="95"/>
        <v>60.090807825802337</v>
      </c>
      <c r="CW108" s="20">
        <f t="shared" si="67"/>
        <v>536.04983196327225</v>
      </c>
      <c r="CX108" s="59">
        <f t="shared" si="68"/>
        <v>829.38316529660551</v>
      </c>
      <c r="CY108" s="59">
        <f ca="1">AVERAGE(OFFSET($CX$3,0,0,'Données projet'!$E$13+1,1))-AVERAGE(OFFSET($H$3,0,0,'Données projet'!$E$13+1,1))</f>
        <v>242.1473060698724</v>
      </c>
      <c r="CZ108" s="59">
        <f t="shared" si="96"/>
        <v>96.127995920458659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0</v>
      </c>
      <c r="EP108" s="59">
        <f t="shared" si="100"/>
        <v>0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179.86010141761648</v>
      </c>
      <c r="T109" s="59">
        <f t="shared" si="88"/>
        <v>367.01744242396057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14.591242524093714</v>
      </c>
      <c r="AA109" s="21">
        <f>EXP(-LN(2)/25)*AA108+(1-EXP(-LN(2)/25))/(LN(2)/25)*Calculateur!V109*Calculateur!X109*VLOOKUP('Données projet'!$B$9,Paramètres!$A$1:$I$89,3,0)*0.475*44/12</f>
        <v>7.1572332656334225</v>
      </c>
      <c r="AB109" s="21">
        <f>EXP(-LN(2)/2)*AB108+(1-EXP(-LN(2)/2))/(LN(2)/2)*V109*Y109*VLOOKUP('Données projet'!$B$9,Paramètres!$A$1:$I$89,3,0)*0.475*44/12</f>
        <v>1.6531538527756163E-9</v>
      </c>
      <c r="AC109" s="22">
        <f t="shared" si="57"/>
        <v>21.74847579138029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-4.758931027026848E-13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318.09371753144256</v>
      </c>
      <c r="AO109" s="59">
        <f t="shared" si="90"/>
        <v>298.61479562586919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2.5126149599631749</v>
      </c>
      <c r="AW109" s="21">
        <f>EXP(-LN(2)/2)*AW108+(1-EXP(-LN(2)/2))/(LN(2)/2)*AQ109*AT109*VLOOKUP('Données projet'!$B$10,Paramètres!$A$1:$I$89,3,0)*0.475*44/12</f>
        <v>1.1005045103418186E-10</v>
      </c>
      <c r="AX109" s="21">
        <f t="shared" si="60"/>
        <v>3.2892249923037915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35.999999999999943</v>
      </c>
      <c r="BE109" s="13">
        <f>BD109*VLOOKUP('Données projet'!$B$11,Paramètres!$A$1:$I$89,3,0)*VLOOKUP('Données projet'!$B$11,Paramètres!$A$1:$I$89,5,0)</f>
        <v>31.449599999999958</v>
      </c>
      <c r="BF109" s="13">
        <f t="shared" si="91"/>
        <v>9.7016318496336709</v>
      </c>
      <c r="BG109" s="20">
        <f t="shared" si="61"/>
        <v>71.671728804778567</v>
      </c>
      <c r="BH109" s="59">
        <f t="shared" si="62"/>
        <v>365.0050621381119</v>
      </c>
      <c r="BI109" s="59">
        <f ca="1">AVERAGE(OFFSET($BH$3,0,0,'Données projet'!$E$11+1,1))-AVERAGE(OFFSET($H$3,0,0,'Données projet'!$E$11+1,1))</f>
        <v>247.43282553724879</v>
      </c>
      <c r="BJ109" s="59">
        <f t="shared" si="92"/>
        <v>637.29471578895527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1.000846370610783E-9</v>
      </c>
      <c r="BS109" s="22">
        <f t="shared" si="63"/>
        <v>1.000846370610783E-9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4.6111381379887463E-14</v>
      </c>
      <c r="CA109" s="13">
        <f t="shared" si="93"/>
        <v>7.5804141040779151E-13</v>
      </c>
      <c r="CB109" s="20">
        <f t="shared" si="64"/>
        <v>1.4005661123635408E-12</v>
      </c>
      <c r="CC109" s="59">
        <f t="shared" si="65"/>
        <v>293.33333333333474</v>
      </c>
      <c r="CD109" s="59">
        <f ca="1">AVERAGE(OFFSET($CC$3,0,0,'Données projet'!$E$12+1,1))-AVERAGE(OFFSET($H$3,0,0,'Données projet'!$E$12+1,1))</f>
        <v>230.68538392491388</v>
      </c>
      <c r="CE109" s="59">
        <f t="shared" si="94"/>
        <v>267.97457956620724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1.0342211351900699</v>
      </c>
      <c r="CM109" s="21">
        <f>EXP(-LN(2)/2)*CM108+(1-EXP(-LN(2)/2))/(LN(2)/2)*CG109*CJ109*VLOOKUP('Données projet'!$B$12,Paramètres!$A$1:$I$89,3,0)*0.475*44/12</f>
        <v>3.991797472592923E-11</v>
      </c>
      <c r="CN109" s="22">
        <f t="shared" si="66"/>
        <v>1.0342211352299879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3.1</v>
      </c>
      <c r="CT109" s="12">
        <f>IF('Données projet'!$A$140&gt;35,CT108+CS109-DB108,IF(A109&lt;'Données projet'!$A$140,$CQ$205^A109,IF(A109='Données projet'!$A$140,'Données projet'!$B$140,CT108+CS109-DB108)))</f>
        <v>220.59999999999994</v>
      </c>
      <c r="CU109" s="17">
        <f>CT109*VLOOKUP('Données projet'!$B$13,Paramètres!$A$1:$I$89,3,0)*VLOOKUP('Données projet'!$B$13,Paramètres!$A$1:$I$89,5,0)</f>
        <v>251.21927999999994</v>
      </c>
      <c r="CV109" s="13">
        <f t="shared" si="95"/>
        <v>60.846957337440259</v>
      </c>
      <c r="CW109" s="20">
        <f t="shared" si="67"/>
        <v>543.51536336270829</v>
      </c>
      <c r="CX109" s="59">
        <f t="shared" si="68"/>
        <v>836.84869669604154</v>
      </c>
      <c r="CY109" s="59">
        <f ca="1">AVERAGE(OFFSET($CX$3,0,0,'Données projet'!$E$13+1,1))-AVERAGE(OFFSET($H$3,0,0,'Données projet'!$E$13+1,1))</f>
        <v>242.1473060698724</v>
      </c>
      <c r="CZ109" s="59">
        <f t="shared" si="96"/>
        <v>96.127995920458659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0</v>
      </c>
      <c r="EP109" s="59">
        <f t="shared" si="100"/>
        <v>0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179.86010141761648</v>
      </c>
      <c r="T110" s="59">
        <f t="shared" si="88"/>
        <v>367.01744242396057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14.305117157975396</v>
      </c>
      <c r="AA110" s="21">
        <f>EXP(-LN(2)/25)*AA109+(1-EXP(-LN(2)/25))/(LN(2)/25)*Calculateur!V110*Calculateur!X110*VLOOKUP('Données projet'!$B$9,Paramètres!$A$1:$I$89,3,0)*0.475*44/12</f>
        <v>6.961518345602137</v>
      </c>
      <c r="AB110" s="21">
        <f>EXP(-LN(2)/2)*AB109+(1-EXP(-LN(2)/2))/(LN(2)/2)*V110*Y110*VLOOKUP('Données projet'!$B$9,Paramètres!$A$1:$I$89,3,0)*0.475*44/12</f>
        <v>1.1689562996423057E-9</v>
      </c>
      <c r="AC110" s="22">
        <f t="shared" si="57"/>
        <v>21.266635504746489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-4.758931027026848E-13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318.09371753144256</v>
      </c>
      <c r="AO110" s="59">
        <f t="shared" si="90"/>
        <v>298.61479562586919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2.4439073717503037</v>
      </c>
      <c r="AW110" s="21">
        <f>EXP(-LN(2)/2)*AW109+(1-EXP(-LN(2)/2))/(LN(2)/2)*AQ110*AT110*VLOOKUP('Données projet'!$B$10,Paramètres!$A$1:$I$89,3,0)*0.475*44/12</f>
        <v>7.7817420198908095E-11</v>
      </c>
      <c r="AX110" s="21">
        <f t="shared" si="60"/>
        <v>3.2052885550119927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35.999999999999943</v>
      </c>
      <c r="BE110" s="13">
        <f>BD110*VLOOKUP('Données projet'!$B$11,Paramètres!$A$1:$I$89,3,0)*VLOOKUP('Données projet'!$B$11,Paramètres!$A$1:$I$89,5,0)</f>
        <v>31.449599999999958</v>
      </c>
      <c r="BF110" s="13">
        <f t="shared" si="91"/>
        <v>9.7016318496336709</v>
      </c>
      <c r="BG110" s="20">
        <f t="shared" si="61"/>
        <v>71.671728804778567</v>
      </c>
      <c r="BH110" s="59">
        <f t="shared" si="62"/>
        <v>365.0050621381119</v>
      </c>
      <c r="BI110" s="59">
        <f ca="1">AVERAGE(OFFSET($BH$3,0,0,'Données projet'!$E$11+1,1))-AVERAGE(OFFSET($H$3,0,0,'Données projet'!$E$11+1,1))</f>
        <v>247.43282553724879</v>
      </c>
      <c r="BJ110" s="59">
        <f t="shared" si="92"/>
        <v>637.29471578895527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7.0770525558482919E-10</v>
      </c>
      <c r="BS110" s="22">
        <f t="shared" si="63"/>
        <v>7.0770525558482919E-10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4.6111381379887463E-14</v>
      </c>
      <c r="CA110" s="13">
        <f t="shared" si="93"/>
        <v>7.5804141040779151E-13</v>
      </c>
      <c r="CB110" s="20">
        <f t="shared" si="64"/>
        <v>1.4005661123635408E-12</v>
      </c>
      <c r="CC110" s="59">
        <f t="shared" si="65"/>
        <v>293.33333333333474</v>
      </c>
      <c r="CD110" s="59">
        <f ca="1">AVERAGE(OFFSET($CC$3,0,0,'Données projet'!$E$12+1,1))-AVERAGE(OFFSET($H$3,0,0,'Données projet'!$E$12+1,1))</f>
        <v>230.68538392491388</v>
      </c>
      <c r="CE110" s="59">
        <f t="shared" si="94"/>
        <v>267.97457956620724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1.0059403038609716</v>
      </c>
      <c r="CM110" s="21">
        <f>EXP(-LN(2)/2)*CM109+(1-EXP(-LN(2)/2))/(LN(2)/2)*CG110*CJ110*VLOOKUP('Données projet'!$B$12,Paramètres!$A$1:$I$89,3,0)*0.475*44/12</f>
        <v>2.8226270619937775E-11</v>
      </c>
      <c r="CN110" s="22">
        <f t="shared" si="66"/>
        <v>1.0059403038891979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3.1</v>
      </c>
      <c r="CT110" s="12">
        <f>IF('Données projet'!$A$140&gt;35,CT109+CS110-DB109,IF(A110&lt;'Données projet'!$A$140,$CQ$205^A110,IF(A110='Données projet'!$A$140,'Données projet'!$B$140,CT109+CS110-DB109)))</f>
        <v>223.69999999999993</v>
      </c>
      <c r="CU110" s="17">
        <f>CT110*VLOOKUP('Données projet'!$B$13,Paramètres!$A$1:$I$89,3,0)*VLOOKUP('Données projet'!$B$13,Paramètres!$A$1:$I$89,5,0)</f>
        <v>254.74955999999995</v>
      </c>
      <c r="CV110" s="13">
        <f t="shared" si="95"/>
        <v>61.601870967631797</v>
      </c>
      <c r="CW110" s="20">
        <f t="shared" si="67"/>
        <v>550.9787422686253</v>
      </c>
      <c r="CX110" s="59">
        <f t="shared" si="68"/>
        <v>844.31207560195867</v>
      </c>
      <c r="CY110" s="59">
        <f ca="1">AVERAGE(OFFSET($CX$3,0,0,'Données projet'!$E$13+1,1))-AVERAGE(OFFSET($H$3,0,0,'Données projet'!$E$13+1,1))</f>
        <v>242.1473060698724</v>
      </c>
      <c r="CZ110" s="59">
        <f t="shared" si="96"/>
        <v>96.127995920458659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0</v>
      </c>
      <c r="EP110" s="59">
        <f t="shared" si="100"/>
        <v>0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179.86010141761648</v>
      </c>
      <c r="T111" s="59">
        <f t="shared" si="88"/>
        <v>367.01744242396057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14.024602535767416</v>
      </c>
      <c r="AA111" s="21">
        <f>EXP(-LN(2)/25)*AA110+(1-EXP(-LN(2)/25))/(LN(2)/25)*Calculateur!V111*Calculateur!X111*VLOOKUP('Données projet'!$B$9,Paramètres!$A$1:$I$89,3,0)*0.475*44/12</f>
        <v>6.7711552603513079</v>
      </c>
      <c r="AB111" s="21">
        <f>EXP(-LN(2)/2)*AB110+(1-EXP(-LN(2)/2))/(LN(2)/2)*V111*Y111*VLOOKUP('Données projet'!$B$9,Paramètres!$A$1:$I$89,3,0)*0.475*44/12</f>
        <v>8.2657692638780817E-10</v>
      </c>
      <c r="AC111" s="22">
        <f t="shared" si="57"/>
        <v>20.795757796945303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-4.758931027026848E-13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318.09371753144256</v>
      </c>
      <c r="AO111" s="59">
        <f t="shared" si="90"/>
        <v>298.61479562586919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2.3770785961502887</v>
      </c>
      <c r="AW111" s="21">
        <f>EXP(-LN(2)/2)*AW110+(1-EXP(-LN(2)/2))/(LN(2)/2)*AQ111*AT111*VLOOKUP('Données projet'!$B$10,Paramètres!$A$1:$I$89,3,0)*0.475*44/12</f>
        <v>5.5025225517090931E-11</v>
      </c>
      <c r="AX111" s="21">
        <f t="shared" si="60"/>
        <v>3.1235295587836163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35.999999999999943</v>
      </c>
      <c r="BE111" s="13">
        <f>BD111*VLOOKUP('Données projet'!$B$11,Paramètres!$A$1:$I$89,3,0)*VLOOKUP('Données projet'!$B$11,Paramètres!$A$1:$I$89,5,0)</f>
        <v>31.449599999999958</v>
      </c>
      <c r="BF111" s="13">
        <f t="shared" si="91"/>
        <v>9.7016318496336709</v>
      </c>
      <c r="BG111" s="20">
        <f t="shared" si="61"/>
        <v>71.671728804778567</v>
      </c>
      <c r="BH111" s="59">
        <f t="shared" si="62"/>
        <v>365.0050621381119</v>
      </c>
      <c r="BI111" s="59">
        <f ca="1">AVERAGE(OFFSET($BH$3,0,0,'Données projet'!$E$11+1,1))-AVERAGE(OFFSET($H$3,0,0,'Données projet'!$E$11+1,1))</f>
        <v>247.43282553724879</v>
      </c>
      <c r="BJ111" s="59">
        <f t="shared" si="92"/>
        <v>637.29471578895527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5.004231853053915E-10</v>
      </c>
      <c r="BS111" s="22">
        <f t="shared" si="63"/>
        <v>5.004231853053915E-10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4.6111381379887463E-14</v>
      </c>
      <c r="CA111" s="13">
        <f t="shared" si="93"/>
        <v>7.5804141040779151E-13</v>
      </c>
      <c r="CB111" s="20">
        <f t="shared" si="64"/>
        <v>1.4005661123635408E-12</v>
      </c>
      <c r="CC111" s="59">
        <f t="shared" si="65"/>
        <v>293.33333333333474</v>
      </c>
      <c r="CD111" s="59">
        <f ca="1">AVERAGE(OFFSET($CC$3,0,0,'Données projet'!$E$12+1,1))-AVERAGE(OFFSET($H$3,0,0,'Données projet'!$E$12+1,1))</f>
        <v>230.68538392491388</v>
      </c>
      <c r="CE111" s="59">
        <f t="shared" si="94"/>
        <v>267.97457956620724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0.97843281335179177</v>
      </c>
      <c r="CM111" s="21">
        <f>EXP(-LN(2)/2)*CM110+(1-EXP(-LN(2)/2))/(LN(2)/2)*CG111*CJ111*VLOOKUP('Données projet'!$B$12,Paramètres!$A$1:$I$89,3,0)*0.475*44/12</f>
        <v>1.9958987362964615E-11</v>
      </c>
      <c r="CN111" s="22">
        <f t="shared" si="66"/>
        <v>0.97843281337175081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3.1</v>
      </c>
      <c r="CT111" s="12">
        <f>IF('Données projet'!$A$140&gt;35,CT110+CS111-DB110,IF(A111&lt;'Données projet'!$A$140,$CQ$205^A111,IF(A111='Données projet'!$A$140,'Données projet'!$B$140,CT110+CS111-DB110)))</f>
        <v>226.79999999999993</v>
      </c>
      <c r="CU111" s="17">
        <f>CT111*VLOOKUP('Données projet'!$B$13,Paramètres!$A$1:$I$89,3,0)*VLOOKUP('Données projet'!$B$13,Paramètres!$A$1:$I$89,5,0)</f>
        <v>258.27983999999992</v>
      </c>
      <c r="CV111" s="13">
        <f t="shared" si="95"/>
        <v>62.355567822391407</v>
      </c>
      <c r="CW111" s="20">
        <f t="shared" si="67"/>
        <v>558.44000195733156</v>
      </c>
      <c r="CX111" s="59">
        <f t="shared" si="68"/>
        <v>851.77333529066482</v>
      </c>
      <c r="CY111" s="59">
        <f ca="1">AVERAGE(OFFSET($CX$3,0,0,'Données projet'!$E$13+1,1))-AVERAGE(OFFSET($H$3,0,0,'Données projet'!$E$13+1,1))</f>
        <v>242.1473060698724</v>
      </c>
      <c r="CZ111" s="59">
        <f t="shared" si="96"/>
        <v>96.127995920458659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0</v>
      </c>
      <c r="EP111" s="59">
        <f t="shared" si="100"/>
        <v>0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179.86010141761648</v>
      </c>
      <c r="T112" s="59">
        <f t="shared" si="88"/>
        <v>367.01744242396057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13.74958863420391</v>
      </c>
      <c r="AA112" s="21">
        <f>EXP(-LN(2)/25)*AA111+(1-EXP(-LN(2)/25))/(LN(2)/25)*Calculateur!V112*Calculateur!X112*VLOOKUP('Données projet'!$B$9,Paramètres!$A$1:$I$89,3,0)*0.475*44/12</f>
        <v>6.5859976636774222</v>
      </c>
      <c r="AB112" s="21">
        <f>EXP(-LN(2)/2)*AB111+(1-EXP(-LN(2)/2))/(LN(2)/2)*V112*Y112*VLOOKUP('Données projet'!$B$9,Paramètres!$A$1:$I$89,3,0)*0.475*44/12</f>
        <v>5.8447814982115286E-10</v>
      </c>
      <c r="AC112" s="22">
        <f t="shared" si="57"/>
        <v>20.33558629846581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-4.758931027026848E-13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318.09371753144256</v>
      </c>
      <c r="AO112" s="59">
        <f t="shared" si="90"/>
        <v>298.61479562586919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2.3120772569334287</v>
      </c>
      <c r="AW112" s="21">
        <f>EXP(-LN(2)/2)*AW111+(1-EXP(-LN(2)/2))/(LN(2)/2)*AQ112*AT112*VLOOKUP('Données projet'!$B$10,Paramètres!$A$1:$I$89,3,0)*0.475*44/12</f>
        <v>3.8908710099454048E-11</v>
      </c>
      <c r="AX112" s="21">
        <f t="shared" si="60"/>
        <v>3.0438907714646102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35.999999999999943</v>
      </c>
      <c r="BE112" s="13">
        <f>BD112*VLOOKUP('Données projet'!$B$11,Paramètres!$A$1:$I$89,3,0)*VLOOKUP('Données projet'!$B$11,Paramètres!$A$1:$I$89,5,0)</f>
        <v>31.449599999999958</v>
      </c>
      <c r="BF112" s="13">
        <f t="shared" si="91"/>
        <v>9.7016318496336709</v>
      </c>
      <c r="BG112" s="20">
        <f t="shared" si="61"/>
        <v>71.671728804778567</v>
      </c>
      <c r="BH112" s="59">
        <f t="shared" si="62"/>
        <v>365.0050621381119</v>
      </c>
      <c r="BI112" s="59">
        <f ca="1">AVERAGE(OFFSET($BH$3,0,0,'Données projet'!$E$11+1,1))-AVERAGE(OFFSET($H$3,0,0,'Données projet'!$E$11+1,1))</f>
        <v>247.43282553724879</v>
      </c>
      <c r="BJ112" s="59">
        <f t="shared" si="92"/>
        <v>637.29471578895527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3.538526277924146E-10</v>
      </c>
      <c r="BS112" s="22">
        <f t="shared" si="63"/>
        <v>3.538526277924146E-10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4.6111381379887463E-14</v>
      </c>
      <c r="CA112" s="13">
        <f t="shared" si="93"/>
        <v>7.5804141040779151E-13</v>
      </c>
      <c r="CB112" s="20">
        <f t="shared" si="64"/>
        <v>1.4005661123635408E-12</v>
      </c>
      <c r="CC112" s="59">
        <f t="shared" si="65"/>
        <v>293.33333333333474</v>
      </c>
      <c r="CD112" s="59">
        <f ca="1">AVERAGE(OFFSET($CC$3,0,0,'Données projet'!$E$12+1,1))-AVERAGE(OFFSET($H$3,0,0,'Données projet'!$E$12+1,1))</f>
        <v>230.68538392491388</v>
      </c>
      <c r="CE112" s="59">
        <f t="shared" si="94"/>
        <v>267.97457956620724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0.95167751661714162</v>
      </c>
      <c r="CM112" s="21">
        <f>EXP(-LN(2)/2)*CM111+(1-EXP(-LN(2)/2))/(LN(2)/2)*CG112*CJ112*VLOOKUP('Données projet'!$B$12,Paramètres!$A$1:$I$89,3,0)*0.475*44/12</f>
        <v>1.4113135309968887E-11</v>
      </c>
      <c r="CN112" s="22">
        <f t="shared" si="66"/>
        <v>0.95167751663125477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3.1</v>
      </c>
      <c r="CT112" s="12">
        <f>IF('Données projet'!$A$140&gt;35,CT111+CS112-DB111,IF(A112&lt;'Données projet'!$A$140,$CQ$205^A112,IF(A112='Données projet'!$A$140,'Données projet'!$B$140,CT111+CS112-DB111)))</f>
        <v>229.89999999999992</v>
      </c>
      <c r="CU112" s="17">
        <f>CT112*VLOOKUP('Données projet'!$B$13,Paramètres!$A$1:$I$89,3,0)*VLOOKUP('Données projet'!$B$13,Paramètres!$A$1:$I$89,5,0)</f>
        <v>261.81011999999993</v>
      </c>
      <c r="CV112" s="13">
        <f t="shared" si="95"/>
        <v>63.108066455425636</v>
      </c>
      <c r="CW112" s="20">
        <f t="shared" si="67"/>
        <v>565.89917474319952</v>
      </c>
      <c r="CX112" s="59">
        <f t="shared" si="68"/>
        <v>859.23250807653289</v>
      </c>
      <c r="CY112" s="59">
        <f ca="1">AVERAGE(OFFSET($CX$3,0,0,'Données projet'!$E$13+1,1))-AVERAGE(OFFSET($H$3,0,0,'Données projet'!$E$13+1,1))</f>
        <v>242.1473060698724</v>
      </c>
      <c r="CZ112" s="59">
        <f t="shared" si="96"/>
        <v>96.127995920458659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0</v>
      </c>
      <c r="EP112" s="59">
        <f t="shared" si="100"/>
        <v>0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179.86010141761648</v>
      </c>
      <c r="T113" s="59">
        <f t="shared" si="88"/>
        <v>367.01744242396057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13.479967587508147</v>
      </c>
      <c r="AA113" s="21">
        <f>EXP(-LN(2)/25)*AA112+(1-EXP(-LN(2)/25))/(LN(2)/25)*Calculateur!V113*Calculateur!X113*VLOOKUP('Données projet'!$B$9,Paramètres!$A$1:$I$89,3,0)*0.475*44/12</f>
        <v>6.4059032112215988</v>
      </c>
      <c r="AB113" s="21">
        <f>EXP(-LN(2)/2)*AB112+(1-EXP(-LN(2)/2))/(LN(2)/2)*V113*Y113*VLOOKUP('Données projet'!$B$9,Paramètres!$A$1:$I$89,3,0)*0.475*44/12</f>
        <v>4.1328846319390409E-10</v>
      </c>
      <c r="AC113" s="22">
        <f t="shared" si="57"/>
        <v>19.885870799143035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-4.758931027026848E-13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318.09371753144256</v>
      </c>
      <c r="AO113" s="59">
        <f t="shared" si="90"/>
        <v>298.61479562586919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2.2488533827557253</v>
      </c>
      <c r="AW113" s="21">
        <f>EXP(-LN(2)/2)*AW112+(1-EXP(-LN(2)/2))/(LN(2)/2)*AQ113*AT113*VLOOKUP('Données projet'!$B$10,Paramètres!$A$1:$I$89,3,0)*0.475*44/12</f>
        <v>2.7512612758545465E-11</v>
      </c>
      <c r="AX113" s="21">
        <f t="shared" si="60"/>
        <v>2.9663164806184867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35.999999999999943</v>
      </c>
      <c r="BE113" s="13">
        <f>BD113*VLOOKUP('Données projet'!$B$11,Paramètres!$A$1:$I$89,3,0)*VLOOKUP('Données projet'!$B$11,Paramètres!$A$1:$I$89,5,0)</f>
        <v>31.449599999999958</v>
      </c>
      <c r="BF113" s="13">
        <f t="shared" si="91"/>
        <v>9.7016318496336709</v>
      </c>
      <c r="BG113" s="20">
        <f t="shared" si="61"/>
        <v>71.671728804778567</v>
      </c>
      <c r="BH113" s="59">
        <f t="shared" si="62"/>
        <v>365.0050621381119</v>
      </c>
      <c r="BI113" s="59">
        <f ca="1">AVERAGE(OFFSET($BH$3,0,0,'Données projet'!$E$11+1,1))-AVERAGE(OFFSET($H$3,0,0,'Données projet'!$E$11+1,1))</f>
        <v>247.43282553724879</v>
      </c>
      <c r="BJ113" s="59">
        <f t="shared" si="92"/>
        <v>637.29471578895527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2.5021159265269575E-10</v>
      </c>
      <c r="BS113" s="22">
        <f t="shared" si="63"/>
        <v>2.5021159265269575E-10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4.6111381379887463E-14</v>
      </c>
      <c r="CA113" s="13">
        <f t="shared" si="93"/>
        <v>7.5804141040779151E-13</v>
      </c>
      <c r="CB113" s="20">
        <f t="shared" si="64"/>
        <v>1.4005661123635408E-12</v>
      </c>
      <c r="CC113" s="59">
        <f t="shared" si="65"/>
        <v>293.33333333333474</v>
      </c>
      <c r="CD113" s="59">
        <f ca="1">AVERAGE(OFFSET($CC$3,0,0,'Données projet'!$E$12+1,1))-AVERAGE(OFFSET($H$3,0,0,'Données projet'!$E$12+1,1))</f>
        <v>230.68538392491388</v>
      </c>
      <c r="CE113" s="59">
        <f t="shared" si="94"/>
        <v>267.97457956620724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0.92565384487870039</v>
      </c>
      <c r="CM113" s="21">
        <f>EXP(-LN(2)/2)*CM112+(1-EXP(-LN(2)/2))/(LN(2)/2)*CG113*CJ113*VLOOKUP('Données projet'!$B$12,Paramètres!$A$1:$I$89,3,0)*0.475*44/12</f>
        <v>9.9794936814823075E-12</v>
      </c>
      <c r="CN113" s="22">
        <f t="shared" si="66"/>
        <v>0.92565384488867986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233</v>
      </c>
      <c r="CR113" s="12">
        <f>VLOOKUP(A113,'Données projet'!$A$139:$I$159,9,0)</f>
        <v>3.1</v>
      </c>
      <c r="CS113" s="12">
        <f t="array" ref="CS113">INDEX(CR:CR,MIN(IF(ISNUMBER(CR113:CR309),ROW(CR113:CR309),"")))</f>
        <v>3.1</v>
      </c>
      <c r="CT113" s="12">
        <f>IF('Données projet'!$A$140&gt;35,CT112+CS113-DB112,IF(A113&lt;'Données projet'!$A$140,$CQ$205^A113,IF(A113='Données projet'!$A$140,'Données projet'!$B$140,CT112+CS113-DB112)))</f>
        <v>232.99999999999991</v>
      </c>
      <c r="CU113" s="17">
        <f>CT113*VLOOKUP('Données projet'!$B$13,Paramètres!$A$1:$I$89,3,0)*VLOOKUP('Données projet'!$B$13,Paramètres!$A$1:$I$89,5,0)</f>
        <v>265.34039999999993</v>
      </c>
      <c r="CV113" s="13">
        <f t="shared" si="95"/>
        <v>63.85938489132635</v>
      </c>
      <c r="CW113" s="20">
        <f t="shared" si="67"/>
        <v>573.35629201905988</v>
      </c>
      <c r="CX113" s="59">
        <f t="shared" si="68"/>
        <v>866.68962535239325</v>
      </c>
      <c r="CY113" s="59">
        <f ca="1">AVERAGE(OFFSET($CX$3,0,0,'Données projet'!$E$13+1,1))-AVERAGE(OFFSET($H$3,0,0,'Données projet'!$E$13+1,1))</f>
        <v>242.1473060698724</v>
      </c>
      <c r="CZ113" s="59">
        <f t="shared" si="96"/>
        <v>96.127995920458659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0</v>
      </c>
      <c r="EP113" s="59">
        <f t="shared" si="100"/>
        <v>0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179.86010141761648</v>
      </c>
      <c r="T114" s="59">
        <f t="shared" si="88"/>
        <v>367.01744242396057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13.215633645085489</v>
      </c>
      <c r="AA114" s="21">
        <f>EXP(-LN(2)/25)*AA113+(1-EXP(-LN(2)/25))/(LN(2)/25)*Calculateur!V114*Calculateur!X114*VLOOKUP('Données projet'!$B$9,Paramètres!$A$1:$I$89,3,0)*0.475*44/12</f>
        <v>6.2307334510389349</v>
      </c>
      <c r="AB114" s="21">
        <f>EXP(-LN(2)/2)*AB113+(1-EXP(-LN(2)/2))/(LN(2)/2)*V114*Y114*VLOOKUP('Données projet'!$B$9,Paramètres!$A$1:$I$89,3,0)*0.475*44/12</f>
        <v>2.9223907491057643E-10</v>
      </c>
      <c r="AC114" s="22">
        <f t="shared" si="57"/>
        <v>19.446367096416665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-4.758931027026848E-13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318.09371753144256</v>
      </c>
      <c r="AO114" s="59">
        <f t="shared" si="90"/>
        <v>298.61479562586919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2.1873583687422102</v>
      </c>
      <c r="AW114" s="21">
        <f>EXP(-LN(2)/2)*AW113+(1-EXP(-LN(2)/2))/(LN(2)/2)*AQ114*AT114*VLOOKUP('Données projet'!$B$10,Paramètres!$A$1:$I$89,3,0)*0.475*44/12</f>
        <v>1.9454355049727024E-11</v>
      </c>
      <c r="AX114" s="21">
        <f t="shared" si="60"/>
        <v>2.8907524528576434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35.999999999999943</v>
      </c>
      <c r="BE114" s="13">
        <f>BD114*VLOOKUP('Données projet'!$B$11,Paramètres!$A$1:$I$89,3,0)*VLOOKUP('Données projet'!$B$11,Paramètres!$A$1:$I$89,5,0)</f>
        <v>31.449599999999958</v>
      </c>
      <c r="BF114" s="13">
        <f t="shared" si="91"/>
        <v>9.7016318496336709</v>
      </c>
      <c r="BG114" s="20">
        <f t="shared" si="61"/>
        <v>71.671728804778567</v>
      </c>
      <c r="BH114" s="59">
        <f t="shared" si="62"/>
        <v>365.0050621381119</v>
      </c>
      <c r="BI114" s="59">
        <f ca="1">AVERAGE(OFFSET($BH$3,0,0,'Données projet'!$E$11+1,1))-AVERAGE(OFFSET($H$3,0,0,'Données projet'!$E$11+1,1))</f>
        <v>247.43282553724879</v>
      </c>
      <c r="BJ114" s="59">
        <f t="shared" si="92"/>
        <v>637.29471578895527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1.769263138962073E-10</v>
      </c>
      <c r="BS114" s="22">
        <f t="shared" si="63"/>
        <v>1.769263138962073E-10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4.6111381379887463E-14</v>
      </c>
      <c r="CA114" s="13">
        <f t="shared" si="93"/>
        <v>7.5804141040779151E-13</v>
      </c>
      <c r="CB114" s="20">
        <f t="shared" si="64"/>
        <v>1.4005661123635408E-12</v>
      </c>
      <c r="CC114" s="59">
        <f t="shared" si="65"/>
        <v>293.33333333333474</v>
      </c>
      <c r="CD114" s="59">
        <f ca="1">AVERAGE(OFFSET($CC$3,0,0,'Données projet'!$E$12+1,1))-AVERAGE(OFFSET($H$3,0,0,'Données projet'!$E$12+1,1))</f>
        <v>230.68538392491388</v>
      </c>
      <c r="CE114" s="59">
        <f t="shared" si="94"/>
        <v>267.97457956620724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0.9003417918124722</v>
      </c>
      <c r="CM114" s="21">
        <f>EXP(-LN(2)/2)*CM113+(1-EXP(-LN(2)/2))/(LN(2)/2)*CG114*CJ114*VLOOKUP('Données projet'!$B$12,Paramètres!$A$1:$I$89,3,0)*0.475*44/12</f>
        <v>7.0565676549844437E-12</v>
      </c>
      <c r="CN114" s="22">
        <f t="shared" si="66"/>
        <v>0.90034179181952878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2.8</v>
      </c>
      <c r="CT114" s="12">
        <f>IF('Données projet'!$A$140&gt;35,CT113+CS114-DB113,IF(A114&lt;'Données projet'!$A$140,$CQ$205^A114,IF(A114='Données projet'!$A$140,'Données projet'!$B$140,CT113+CS114-DB113)))</f>
        <v>208.79999999999993</v>
      </c>
      <c r="CU114" s="17">
        <f>CT114*VLOOKUP('Données projet'!$B$13,Paramètres!$A$1:$I$89,3,0)*VLOOKUP('Données projet'!$B$13,Paramètres!$A$1:$I$89,5,0)</f>
        <v>237.78143999999992</v>
      </c>
      <c r="CV114" s="13">
        <f t="shared" si="95"/>
        <v>57.9619387969109</v>
      </c>
      <c r="CW114" s="20">
        <f t="shared" si="67"/>
        <v>515.08638473795293</v>
      </c>
      <c r="CX114" s="59">
        <f t="shared" si="68"/>
        <v>808.4197180712863</v>
      </c>
      <c r="CY114" s="59">
        <f ca="1">AVERAGE(OFFSET($CX$3,0,0,'Données projet'!$E$13+1,1))-AVERAGE(OFFSET($H$3,0,0,'Données projet'!$E$13+1,1))</f>
        <v>242.1473060698724</v>
      </c>
      <c r="CZ114" s="59">
        <f t="shared" si="96"/>
        <v>96.127995920458659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0</v>
      </c>
      <c r="EP114" s="59">
        <f t="shared" si="100"/>
        <v>0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179.86010141761648</v>
      </c>
      <c r="T115" s="59">
        <f t="shared" si="88"/>
        <v>367.01744242396057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12.956483130045955</v>
      </c>
      <c r="AA115" s="21">
        <f>EXP(-LN(2)/25)*AA114+(1-EXP(-LN(2)/25))/(LN(2)/25)*Calculateur!V115*Calculateur!X115*VLOOKUP('Données projet'!$B$9,Paramètres!$A$1:$I$89,3,0)*0.475*44/12</f>
        <v>6.0603537171602433</v>
      </c>
      <c r="AB115" s="21">
        <f>EXP(-LN(2)/2)*AB114+(1-EXP(-LN(2)/2))/(LN(2)/2)*V115*Y115*VLOOKUP('Données projet'!$B$9,Paramètres!$A$1:$I$89,3,0)*0.475*44/12</f>
        <v>2.0664423159695204E-10</v>
      </c>
      <c r="AC115" s="22">
        <f t="shared" si="57"/>
        <v>19.016836847412844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-4.758931027026848E-13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318.09371753144256</v>
      </c>
      <c r="AO115" s="59">
        <f t="shared" si="90"/>
        <v>298.61479562586919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2.127544939120777</v>
      </c>
      <c r="AW115" s="21">
        <f>EXP(-LN(2)/2)*AW114+(1-EXP(-LN(2)/2))/(LN(2)/2)*AQ115*AT115*VLOOKUP('Données projet'!$B$10,Paramètres!$A$1:$I$89,3,0)*0.475*44/12</f>
        <v>1.3756306379272733E-11</v>
      </c>
      <c r="AX115" s="21">
        <f t="shared" si="60"/>
        <v>2.8171458942694181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35.999999999999943</v>
      </c>
      <c r="BE115" s="13">
        <f>BD115*VLOOKUP('Données projet'!$B$11,Paramètres!$A$1:$I$89,3,0)*VLOOKUP('Données projet'!$B$11,Paramètres!$A$1:$I$89,5,0)</f>
        <v>31.449599999999958</v>
      </c>
      <c r="BF115" s="13">
        <f t="shared" si="91"/>
        <v>9.7016318496336709</v>
      </c>
      <c r="BG115" s="20">
        <f t="shared" si="61"/>
        <v>71.671728804778567</v>
      </c>
      <c r="BH115" s="59">
        <f t="shared" si="62"/>
        <v>365.0050621381119</v>
      </c>
      <c r="BI115" s="59">
        <f ca="1">AVERAGE(OFFSET($BH$3,0,0,'Données projet'!$E$11+1,1))-AVERAGE(OFFSET($H$3,0,0,'Données projet'!$E$11+1,1))</f>
        <v>247.43282553724879</v>
      </c>
      <c r="BJ115" s="59">
        <f t="shared" si="92"/>
        <v>637.29471578895527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1.2510579632634788E-10</v>
      </c>
      <c r="BS115" s="22">
        <f t="shared" si="63"/>
        <v>1.2510579632634788E-10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4.6111381379887463E-14</v>
      </c>
      <c r="CA115" s="13">
        <f t="shared" si="93"/>
        <v>7.5804141040779151E-13</v>
      </c>
      <c r="CB115" s="20">
        <f t="shared" si="64"/>
        <v>1.4005661123635408E-12</v>
      </c>
      <c r="CC115" s="59">
        <f t="shared" si="65"/>
        <v>293.33333333333474</v>
      </c>
      <c r="CD115" s="59">
        <f ca="1">AVERAGE(OFFSET($CC$3,0,0,'Données projet'!$E$12+1,1))-AVERAGE(OFFSET($H$3,0,0,'Données projet'!$E$12+1,1))</f>
        <v>230.68538392491388</v>
      </c>
      <c r="CE115" s="59">
        <f t="shared" si="94"/>
        <v>267.97457956620724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0.87572189816844304</v>
      </c>
      <c r="CM115" s="21">
        <f>EXP(-LN(2)/2)*CM114+(1-EXP(-LN(2)/2))/(LN(2)/2)*CG115*CJ115*VLOOKUP('Données projet'!$B$12,Paramètres!$A$1:$I$89,3,0)*0.475*44/12</f>
        <v>4.9897468407411538E-12</v>
      </c>
      <c r="CN115" s="22">
        <f t="shared" si="66"/>
        <v>0.87572189817343282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2.8</v>
      </c>
      <c r="CT115" s="12">
        <f>IF('Données projet'!$A$140&gt;35,CT114+CS115-DB114,IF(A115&lt;'Données projet'!$A$140,$CQ$205^A115,IF(A115='Données projet'!$A$140,'Données projet'!$B$140,CT114+CS115-DB114)))</f>
        <v>211.59999999999994</v>
      </c>
      <c r="CU115" s="17">
        <f>CT115*VLOOKUP('Données projet'!$B$13,Paramètres!$A$1:$I$89,3,0)*VLOOKUP('Données projet'!$B$13,Paramètres!$A$1:$I$89,5,0)</f>
        <v>240.97007999999994</v>
      </c>
      <c r="CV115" s="13">
        <f t="shared" si="95"/>
        <v>58.648198893942364</v>
      </c>
      <c r="CW115" s="20">
        <f t="shared" si="67"/>
        <v>521.83516907361616</v>
      </c>
      <c r="CX115" s="59">
        <f t="shared" si="68"/>
        <v>815.16850240694953</v>
      </c>
      <c r="CY115" s="59">
        <f ca="1">AVERAGE(OFFSET($CX$3,0,0,'Données projet'!$E$13+1,1))-AVERAGE(OFFSET($H$3,0,0,'Données projet'!$E$13+1,1))</f>
        <v>242.1473060698724</v>
      </c>
      <c r="CZ115" s="59">
        <f t="shared" si="96"/>
        <v>96.127995920458659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0</v>
      </c>
      <c r="EP115" s="59">
        <f t="shared" si="100"/>
        <v>0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179.86010141761648</v>
      </c>
      <c r="T116" s="59">
        <f t="shared" si="88"/>
        <v>367.01744242396057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12.702414398540139</v>
      </c>
      <c r="AA116" s="21">
        <f>EXP(-LN(2)/25)*AA115+(1-EXP(-LN(2)/25))/(LN(2)/25)*Calculateur!V116*Calculateur!X116*VLOOKUP('Données projet'!$B$9,Paramètres!$A$1:$I$89,3,0)*0.475*44/12</f>
        <v>5.8946330260643451</v>
      </c>
      <c r="AB116" s="21">
        <f>EXP(-LN(2)/2)*AB115+(1-EXP(-LN(2)/2))/(LN(2)/2)*V116*Y116*VLOOKUP('Données projet'!$B$9,Paramètres!$A$1:$I$89,3,0)*0.475*44/12</f>
        <v>1.4611953745528822E-10</v>
      </c>
      <c r="AC116" s="22">
        <f t="shared" si="57"/>
        <v>18.597047424750603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-4.758931027026848E-13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318.09371753144256</v>
      </c>
      <c r="AO116" s="59">
        <f t="shared" si="90"/>
        <v>298.61479562586919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2.0693671108777938</v>
      </c>
      <c r="AW116" s="21">
        <f>EXP(-LN(2)/2)*AW115+(1-EXP(-LN(2)/2))/(LN(2)/2)*AQ116*AT116*VLOOKUP('Données projet'!$B$10,Paramètres!$A$1:$I$89,3,0)*0.475*44/12</f>
        <v>9.7271775248635119E-12</v>
      </c>
      <c r="AX116" s="21">
        <f t="shared" si="60"/>
        <v>2.7454454119072613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35.999999999999943</v>
      </c>
      <c r="BE116" s="13">
        <f>BD116*VLOOKUP('Données projet'!$B$11,Paramètres!$A$1:$I$89,3,0)*VLOOKUP('Données projet'!$B$11,Paramètres!$A$1:$I$89,5,0)</f>
        <v>31.449599999999958</v>
      </c>
      <c r="BF116" s="13">
        <f t="shared" si="91"/>
        <v>9.7016318496336709</v>
      </c>
      <c r="BG116" s="20">
        <f t="shared" si="61"/>
        <v>71.671728804778567</v>
      </c>
      <c r="BH116" s="59">
        <f t="shared" si="62"/>
        <v>365.0050621381119</v>
      </c>
      <c r="BI116" s="59">
        <f ca="1">AVERAGE(OFFSET($BH$3,0,0,'Données projet'!$E$11+1,1))-AVERAGE(OFFSET($H$3,0,0,'Données projet'!$E$11+1,1))</f>
        <v>247.43282553724879</v>
      </c>
      <c r="BJ116" s="59">
        <f t="shared" si="92"/>
        <v>637.29471578895527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8.8463156948103649E-11</v>
      </c>
      <c r="BS116" s="22">
        <f t="shared" si="63"/>
        <v>8.8463156948103649E-11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4.6111381379887463E-14</v>
      </c>
      <c r="CA116" s="13">
        <f t="shared" si="93"/>
        <v>7.5804141040779151E-13</v>
      </c>
      <c r="CB116" s="20">
        <f t="shared" si="64"/>
        <v>1.4005661123635408E-12</v>
      </c>
      <c r="CC116" s="59">
        <f t="shared" si="65"/>
        <v>293.33333333333474</v>
      </c>
      <c r="CD116" s="59">
        <f ca="1">AVERAGE(OFFSET($CC$3,0,0,'Données projet'!$E$12+1,1))-AVERAGE(OFFSET($H$3,0,0,'Données projet'!$E$12+1,1))</f>
        <v>230.68538392491388</v>
      </c>
      <c r="CE116" s="59">
        <f t="shared" si="94"/>
        <v>267.97457956620724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0.8517752368108138</v>
      </c>
      <c r="CM116" s="21">
        <f>EXP(-LN(2)/2)*CM115+(1-EXP(-LN(2)/2))/(LN(2)/2)*CG116*CJ116*VLOOKUP('Données projet'!$B$12,Paramètres!$A$1:$I$89,3,0)*0.475*44/12</f>
        <v>3.5282838274922219E-12</v>
      </c>
      <c r="CN116" s="22">
        <f t="shared" si="66"/>
        <v>0.85177523681434208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2.8</v>
      </c>
      <c r="CT116" s="12">
        <f>IF('Données projet'!$A$140&gt;35,CT115+CS116-DB115,IF(A116&lt;'Données projet'!$A$140,$CQ$205^A116,IF(A116='Données projet'!$A$140,'Données projet'!$B$140,CT115+CS116-DB115)))</f>
        <v>214.39999999999995</v>
      </c>
      <c r="CU116" s="17">
        <f>CT116*VLOOKUP('Données projet'!$B$13,Paramètres!$A$1:$I$89,3,0)*VLOOKUP('Données projet'!$B$13,Paramètres!$A$1:$I$89,5,0)</f>
        <v>244.15871999999996</v>
      </c>
      <c r="CV116" s="13">
        <f t="shared" si="95"/>
        <v>59.333402749839792</v>
      </c>
      <c r="CW116" s="20">
        <f t="shared" si="67"/>
        <v>528.58211378930412</v>
      </c>
      <c r="CX116" s="59">
        <f t="shared" si="68"/>
        <v>821.91544712263749</v>
      </c>
      <c r="CY116" s="59">
        <f ca="1">AVERAGE(OFFSET($CX$3,0,0,'Données projet'!$E$13+1,1))-AVERAGE(OFFSET($H$3,0,0,'Données projet'!$E$13+1,1))</f>
        <v>242.1473060698724</v>
      </c>
      <c r="CZ116" s="59">
        <f t="shared" si="96"/>
        <v>96.127995920458659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0</v>
      </c>
      <c r="EP116" s="59">
        <f t="shared" si="100"/>
        <v>0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179.86010141761648</v>
      </c>
      <c r="T117" s="59">
        <f t="shared" si="88"/>
        <v>367.01744242396057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12.453327799892527</v>
      </c>
      <c r="AA117" s="21">
        <f>EXP(-LN(2)/25)*AA116+(1-EXP(-LN(2)/25))/(LN(2)/25)*Calculateur!V117*Calculateur!X117*VLOOKUP('Données projet'!$B$9,Paramètres!$A$1:$I$89,3,0)*0.475*44/12</f>
        <v>5.7334439759813369</v>
      </c>
      <c r="AB117" s="21">
        <f>EXP(-LN(2)/2)*AB116+(1-EXP(-LN(2)/2))/(LN(2)/2)*V117*Y117*VLOOKUP('Données projet'!$B$9,Paramètres!$A$1:$I$89,3,0)*0.475*44/12</f>
        <v>1.0332211579847602E-10</v>
      </c>
      <c r="AC117" s="22">
        <f t="shared" si="57"/>
        <v>18.186771775977189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-4.758931027026848E-13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318.09371753144256</v>
      </c>
      <c r="AO117" s="59">
        <f t="shared" si="90"/>
        <v>298.61479562586919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2.012780158407554</v>
      </c>
      <c r="AW117" s="21">
        <f>EXP(-LN(2)/2)*AW116+(1-EXP(-LN(2)/2))/(LN(2)/2)*AQ117*AT117*VLOOKUP('Données projet'!$B$10,Paramètres!$A$1:$I$89,3,0)*0.475*44/12</f>
        <v>6.8781531896363663E-12</v>
      </c>
      <c r="AX117" s="21">
        <f t="shared" si="60"/>
        <v>2.6756009763182207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35.999999999999943</v>
      </c>
      <c r="BE117" s="13">
        <f>BD117*VLOOKUP('Données projet'!$B$11,Paramètres!$A$1:$I$89,3,0)*VLOOKUP('Données projet'!$B$11,Paramètres!$A$1:$I$89,5,0)</f>
        <v>31.449599999999958</v>
      </c>
      <c r="BF117" s="13">
        <f t="shared" si="91"/>
        <v>9.7016318496336709</v>
      </c>
      <c r="BG117" s="20">
        <f t="shared" si="61"/>
        <v>71.671728804778567</v>
      </c>
      <c r="BH117" s="59">
        <f t="shared" si="62"/>
        <v>365.0050621381119</v>
      </c>
      <c r="BI117" s="59">
        <f ca="1">AVERAGE(OFFSET($BH$3,0,0,'Données projet'!$E$11+1,1))-AVERAGE(OFFSET($H$3,0,0,'Données projet'!$E$11+1,1))</f>
        <v>247.43282553724879</v>
      </c>
      <c r="BJ117" s="59">
        <f t="shared" si="92"/>
        <v>637.29471578895527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6.2552898163173938E-11</v>
      </c>
      <c r="BS117" s="22">
        <f t="shared" si="63"/>
        <v>6.2552898163173938E-11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4.6111381379887463E-14</v>
      </c>
      <c r="CA117" s="13">
        <f t="shared" si="93"/>
        <v>7.5804141040779151E-13</v>
      </c>
      <c r="CB117" s="20">
        <f t="shared" si="64"/>
        <v>1.4005661123635408E-12</v>
      </c>
      <c r="CC117" s="59">
        <f t="shared" si="65"/>
        <v>293.33333333333474</v>
      </c>
      <c r="CD117" s="59">
        <f ca="1">AVERAGE(OFFSET($CC$3,0,0,'Données projet'!$E$12+1,1))-AVERAGE(OFFSET($H$3,0,0,'Données projet'!$E$12+1,1))</f>
        <v>230.68538392491388</v>
      </c>
      <c r="CE117" s="59">
        <f t="shared" si="94"/>
        <v>267.97457956620724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0.82848339816730909</v>
      </c>
      <c r="CM117" s="21">
        <f>EXP(-LN(2)/2)*CM116+(1-EXP(-LN(2)/2))/(LN(2)/2)*CG117*CJ117*VLOOKUP('Données projet'!$B$12,Paramètres!$A$1:$I$89,3,0)*0.475*44/12</f>
        <v>2.4948734203705769E-12</v>
      </c>
      <c r="CN117" s="22">
        <f t="shared" si="66"/>
        <v>0.82848339816980399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2.8</v>
      </c>
      <c r="CT117" s="12">
        <f>IF('Données projet'!$A$140&gt;35,CT116+CS117-DB116,IF(A117&lt;'Données projet'!$A$140,$CQ$205^A117,IF(A117='Données projet'!$A$140,'Données projet'!$B$140,CT116+CS117-DB116)))</f>
        <v>217.19999999999996</v>
      </c>
      <c r="CU117" s="17">
        <f>CT117*VLOOKUP('Données projet'!$B$13,Paramètres!$A$1:$I$89,3,0)*VLOOKUP('Données projet'!$B$13,Paramètres!$A$1:$I$89,5,0)</f>
        <v>247.34735999999992</v>
      </c>
      <c r="CV117" s="13">
        <f t="shared" si="95"/>
        <v>60.017565753622286</v>
      </c>
      <c r="CW117" s="20">
        <f t="shared" si="67"/>
        <v>535.32724568755873</v>
      </c>
      <c r="CX117" s="59">
        <f t="shared" si="68"/>
        <v>828.6605790208921</v>
      </c>
      <c r="CY117" s="59">
        <f ca="1">AVERAGE(OFFSET($CX$3,0,0,'Données projet'!$E$13+1,1))-AVERAGE(OFFSET($H$3,0,0,'Données projet'!$E$13+1,1))</f>
        <v>242.1473060698724</v>
      </c>
      <c r="CZ117" s="59">
        <f t="shared" si="96"/>
        <v>96.127995920458659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0</v>
      </c>
      <c r="EP117" s="59">
        <f t="shared" si="100"/>
        <v>0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179.86010141761648</v>
      </c>
      <c r="T118" s="59">
        <f t="shared" si="88"/>
        <v>367.01744242396057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12.209125637516571</v>
      </c>
      <c r="AA118" s="21">
        <f>EXP(-LN(2)/25)*AA117+(1-EXP(-LN(2)/25))/(LN(2)/25)*Calculateur!V118*Calculateur!X118*VLOOKUP('Données projet'!$B$9,Paramètres!$A$1:$I$89,3,0)*0.475*44/12</f>
        <v>5.5766626489494122</v>
      </c>
      <c r="AB118" s="21">
        <f>EXP(-LN(2)/2)*AB117+(1-EXP(-LN(2)/2))/(LN(2)/2)*V118*Y118*VLOOKUP('Données projet'!$B$9,Paramètres!$A$1:$I$89,3,0)*0.475*44/12</f>
        <v>7.3059768727644108E-11</v>
      </c>
      <c r="AC118" s="22">
        <f t="shared" si="57"/>
        <v>17.785788286539042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-4.758931027026848E-13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318.09371753144256</v>
      </c>
      <c r="AO118" s="59">
        <f t="shared" si="90"/>
        <v>298.61479562586919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1.9577405791283911</v>
      </c>
      <c r="AW118" s="21">
        <f>EXP(-LN(2)/2)*AW117+(1-EXP(-LN(2)/2))/(LN(2)/2)*AQ118*AT118*VLOOKUP('Données projet'!$B$10,Paramètres!$A$1:$I$89,3,0)*0.475*44/12</f>
        <v>4.863588762431756E-12</v>
      </c>
      <c r="AX118" s="21">
        <f t="shared" si="60"/>
        <v>2.6075638850787297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35.999999999999943</v>
      </c>
      <c r="BE118" s="13">
        <f>BD118*VLOOKUP('Données projet'!$B$11,Paramètres!$A$1:$I$89,3,0)*VLOOKUP('Données projet'!$B$11,Paramètres!$A$1:$I$89,5,0)</f>
        <v>31.449599999999958</v>
      </c>
      <c r="BF118" s="13">
        <f t="shared" si="91"/>
        <v>9.7016318496336709</v>
      </c>
      <c r="BG118" s="20">
        <f t="shared" si="61"/>
        <v>71.671728804778567</v>
      </c>
      <c r="BH118" s="59">
        <f t="shared" si="62"/>
        <v>365.0050621381119</v>
      </c>
      <c r="BI118" s="59">
        <f ca="1">AVERAGE(OFFSET($BH$3,0,0,'Données projet'!$E$11+1,1))-AVERAGE(OFFSET($H$3,0,0,'Données projet'!$E$11+1,1))</f>
        <v>247.43282553724879</v>
      </c>
      <c r="BJ118" s="59">
        <f t="shared" si="92"/>
        <v>637.29471578895527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4.4231578474051824E-11</v>
      </c>
      <c r="BS118" s="22">
        <f t="shared" si="63"/>
        <v>4.4231578474051824E-11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4.6111381379887463E-14</v>
      </c>
      <c r="CA118" s="13">
        <f t="shared" si="93"/>
        <v>7.5804141040779151E-13</v>
      </c>
      <c r="CB118" s="20">
        <f t="shared" si="64"/>
        <v>1.4005661123635408E-12</v>
      </c>
      <c r="CC118" s="59">
        <f t="shared" si="65"/>
        <v>293.33333333333474</v>
      </c>
      <c r="CD118" s="59">
        <f ca="1">AVERAGE(OFFSET($CC$3,0,0,'Données projet'!$E$12+1,1))-AVERAGE(OFFSET($H$3,0,0,'Données projet'!$E$12+1,1))</f>
        <v>230.68538392491388</v>
      </c>
      <c r="CE118" s="59">
        <f t="shared" si="94"/>
        <v>267.97457956620724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0.80582847607637564</v>
      </c>
      <c r="CM118" s="21">
        <f>EXP(-LN(2)/2)*CM117+(1-EXP(-LN(2)/2))/(LN(2)/2)*CG118*CJ118*VLOOKUP('Données projet'!$B$12,Paramètres!$A$1:$I$89,3,0)*0.475*44/12</f>
        <v>1.7641419137461109E-12</v>
      </c>
      <c r="CN118" s="22">
        <f t="shared" si="66"/>
        <v>0.80582847607813979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2.8</v>
      </c>
      <c r="CT118" s="12">
        <f>IF('Données projet'!$A$140&gt;35,CT117+CS118-DB117,IF(A118&lt;'Données projet'!$A$140,$CQ$205^A118,IF(A118='Données projet'!$A$140,'Données projet'!$B$140,CT117+CS118-DB117)))</f>
        <v>219.99999999999997</v>
      </c>
      <c r="CU118" s="17">
        <f>CT118*VLOOKUP('Données projet'!$B$13,Paramètres!$A$1:$I$89,3,0)*VLOOKUP('Données projet'!$B$13,Paramètres!$A$1:$I$89,5,0)</f>
        <v>250.53599999999994</v>
      </c>
      <c r="CV118" s="13">
        <f t="shared" si="95"/>
        <v>60.700702874726744</v>
      </c>
      <c r="CW118" s="20">
        <f t="shared" si="67"/>
        <v>542.07059084014895</v>
      </c>
      <c r="CX118" s="59">
        <f t="shared" si="68"/>
        <v>835.40392417348221</v>
      </c>
      <c r="CY118" s="59">
        <f ca="1">AVERAGE(OFFSET($CX$3,0,0,'Données projet'!$E$13+1,1))-AVERAGE(OFFSET($H$3,0,0,'Données projet'!$E$13+1,1))</f>
        <v>242.1473060698724</v>
      </c>
      <c r="CZ118" s="59">
        <f t="shared" si="96"/>
        <v>96.127995920458659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0</v>
      </c>
      <c r="EP118" s="59">
        <f t="shared" si="100"/>
        <v>0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179.86010141761648</v>
      </c>
      <c r="T119" s="59">
        <f t="shared" si="88"/>
        <v>367.01744242396057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11.969712130596196</v>
      </c>
      <c r="AA119" s="21">
        <f>EXP(-LN(2)/25)*AA118+(1-EXP(-LN(2)/25))/(LN(2)/25)*Calculateur!V119*Calculateur!X119*VLOOKUP('Données projet'!$B$9,Paramètres!$A$1:$I$89,3,0)*0.475*44/12</f>
        <v>5.4241685155499475</v>
      </c>
      <c r="AB119" s="21">
        <f>EXP(-LN(2)/2)*AB118+(1-EXP(-LN(2)/2))/(LN(2)/2)*V119*Y119*VLOOKUP('Données projet'!$B$9,Paramètres!$A$1:$I$89,3,0)*0.475*44/12</f>
        <v>5.1661057899238011E-11</v>
      </c>
      <c r="AC119" s="22">
        <f t="shared" si="57"/>
        <v>17.393880646197804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-4.758931027026848E-13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318.09371753144256</v>
      </c>
      <c r="AO119" s="59">
        <f t="shared" si="90"/>
        <v>298.61479562586919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1.9042060600390227</v>
      </c>
      <c r="AW119" s="21">
        <f>EXP(-LN(2)/2)*AW118+(1-EXP(-LN(2)/2))/(LN(2)/2)*AQ119*AT119*VLOOKUP('Données projet'!$B$10,Paramètres!$A$1:$I$89,3,0)*0.475*44/12</f>
        <v>3.4390765948181832E-12</v>
      </c>
      <c r="AX119" s="21">
        <f t="shared" si="60"/>
        <v>2.5412867273114261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35.999999999999943</v>
      </c>
      <c r="BE119" s="13">
        <f>BD119*VLOOKUP('Données projet'!$B$11,Paramètres!$A$1:$I$89,3,0)*VLOOKUP('Données projet'!$B$11,Paramètres!$A$1:$I$89,5,0)</f>
        <v>31.449599999999958</v>
      </c>
      <c r="BF119" s="13">
        <f t="shared" si="91"/>
        <v>9.7016318496336709</v>
      </c>
      <c r="BG119" s="20">
        <f t="shared" si="61"/>
        <v>71.671728804778567</v>
      </c>
      <c r="BH119" s="59">
        <f t="shared" si="62"/>
        <v>365.0050621381119</v>
      </c>
      <c r="BI119" s="59">
        <f ca="1">AVERAGE(OFFSET($BH$3,0,0,'Données projet'!$E$11+1,1))-AVERAGE(OFFSET($H$3,0,0,'Données projet'!$E$11+1,1))</f>
        <v>247.43282553724879</v>
      </c>
      <c r="BJ119" s="59">
        <f t="shared" si="92"/>
        <v>637.29471578895527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3.1276449081586969E-11</v>
      </c>
      <c r="BS119" s="22">
        <f t="shared" si="63"/>
        <v>3.1276449081586969E-11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4.6111381379887463E-14</v>
      </c>
      <c r="CA119" s="13">
        <f t="shared" si="93"/>
        <v>7.5804141040779151E-13</v>
      </c>
      <c r="CB119" s="20">
        <f t="shared" si="64"/>
        <v>1.4005661123635408E-12</v>
      </c>
      <c r="CC119" s="59">
        <f t="shared" si="65"/>
        <v>293.33333333333474</v>
      </c>
      <c r="CD119" s="59">
        <f ca="1">AVERAGE(OFFSET($CC$3,0,0,'Données projet'!$E$12+1,1))-AVERAGE(OFFSET($H$3,0,0,'Données projet'!$E$12+1,1))</f>
        <v>230.68538392491388</v>
      </c>
      <c r="CE119" s="59">
        <f t="shared" si="94"/>
        <v>267.97457956620724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0.78379305402138932</v>
      </c>
      <c r="CM119" s="21">
        <f>EXP(-LN(2)/2)*CM118+(1-EXP(-LN(2)/2))/(LN(2)/2)*CG119*CJ119*VLOOKUP('Données projet'!$B$12,Paramètres!$A$1:$I$89,3,0)*0.475*44/12</f>
        <v>1.2474367101852884E-12</v>
      </c>
      <c r="CN119" s="22">
        <f t="shared" si="66"/>
        <v>0.78379305402263677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2.8</v>
      </c>
      <c r="CT119" s="12">
        <f>IF('Données projet'!$A$140&gt;35,CT118+CS119-DB118,IF(A119&lt;'Données projet'!$A$140,$CQ$205^A119,IF(A119='Données projet'!$A$140,'Données projet'!$B$140,CT118+CS119-DB118)))</f>
        <v>222.79999999999998</v>
      </c>
      <c r="CU119" s="17">
        <f>CT119*VLOOKUP('Données projet'!$B$13,Paramètres!$A$1:$I$89,3,0)*VLOOKUP('Données projet'!$B$13,Paramètres!$A$1:$I$89,5,0)</f>
        <v>253.72463999999997</v>
      </c>
      <c r="CV119" s="13">
        <f t="shared" si="95"/>
        <v>61.382828679639545</v>
      </c>
      <c r="CW119" s="20">
        <f t="shared" si="67"/>
        <v>548.81217461703875</v>
      </c>
      <c r="CX119" s="59">
        <f t="shared" si="68"/>
        <v>842.14550795037212</v>
      </c>
      <c r="CY119" s="59">
        <f ca="1">AVERAGE(OFFSET($CX$3,0,0,'Données projet'!$E$13+1,1))-AVERAGE(OFFSET($H$3,0,0,'Données projet'!$E$13+1,1))</f>
        <v>242.1473060698724</v>
      </c>
      <c r="CZ119" s="59">
        <f t="shared" si="96"/>
        <v>96.127995920458659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0</v>
      </c>
      <c r="EP119" s="59">
        <f t="shared" si="100"/>
        <v>0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179.86010141761648</v>
      </c>
      <c r="T120" s="59">
        <f t="shared" si="88"/>
        <v>367.01744242396057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11.734993376518711</v>
      </c>
      <c r="AA120" s="21">
        <f>EXP(-LN(2)/25)*AA119+(1-EXP(-LN(2)/25))/(LN(2)/25)*Calculateur!V120*Calculateur!X120*VLOOKUP('Données projet'!$B$9,Paramètres!$A$1:$I$89,3,0)*0.475*44/12</f>
        <v>5.2758443422476091</v>
      </c>
      <c r="AB120" s="21">
        <f>EXP(-LN(2)/2)*AB119+(1-EXP(-LN(2)/2))/(LN(2)/2)*V120*Y120*VLOOKUP('Données projet'!$B$9,Paramètres!$A$1:$I$89,3,0)*0.475*44/12</f>
        <v>3.6529884363822054E-11</v>
      </c>
      <c r="AC120" s="22">
        <f t="shared" si="57"/>
        <v>17.010837718802847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-4.758931027026848E-13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318.09371753144256</v>
      </c>
      <c r="AO120" s="59">
        <f t="shared" si="90"/>
        <v>298.61479562586919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1.852135445189411</v>
      </c>
      <c r="AW120" s="21">
        <f>EXP(-LN(2)/2)*AW119+(1-EXP(-LN(2)/2))/(LN(2)/2)*AQ120*AT120*VLOOKUP('Données projet'!$B$10,Paramètres!$A$1:$I$89,3,0)*0.475*44/12</f>
        <v>2.431794381215878E-12</v>
      </c>
      <c r="AX120" s="21">
        <f t="shared" si="60"/>
        <v>2.4767233491565008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35.999999999999943</v>
      </c>
      <c r="BE120" s="13">
        <f>BD120*VLOOKUP('Données projet'!$B$11,Paramètres!$A$1:$I$89,3,0)*VLOOKUP('Données projet'!$B$11,Paramètres!$A$1:$I$89,5,0)</f>
        <v>31.449599999999958</v>
      </c>
      <c r="BF120" s="13">
        <f t="shared" si="91"/>
        <v>9.7016318496336709</v>
      </c>
      <c r="BG120" s="20">
        <f t="shared" si="61"/>
        <v>71.671728804778567</v>
      </c>
      <c r="BH120" s="59">
        <f t="shared" si="62"/>
        <v>365.0050621381119</v>
      </c>
      <c r="BI120" s="59">
        <f ca="1">AVERAGE(OFFSET($BH$3,0,0,'Données projet'!$E$11+1,1))-AVERAGE(OFFSET($H$3,0,0,'Données projet'!$E$11+1,1))</f>
        <v>247.43282553724879</v>
      </c>
      <c r="BJ120" s="59">
        <f t="shared" si="92"/>
        <v>637.29471578895527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2.2115789237025912E-11</v>
      </c>
      <c r="BS120" s="22">
        <f t="shared" si="63"/>
        <v>2.2115789237025912E-11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4.6111381379887463E-14</v>
      </c>
      <c r="CA120" s="13">
        <f t="shared" si="93"/>
        <v>7.5804141040779151E-13</v>
      </c>
      <c r="CB120" s="20">
        <f t="shared" si="64"/>
        <v>1.4005661123635408E-12</v>
      </c>
      <c r="CC120" s="59">
        <f t="shared" si="65"/>
        <v>293.33333333333474</v>
      </c>
      <c r="CD120" s="59">
        <f ca="1">AVERAGE(OFFSET($CC$3,0,0,'Données projet'!$E$12+1,1))-AVERAGE(OFFSET($H$3,0,0,'Données projet'!$E$12+1,1))</f>
        <v>230.68538392491388</v>
      </c>
      <c r="CE120" s="59">
        <f t="shared" si="94"/>
        <v>267.97457956620724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0.76236019174128911</v>
      </c>
      <c r="CM120" s="21">
        <f>EXP(-LN(2)/2)*CM119+(1-EXP(-LN(2)/2))/(LN(2)/2)*CG120*CJ120*VLOOKUP('Données projet'!$B$12,Paramètres!$A$1:$I$89,3,0)*0.475*44/12</f>
        <v>8.8207095687305546E-13</v>
      </c>
      <c r="CN120" s="22">
        <f t="shared" si="66"/>
        <v>0.76236019174217118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2.8</v>
      </c>
      <c r="CT120" s="12">
        <f>IF('Données projet'!$A$140&gt;35,CT119+CS120-DB119,IF(A120&lt;'Données projet'!$A$140,$CQ$205^A120,IF(A120='Données projet'!$A$140,'Données projet'!$B$140,CT119+CS120-DB119)))</f>
        <v>225.6</v>
      </c>
      <c r="CU120" s="17">
        <f>CT120*VLOOKUP('Données projet'!$B$13,Paramètres!$A$1:$I$89,3,0)*VLOOKUP('Données projet'!$B$13,Paramètres!$A$1:$I$89,5,0)</f>
        <v>256.91327999999999</v>
      </c>
      <c r="CV120" s="13">
        <f t="shared" si="95"/>
        <v>62.063957347667966</v>
      </c>
      <c r="CW120" s="20">
        <f t="shared" si="67"/>
        <v>555.55202171385497</v>
      </c>
      <c r="CX120" s="59">
        <f t="shared" si="68"/>
        <v>848.88535504718834</v>
      </c>
      <c r="CY120" s="59">
        <f ca="1">AVERAGE(OFFSET($CX$3,0,0,'Données projet'!$E$13+1,1))-AVERAGE(OFFSET($H$3,0,0,'Données projet'!$E$13+1,1))</f>
        <v>242.1473060698724</v>
      </c>
      <c r="CZ120" s="59">
        <f t="shared" si="96"/>
        <v>96.127995920458659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0</v>
      </c>
      <c r="EP120" s="59">
        <f t="shared" si="100"/>
        <v>0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179.86010141761648</v>
      </c>
      <c r="T121" s="59">
        <f t="shared" si="88"/>
        <v>367.01744242396057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11.50487731404438</v>
      </c>
      <c r="AA121" s="21">
        <f>EXP(-LN(2)/25)*AA120+(1-EXP(-LN(2)/25))/(LN(2)/25)*Calculateur!V121*Calculateur!X121*VLOOKUP('Données projet'!$B$9,Paramètres!$A$1:$I$89,3,0)*0.475*44/12</f>
        <v>5.131576101264252</v>
      </c>
      <c r="AB121" s="21">
        <f>EXP(-LN(2)/2)*AB120+(1-EXP(-LN(2)/2))/(LN(2)/2)*V121*Y121*VLOOKUP('Données projet'!$B$9,Paramètres!$A$1:$I$89,3,0)*0.475*44/12</f>
        <v>2.5830528949619005E-11</v>
      </c>
      <c r="AC121" s="22">
        <f t="shared" si="57"/>
        <v>16.636453415334465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-4.758931027026848E-13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318.09371753144256</v>
      </c>
      <c r="AO121" s="59">
        <f t="shared" si="90"/>
        <v>298.61479562586919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1.8014887040411365</v>
      </c>
      <c r="AW121" s="21">
        <f>EXP(-LN(2)/2)*AW120+(1-EXP(-LN(2)/2))/(LN(2)/2)*AQ121*AT121*VLOOKUP('Données projet'!$B$10,Paramètres!$A$1:$I$89,3,0)*0.475*44/12</f>
        <v>1.7195382974090916E-12</v>
      </c>
      <c r="AX121" s="21">
        <f t="shared" si="60"/>
        <v>2.4138288201717715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35.999999999999943</v>
      </c>
      <c r="BE121" s="13">
        <f>BD121*VLOOKUP('Données projet'!$B$11,Paramètres!$A$1:$I$89,3,0)*VLOOKUP('Données projet'!$B$11,Paramètres!$A$1:$I$89,5,0)</f>
        <v>31.449599999999958</v>
      </c>
      <c r="BF121" s="13">
        <f t="shared" si="91"/>
        <v>9.7016318496336709</v>
      </c>
      <c r="BG121" s="20">
        <f t="shared" si="61"/>
        <v>71.671728804778567</v>
      </c>
      <c r="BH121" s="59">
        <f t="shared" si="62"/>
        <v>365.0050621381119</v>
      </c>
      <c r="BI121" s="59">
        <f ca="1">AVERAGE(OFFSET($BH$3,0,0,'Données projet'!$E$11+1,1))-AVERAGE(OFFSET($H$3,0,0,'Données projet'!$E$11+1,1))</f>
        <v>247.43282553724879</v>
      </c>
      <c r="BJ121" s="59">
        <f t="shared" si="92"/>
        <v>637.29471578895527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1.5638224540793484E-11</v>
      </c>
      <c r="BS121" s="22">
        <f t="shared" si="63"/>
        <v>1.5638224540793484E-11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4.6111381379887463E-14</v>
      </c>
      <c r="CA121" s="13">
        <f t="shared" si="93"/>
        <v>7.5804141040779151E-13</v>
      </c>
      <c r="CB121" s="20">
        <f t="shared" si="64"/>
        <v>1.4005661123635408E-12</v>
      </c>
      <c r="CC121" s="59">
        <f t="shared" si="65"/>
        <v>293.33333333333474</v>
      </c>
      <c r="CD121" s="59">
        <f ca="1">AVERAGE(OFFSET($CC$3,0,0,'Données projet'!$E$12+1,1))-AVERAGE(OFFSET($H$3,0,0,'Données projet'!$E$12+1,1))</f>
        <v>230.68538392491388</v>
      </c>
      <c r="CE121" s="59">
        <f t="shared" si="94"/>
        <v>267.97457956620724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0.74151341220734346</v>
      </c>
      <c r="CM121" s="21">
        <f>EXP(-LN(2)/2)*CM120+(1-EXP(-LN(2)/2))/(LN(2)/2)*CG121*CJ121*VLOOKUP('Données projet'!$B$12,Paramètres!$A$1:$I$89,3,0)*0.475*44/12</f>
        <v>6.2371835509264422E-13</v>
      </c>
      <c r="CN121" s="22">
        <f t="shared" si="66"/>
        <v>0.74151341220796718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2.8</v>
      </c>
      <c r="CT121" s="12">
        <f>IF('Données projet'!$A$140&gt;35,CT120+CS121-DB120,IF(A121&lt;'Données projet'!$A$140,$CQ$205^A121,IF(A121='Données projet'!$A$140,'Données projet'!$B$140,CT120+CS121-DB120)))</f>
        <v>228.4</v>
      </c>
      <c r="CU121" s="17">
        <f>CT121*VLOOKUP('Données projet'!$B$13,Paramètres!$A$1:$I$89,3,0)*VLOOKUP('Données projet'!$B$13,Paramètres!$A$1:$I$89,5,0)</f>
        <v>260.10192000000001</v>
      </c>
      <c r="CV121" s="13">
        <f t="shared" si="95"/>
        <v>62.74410268590654</v>
      </c>
      <c r="CW121" s="20">
        <f t="shared" si="67"/>
        <v>562.2901561779538</v>
      </c>
      <c r="CX121" s="59">
        <f t="shared" si="68"/>
        <v>855.62348951128706</v>
      </c>
      <c r="CY121" s="59">
        <f ca="1">AVERAGE(OFFSET($CX$3,0,0,'Données projet'!$E$13+1,1))-AVERAGE(OFFSET($H$3,0,0,'Données projet'!$E$13+1,1))</f>
        <v>242.1473060698724</v>
      </c>
      <c r="CZ121" s="59">
        <f t="shared" si="96"/>
        <v>96.127995920458659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0</v>
      </c>
      <c r="EP121" s="59">
        <f t="shared" si="100"/>
        <v>0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179.86010141761648</v>
      </c>
      <c r="T122" s="59">
        <f t="shared" si="88"/>
        <v>367.01744242396057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11.279273687198232</v>
      </c>
      <c r="AA122" s="21">
        <f>EXP(-LN(2)/25)*AA121+(1-EXP(-LN(2)/25))/(LN(2)/25)*Calculateur!V122*Calculateur!X122*VLOOKUP('Données projet'!$B$9,Paramètres!$A$1:$I$89,3,0)*0.475*44/12</f>
        <v>4.9912528829173226</v>
      </c>
      <c r="AB122" s="21">
        <f>EXP(-LN(2)/2)*AB121+(1-EXP(-LN(2)/2))/(LN(2)/2)*V122*Y122*VLOOKUP('Données projet'!$B$9,Paramètres!$A$1:$I$89,3,0)*0.475*44/12</f>
        <v>1.8264942181911027E-11</v>
      </c>
      <c r="AC122" s="22">
        <f t="shared" si="57"/>
        <v>16.270526570133821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-4.758931027026848E-13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318.09371753144256</v>
      </c>
      <c r="AO122" s="59">
        <f t="shared" si="90"/>
        <v>298.61479562586919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1.7522269006929581</v>
      </c>
      <c r="AW122" s="21">
        <f>EXP(-LN(2)/2)*AW121+(1-EXP(-LN(2)/2))/(LN(2)/2)*AQ122*AT122*VLOOKUP('Données projet'!$B$10,Paramètres!$A$1:$I$89,3,0)*0.475*44/12</f>
        <v>1.215897190607939E-12</v>
      </c>
      <c r="AX122" s="21">
        <f t="shared" si="60"/>
        <v>2.3525594006363932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35.999999999999943</v>
      </c>
      <c r="BE122" s="13">
        <f>BD122*VLOOKUP('Données projet'!$B$11,Paramètres!$A$1:$I$89,3,0)*VLOOKUP('Données projet'!$B$11,Paramètres!$A$1:$I$89,5,0)</f>
        <v>31.449599999999958</v>
      </c>
      <c r="BF122" s="13">
        <f t="shared" si="91"/>
        <v>9.7016318496336709</v>
      </c>
      <c r="BG122" s="20">
        <f t="shared" si="61"/>
        <v>71.671728804778567</v>
      </c>
      <c r="BH122" s="59">
        <f t="shared" si="62"/>
        <v>365.0050621381119</v>
      </c>
      <c r="BI122" s="59">
        <f ca="1">AVERAGE(OFFSET($BH$3,0,0,'Données projet'!$E$11+1,1))-AVERAGE(OFFSET($H$3,0,0,'Données projet'!$E$11+1,1))</f>
        <v>247.43282553724879</v>
      </c>
      <c r="BJ122" s="59">
        <f t="shared" si="92"/>
        <v>637.29471578895527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1.1057894618512956E-11</v>
      </c>
      <c r="BS122" s="22">
        <f t="shared" si="63"/>
        <v>1.1057894618512956E-11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4.6111381379887463E-14</v>
      </c>
      <c r="CA122" s="13">
        <f t="shared" si="93"/>
        <v>7.5804141040779151E-13</v>
      </c>
      <c r="CB122" s="20">
        <f t="shared" si="64"/>
        <v>1.4005661123635408E-12</v>
      </c>
      <c r="CC122" s="59">
        <f t="shared" si="65"/>
        <v>293.33333333333474</v>
      </c>
      <c r="CD122" s="59">
        <f ca="1">AVERAGE(OFFSET($CC$3,0,0,'Données projet'!$E$12+1,1))-AVERAGE(OFFSET($H$3,0,0,'Données projet'!$E$12+1,1))</f>
        <v>230.68538392491388</v>
      </c>
      <c r="CE122" s="59">
        <f t="shared" si="94"/>
        <v>267.97457956620724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0.7212366889560381</v>
      </c>
      <c r="CM122" s="21">
        <f>EXP(-LN(2)/2)*CM121+(1-EXP(-LN(2)/2))/(LN(2)/2)*CG122*CJ122*VLOOKUP('Données projet'!$B$12,Paramètres!$A$1:$I$89,3,0)*0.475*44/12</f>
        <v>4.4103547843652773E-13</v>
      </c>
      <c r="CN122" s="22">
        <f t="shared" si="66"/>
        <v>0.72123668895647908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2.8</v>
      </c>
      <c r="CT122" s="12">
        <f>IF('Données projet'!$A$140&gt;35,CT121+CS122-DB121,IF(A122&lt;'Données projet'!$A$140,$CQ$205^A122,IF(A122='Données projet'!$A$140,'Données projet'!$B$140,CT121+CS122-DB121)))</f>
        <v>231.20000000000002</v>
      </c>
      <c r="CU122" s="17">
        <f>CT122*VLOOKUP('Données projet'!$B$13,Paramètres!$A$1:$I$89,3,0)*VLOOKUP('Données projet'!$B$13,Paramètres!$A$1:$I$89,5,0)</f>
        <v>263.29056000000003</v>
      </c>
      <c r="CV122" s="13">
        <f t="shared" si="95"/>
        <v>63.423278143448627</v>
      </c>
      <c r="CW122" s="20">
        <f t="shared" si="67"/>
        <v>569.02660143317291</v>
      </c>
      <c r="CX122" s="59">
        <f t="shared" si="68"/>
        <v>862.35993476650629</v>
      </c>
      <c r="CY122" s="59">
        <f ca="1">AVERAGE(OFFSET($CX$3,0,0,'Données projet'!$E$13+1,1))-AVERAGE(OFFSET($H$3,0,0,'Données projet'!$E$13+1,1))</f>
        <v>242.1473060698724</v>
      </c>
      <c r="CZ122" s="59">
        <f t="shared" si="96"/>
        <v>96.127995920458659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0</v>
      </c>
      <c r="EP122" s="59">
        <f t="shared" si="100"/>
        <v>0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179.86010141761648</v>
      </c>
      <c r="T123" s="59">
        <f t="shared" si="88"/>
        <v>367.01744242396057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11.058094009869912</v>
      </c>
      <c r="AA123" s="21">
        <f>EXP(-LN(2)/25)*AA122+(1-EXP(-LN(2)/25))/(LN(2)/25)*Calculateur!V123*Calculateur!X123*VLOOKUP('Données projet'!$B$9,Paramètres!$A$1:$I$89,3,0)*0.475*44/12</f>
        <v>4.8547668103553674</v>
      </c>
      <c r="AB123" s="21">
        <f>EXP(-LN(2)/2)*AB122+(1-EXP(-LN(2)/2))/(LN(2)/2)*V123*Y123*VLOOKUP('Données projet'!$B$9,Paramètres!$A$1:$I$89,3,0)*0.475*44/12</f>
        <v>1.2915264474809503E-11</v>
      </c>
      <c r="AC123" s="22">
        <f t="shared" si="57"/>
        <v>15.912860820238196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-4.758931027026848E-13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318.09371753144256</v>
      </c>
      <c r="AO123" s="59">
        <f t="shared" si="90"/>
        <v>298.61479562586919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1.7043121639479011</v>
      </c>
      <c r="AW123" s="21">
        <f>EXP(-LN(2)/2)*AW122+(1-EXP(-LN(2)/2))/(LN(2)/2)*AQ123*AT123*VLOOKUP('Données projet'!$B$10,Paramètres!$A$1:$I$89,3,0)*0.475*44/12</f>
        <v>8.5976914870454579E-13</v>
      </c>
      <c r="AX123" s="21">
        <f t="shared" si="60"/>
        <v>2.2928725097337823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35.999999999999943</v>
      </c>
      <c r="BE123" s="13">
        <f>BD123*VLOOKUP('Données projet'!$B$11,Paramètres!$A$1:$I$89,3,0)*VLOOKUP('Données projet'!$B$11,Paramètres!$A$1:$I$89,5,0)</f>
        <v>31.449599999999958</v>
      </c>
      <c r="BF123" s="13">
        <f t="shared" si="91"/>
        <v>9.7016318496336709</v>
      </c>
      <c r="BG123" s="20">
        <f t="shared" si="61"/>
        <v>71.671728804778567</v>
      </c>
      <c r="BH123" s="59">
        <f t="shared" si="62"/>
        <v>365.0050621381119</v>
      </c>
      <c r="BI123" s="59">
        <f ca="1">AVERAGE(OFFSET($BH$3,0,0,'Données projet'!$E$11+1,1))-AVERAGE(OFFSET($H$3,0,0,'Données projet'!$E$11+1,1))</f>
        <v>247.43282553724879</v>
      </c>
      <c r="BJ123" s="59">
        <f t="shared" si="92"/>
        <v>637.29471578895527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7.8191122703967422E-12</v>
      </c>
      <c r="BS123" s="22">
        <f t="shared" si="63"/>
        <v>7.8191122703967422E-12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4.6111381379887463E-14</v>
      </c>
      <c r="CA123" s="13">
        <f t="shared" si="93"/>
        <v>7.5804141040779151E-13</v>
      </c>
      <c r="CB123" s="20">
        <f t="shared" si="64"/>
        <v>1.4005661123635408E-12</v>
      </c>
      <c r="CC123" s="59">
        <f t="shared" si="65"/>
        <v>293.33333333333474</v>
      </c>
      <c r="CD123" s="59">
        <f ca="1">AVERAGE(OFFSET($CC$3,0,0,'Données projet'!$E$12+1,1))-AVERAGE(OFFSET($H$3,0,0,'Données projet'!$E$12+1,1))</f>
        <v>230.68538392491388</v>
      </c>
      <c r="CE123" s="59">
        <f t="shared" si="94"/>
        <v>267.97457956620724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0.70151443376834621</v>
      </c>
      <c r="CM123" s="21">
        <f>EXP(-LN(2)/2)*CM122+(1-EXP(-LN(2)/2))/(LN(2)/2)*CG123*CJ123*VLOOKUP('Données projet'!$B$12,Paramètres!$A$1:$I$89,3,0)*0.475*44/12</f>
        <v>3.1185917754632211E-13</v>
      </c>
      <c r="CN123" s="22">
        <f t="shared" si="66"/>
        <v>0.70151443376865807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234</v>
      </c>
      <c r="CR123" s="12">
        <f>VLOOKUP(A123,'Données projet'!$A$139:$I$159,9,0)</f>
        <v>2.8</v>
      </c>
      <c r="CS123" s="12">
        <f t="array" ref="CS123">INDEX(CR:CR,MIN(IF(ISNUMBER(CR123:CR319),ROW(CR123:CR319),"")))</f>
        <v>2.8</v>
      </c>
      <c r="CT123" s="12">
        <f>IF('Données projet'!$A$140&gt;35,CT122+CS123-DB122,IF(A123&lt;'Données projet'!$A$140,$CQ$205^A123,IF(A123='Données projet'!$A$140,'Données projet'!$B$140,CT122+CS123-DB122)))</f>
        <v>234.00000000000003</v>
      </c>
      <c r="CU123" s="17">
        <f>CT123*VLOOKUP('Données projet'!$B$13,Paramètres!$A$1:$I$89,3,0)*VLOOKUP('Données projet'!$B$13,Paramètres!$A$1:$I$89,5,0)</f>
        <v>266.47920000000005</v>
      </c>
      <c r="CV123" s="13">
        <f t="shared" si="95"/>
        <v>64.101496824889679</v>
      </c>
      <c r="CW123" s="20">
        <f t="shared" si="67"/>
        <v>575.76138030334971</v>
      </c>
      <c r="CX123" s="59">
        <f t="shared" si="68"/>
        <v>869.09471363668308</v>
      </c>
      <c r="CY123" s="59">
        <f ca="1">AVERAGE(OFFSET($CX$3,0,0,'Données projet'!$E$13+1,1))-AVERAGE(OFFSET($H$3,0,0,'Données projet'!$E$13+1,1))</f>
        <v>242.1473060698724</v>
      </c>
      <c r="CZ123" s="59">
        <f t="shared" si="96"/>
        <v>96.127995920458659</v>
      </c>
      <c r="DA123" s="15">
        <f>IF(ISNA(VLOOKUP(A123,'Données projet'!$A$139:$I$159,3,0)),0,VLOOKUP(A123,'Données projet'!$A$139:$I$159,3,0))</f>
        <v>9</v>
      </c>
      <c r="DB123" s="15">
        <f>IF(ISNA(VLOOKUP(A123,'Données projet'!$A$139:$I$159,4,0)),0,VLOOKUP(A123,'Données projet'!$A$139:$I$159,4,0))</f>
        <v>234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0</v>
      </c>
      <c r="EP123" s="59">
        <f t="shared" si="100"/>
        <v>0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179.86010141761648</v>
      </c>
      <c r="T124" s="59">
        <f t="shared" si="88"/>
        <v>367.01744242396057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10.841251531107718</v>
      </c>
      <c r="AA124" s="21">
        <f>EXP(-LN(2)/25)*AA123+(1-EXP(-LN(2)/25))/(LN(2)/25)*Calculateur!V124*Calculateur!X124*VLOOKUP('Données projet'!$B$9,Paramètres!$A$1:$I$89,3,0)*0.475*44/12</f>
        <v>4.7220129566251092</v>
      </c>
      <c r="AB124" s="21">
        <f>EXP(-LN(2)/2)*AB123+(1-EXP(-LN(2)/2))/(LN(2)/2)*V124*Y124*VLOOKUP('Données projet'!$B$9,Paramètres!$A$1:$I$89,3,0)*0.475*44/12</f>
        <v>9.1324710909555135E-12</v>
      </c>
      <c r="AC124" s="22">
        <f t="shared" si="57"/>
        <v>15.563264487741959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-4.758931027026848E-13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318.09371753144256</v>
      </c>
      <c r="AO124" s="59">
        <f t="shared" si="90"/>
        <v>298.61479562586919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1.6577076581988643</v>
      </c>
      <c r="AW124" s="21">
        <f>EXP(-LN(2)/2)*AW123+(1-EXP(-LN(2)/2))/(LN(2)/2)*AQ124*AT124*VLOOKUP('Données projet'!$B$10,Paramètres!$A$1:$I$89,3,0)*0.475*44/12</f>
        <v>6.0794859530396949E-13</v>
      </c>
      <c r="AX124" s="21">
        <f t="shared" si="60"/>
        <v>2.2347266945900133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35.999999999999943</v>
      </c>
      <c r="BE124" s="13">
        <f>BD124*VLOOKUP('Données projet'!$B$11,Paramètres!$A$1:$I$89,3,0)*VLOOKUP('Données projet'!$B$11,Paramètres!$A$1:$I$89,5,0)</f>
        <v>31.449599999999958</v>
      </c>
      <c r="BF124" s="13">
        <f t="shared" si="91"/>
        <v>9.7016318496336709</v>
      </c>
      <c r="BG124" s="20">
        <f t="shared" si="61"/>
        <v>71.671728804778567</v>
      </c>
      <c r="BH124" s="59">
        <f t="shared" si="62"/>
        <v>365.0050621381119</v>
      </c>
      <c r="BI124" s="59">
        <f ca="1">AVERAGE(OFFSET($BH$3,0,0,'Données projet'!$E$11+1,1))-AVERAGE(OFFSET($H$3,0,0,'Données projet'!$E$11+1,1))</f>
        <v>247.43282553724879</v>
      </c>
      <c r="BJ124" s="59">
        <f t="shared" si="92"/>
        <v>637.29471578895527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5.528947309256478E-12</v>
      </c>
      <c r="BS124" s="22">
        <f t="shared" si="63"/>
        <v>5.528947309256478E-12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4.6111381379887463E-14</v>
      </c>
      <c r="CA124" s="13">
        <f t="shared" si="93"/>
        <v>7.5804141040779151E-13</v>
      </c>
      <c r="CB124" s="20">
        <f t="shared" si="64"/>
        <v>1.4005661123635408E-12</v>
      </c>
      <c r="CC124" s="59">
        <f t="shared" si="65"/>
        <v>293.33333333333474</v>
      </c>
      <c r="CD124" s="59">
        <f ca="1">AVERAGE(OFFSET($CC$3,0,0,'Données projet'!$E$12+1,1))-AVERAGE(OFFSET($H$3,0,0,'Données projet'!$E$12+1,1))</f>
        <v>230.68538392491388</v>
      </c>
      <c r="CE124" s="59">
        <f t="shared" si="94"/>
        <v>267.97457956620724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0.68233148468591009</v>
      </c>
      <c r="CM124" s="21">
        <f>EXP(-LN(2)/2)*CM123+(1-EXP(-LN(2)/2))/(LN(2)/2)*CG124*CJ124*VLOOKUP('Données projet'!$B$12,Paramètres!$A$1:$I$89,3,0)*0.475*44/12</f>
        <v>2.2051773921826387E-13</v>
      </c>
      <c r="CN124" s="22">
        <f t="shared" si="66"/>
        <v>0.68233148468613058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3.2366642699344085E-14</v>
      </c>
      <c r="CV124" s="13">
        <f t="shared" si="95"/>
        <v>5.5446527398450045E-13</v>
      </c>
      <c r="CW124" s="20">
        <f t="shared" si="67"/>
        <v>1.0220655882243624E-12</v>
      </c>
      <c r="CX124" s="59">
        <f t="shared" si="68"/>
        <v>293.33333333333434</v>
      </c>
      <c r="CY124" s="59">
        <f ca="1">AVERAGE(OFFSET($CX$3,0,0,'Données projet'!$E$13+1,1))-AVERAGE(OFFSET($H$3,0,0,'Données projet'!$E$13+1,1))</f>
        <v>242.1473060698724</v>
      </c>
      <c r="CZ124" s="59">
        <f t="shared" si="96"/>
        <v>96.127995920458659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0</v>
      </c>
      <c r="EP124" s="59">
        <f t="shared" si="100"/>
        <v>0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179.86010141761648</v>
      </c>
      <c r="T125" s="59">
        <f t="shared" si="88"/>
        <v>367.01744242396057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10.628661201093198</v>
      </c>
      <c r="AA125" s="21">
        <f>EXP(-LN(2)/25)*AA124+(1-EXP(-LN(2)/25))/(LN(2)/25)*Calculateur!V125*Calculateur!X125*VLOOKUP('Données projet'!$B$9,Paramètres!$A$1:$I$89,3,0)*0.475*44/12</f>
        <v>4.5928892640063266</v>
      </c>
      <c r="AB125" s="21">
        <f>EXP(-LN(2)/2)*AB124+(1-EXP(-LN(2)/2))/(LN(2)/2)*V125*Y125*VLOOKUP('Données projet'!$B$9,Paramètres!$A$1:$I$89,3,0)*0.475*44/12</f>
        <v>6.4576322374047513E-12</v>
      </c>
      <c r="AC125" s="22">
        <f t="shared" si="57"/>
        <v>15.221550465105983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-4.758931027026848E-13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318.09371753144256</v>
      </c>
      <c r="AO125" s="59">
        <f t="shared" si="90"/>
        <v>298.61479562586919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1.6123775551103594</v>
      </c>
      <c r="AW125" s="21">
        <f>EXP(-LN(2)/2)*AW124+(1-EXP(-LN(2)/2))/(LN(2)/2)*AQ125*AT125*VLOOKUP('Données projet'!$B$10,Paramètres!$A$1:$I$89,3,0)*0.475*44/12</f>
        <v>4.298845743522729E-13</v>
      </c>
      <c r="AX125" s="21">
        <f t="shared" si="60"/>
        <v>2.178081600144572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35.999999999999943</v>
      </c>
      <c r="BE125" s="13">
        <f>BD125*VLOOKUP('Données projet'!$B$11,Paramètres!$A$1:$I$89,3,0)*VLOOKUP('Données projet'!$B$11,Paramètres!$A$1:$I$89,5,0)</f>
        <v>31.449599999999958</v>
      </c>
      <c r="BF125" s="13">
        <f t="shared" si="91"/>
        <v>9.7016318496336709</v>
      </c>
      <c r="BG125" s="20">
        <f t="shared" si="61"/>
        <v>71.671728804778567</v>
      </c>
      <c r="BH125" s="59">
        <f t="shared" si="62"/>
        <v>365.0050621381119</v>
      </c>
      <c r="BI125" s="59">
        <f ca="1">AVERAGE(OFFSET($BH$3,0,0,'Données projet'!$E$11+1,1))-AVERAGE(OFFSET($H$3,0,0,'Données projet'!$E$11+1,1))</f>
        <v>247.43282553724879</v>
      </c>
      <c r="BJ125" s="59">
        <f t="shared" si="92"/>
        <v>637.29471578895527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3.9095561351983711E-12</v>
      </c>
      <c r="BS125" s="22">
        <f t="shared" si="63"/>
        <v>3.9095561351983711E-12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4.6111381379887463E-14</v>
      </c>
      <c r="CA125" s="13">
        <f t="shared" si="93"/>
        <v>7.5804141040779151E-13</v>
      </c>
      <c r="CB125" s="20">
        <f t="shared" si="64"/>
        <v>1.4005661123635408E-12</v>
      </c>
      <c r="CC125" s="59">
        <f t="shared" si="65"/>
        <v>293.33333333333474</v>
      </c>
      <c r="CD125" s="59">
        <f ca="1">AVERAGE(OFFSET($CC$3,0,0,'Données projet'!$E$12+1,1))-AVERAGE(OFFSET($H$3,0,0,'Données projet'!$E$12+1,1))</f>
        <v>230.68538392491388</v>
      </c>
      <c r="CE125" s="59">
        <f t="shared" si="94"/>
        <v>267.97457956620724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0.66367309435492061</v>
      </c>
      <c r="CM125" s="21">
        <f>EXP(-LN(2)/2)*CM124+(1-EXP(-LN(2)/2))/(LN(2)/2)*CG125*CJ125*VLOOKUP('Données projet'!$B$12,Paramètres!$A$1:$I$89,3,0)*0.475*44/12</f>
        <v>1.5592958877316106E-13</v>
      </c>
      <c r="CN125" s="22">
        <f t="shared" si="66"/>
        <v>0.66367309435507649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3.2366642699344085E-14</v>
      </c>
      <c r="CV125" s="13">
        <f t="shared" si="95"/>
        <v>5.5446527398450045E-13</v>
      </c>
      <c r="CW125" s="20">
        <f t="shared" si="67"/>
        <v>1.0220655882243624E-12</v>
      </c>
      <c r="CX125" s="59">
        <f t="shared" si="68"/>
        <v>293.33333333333434</v>
      </c>
      <c r="CY125" s="59">
        <f ca="1">AVERAGE(OFFSET($CX$3,0,0,'Données projet'!$E$13+1,1))-AVERAGE(OFFSET($H$3,0,0,'Données projet'!$E$13+1,1))</f>
        <v>242.1473060698724</v>
      </c>
      <c r="CZ125" s="59">
        <f t="shared" si="96"/>
        <v>96.127995920458659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0</v>
      </c>
      <c r="EP125" s="59">
        <f t="shared" si="100"/>
        <v>0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179.86010141761648</v>
      </c>
      <c r="T126" s="59">
        <f t="shared" si="88"/>
        <v>367.01744242396057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10.420239637782966</v>
      </c>
      <c r="AA126" s="21">
        <f>EXP(-LN(2)/25)*AA125+(1-EXP(-LN(2)/25))/(LN(2)/25)*Calculateur!V126*Calculateur!X126*VLOOKUP('Données projet'!$B$9,Paramètres!$A$1:$I$89,3,0)*0.475*44/12</f>
        <v>4.4672964655525247</v>
      </c>
      <c r="AB126" s="21">
        <f>EXP(-LN(2)/2)*AB125+(1-EXP(-LN(2)/2))/(LN(2)/2)*V126*Y126*VLOOKUP('Données projet'!$B$9,Paramètres!$A$1:$I$89,3,0)*0.475*44/12</f>
        <v>4.5662355454777567E-12</v>
      </c>
      <c r="AC126" s="22">
        <f t="shared" si="57"/>
        <v>14.887536103340059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-4.758931027026848E-13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318.09371753144256</v>
      </c>
      <c r="AO126" s="59">
        <f t="shared" si="90"/>
        <v>298.61479562586919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1.5682870060746161</v>
      </c>
      <c r="AW126" s="21">
        <f>EXP(-LN(2)/2)*AW125+(1-EXP(-LN(2)/2))/(LN(2)/2)*AQ126*AT126*VLOOKUP('Données projet'!$B$10,Paramètres!$A$1:$I$89,3,0)*0.475*44/12</f>
        <v>3.0397429765198475E-13</v>
      </c>
      <c r="AX126" s="21">
        <f t="shared" si="60"/>
        <v>2.1228979398309873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35.999999999999943</v>
      </c>
      <c r="BE126" s="13">
        <f>BD126*VLOOKUP('Données projet'!$B$11,Paramètres!$A$1:$I$89,3,0)*VLOOKUP('Données projet'!$B$11,Paramètres!$A$1:$I$89,5,0)</f>
        <v>31.449599999999958</v>
      </c>
      <c r="BF126" s="13">
        <f t="shared" si="91"/>
        <v>9.7016318496336709</v>
      </c>
      <c r="BG126" s="20">
        <f t="shared" si="61"/>
        <v>71.671728804778567</v>
      </c>
      <c r="BH126" s="59">
        <f t="shared" si="62"/>
        <v>365.0050621381119</v>
      </c>
      <c r="BI126" s="59">
        <f ca="1">AVERAGE(OFFSET($BH$3,0,0,'Données projet'!$E$11+1,1))-AVERAGE(OFFSET($H$3,0,0,'Données projet'!$E$11+1,1))</f>
        <v>247.43282553724879</v>
      </c>
      <c r="BJ126" s="59">
        <f t="shared" si="92"/>
        <v>637.29471578895527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2.764473654628239E-12</v>
      </c>
      <c r="BS126" s="22">
        <f t="shared" si="63"/>
        <v>2.764473654628239E-12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4.6111381379887463E-14</v>
      </c>
      <c r="CA126" s="13">
        <f t="shared" si="93"/>
        <v>7.5804141040779151E-13</v>
      </c>
      <c r="CB126" s="20">
        <f t="shared" si="64"/>
        <v>1.4005661123635408E-12</v>
      </c>
      <c r="CC126" s="59">
        <f t="shared" si="65"/>
        <v>293.33333333333474</v>
      </c>
      <c r="CD126" s="59">
        <f ca="1">AVERAGE(OFFSET($CC$3,0,0,'Données projet'!$E$12+1,1))-AVERAGE(OFFSET($H$3,0,0,'Données projet'!$E$12+1,1))</f>
        <v>230.68538392491388</v>
      </c>
      <c r="CE126" s="59">
        <f t="shared" si="94"/>
        <v>267.97457956620724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0.64552491868873407</v>
      </c>
      <c r="CM126" s="21">
        <f>EXP(-LN(2)/2)*CM125+(1-EXP(-LN(2)/2))/(LN(2)/2)*CG126*CJ126*VLOOKUP('Données projet'!$B$12,Paramètres!$A$1:$I$89,3,0)*0.475*44/12</f>
        <v>1.1025886960913193E-13</v>
      </c>
      <c r="CN126" s="22">
        <f t="shared" si="66"/>
        <v>0.64552491868884432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3.2366642699344085E-14</v>
      </c>
      <c r="CV126" s="13">
        <f t="shared" si="95"/>
        <v>5.5446527398450045E-13</v>
      </c>
      <c r="CW126" s="20">
        <f t="shared" si="67"/>
        <v>1.0220655882243624E-12</v>
      </c>
      <c r="CX126" s="59">
        <f t="shared" si="68"/>
        <v>293.33333333333434</v>
      </c>
      <c r="CY126" s="59">
        <f ca="1">AVERAGE(OFFSET($CX$3,0,0,'Données projet'!$E$13+1,1))-AVERAGE(OFFSET($H$3,0,0,'Données projet'!$E$13+1,1))</f>
        <v>242.1473060698724</v>
      </c>
      <c r="CZ126" s="59">
        <f t="shared" si="96"/>
        <v>96.127995920458659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0</v>
      </c>
      <c r="EP126" s="59">
        <f t="shared" si="100"/>
        <v>0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179.86010141761648</v>
      </c>
      <c r="T127" s="59">
        <f t="shared" si="88"/>
        <v>367.01744242396057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10.215905094204647</v>
      </c>
      <c r="AA127" s="21">
        <f>EXP(-LN(2)/25)*AA126+(1-EXP(-LN(2)/25))/(LN(2)/25)*Calculateur!V127*Calculateur!X127*VLOOKUP('Données projet'!$B$9,Paramètres!$A$1:$I$89,3,0)*0.475*44/12</f>
        <v>4.3451380087770799</v>
      </c>
      <c r="AB127" s="21">
        <f>EXP(-LN(2)/2)*AB126+(1-EXP(-LN(2)/2))/(LN(2)/2)*V127*Y127*VLOOKUP('Données projet'!$B$9,Paramètres!$A$1:$I$89,3,0)*0.475*44/12</f>
        <v>3.2288161187023757E-12</v>
      </c>
      <c r="AC127" s="22">
        <f t="shared" si="57"/>
        <v>14.561043102984957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-4.758931027026848E-13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318.09371753144256</v>
      </c>
      <c r="AO127" s="59">
        <f t="shared" si="90"/>
        <v>298.61479562586919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1.5254021154208766</v>
      </c>
      <c r="AW127" s="21">
        <f>EXP(-LN(2)/2)*AW126+(1-EXP(-LN(2)/2))/(LN(2)/2)*AQ127*AT127*VLOOKUP('Données projet'!$B$10,Paramètres!$A$1:$I$89,3,0)*0.475*44/12</f>
        <v>2.1494228717613645E-13</v>
      </c>
      <c r="AX127" s="21">
        <f t="shared" si="60"/>
        <v>2.0691374670454699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35.999999999999943</v>
      </c>
      <c r="BE127" s="13">
        <f>BD127*VLOOKUP('Données projet'!$B$11,Paramètres!$A$1:$I$89,3,0)*VLOOKUP('Données projet'!$B$11,Paramètres!$A$1:$I$89,5,0)</f>
        <v>31.449599999999958</v>
      </c>
      <c r="BF127" s="13">
        <f t="shared" si="91"/>
        <v>9.7016318496336709</v>
      </c>
      <c r="BG127" s="20">
        <f t="shared" si="61"/>
        <v>71.671728804778567</v>
      </c>
      <c r="BH127" s="59">
        <f t="shared" si="62"/>
        <v>365.0050621381119</v>
      </c>
      <c r="BI127" s="59">
        <f ca="1">AVERAGE(OFFSET($BH$3,0,0,'Données projet'!$E$11+1,1))-AVERAGE(OFFSET($H$3,0,0,'Données projet'!$E$11+1,1))</f>
        <v>247.43282553724879</v>
      </c>
      <c r="BJ127" s="59">
        <f t="shared" si="92"/>
        <v>637.29471578895527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1.9547780675991856E-12</v>
      </c>
      <c r="BS127" s="22">
        <f t="shared" si="63"/>
        <v>1.9547780675991856E-12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4.6111381379887463E-14</v>
      </c>
      <c r="CA127" s="13">
        <f t="shared" si="93"/>
        <v>7.5804141040779151E-13</v>
      </c>
      <c r="CB127" s="20">
        <f t="shared" si="64"/>
        <v>1.4005661123635408E-12</v>
      </c>
      <c r="CC127" s="59">
        <f t="shared" si="65"/>
        <v>293.33333333333474</v>
      </c>
      <c r="CD127" s="59">
        <f ca="1">AVERAGE(OFFSET($CC$3,0,0,'Données projet'!$E$12+1,1))-AVERAGE(OFFSET($H$3,0,0,'Données projet'!$E$12+1,1))</f>
        <v>230.68538392491388</v>
      </c>
      <c r="CE127" s="59">
        <f t="shared" si="94"/>
        <v>267.97457956620724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0.62787300584051053</v>
      </c>
      <c r="CM127" s="21">
        <f>EXP(-LN(2)/2)*CM126+(1-EXP(-LN(2)/2))/(LN(2)/2)*CG127*CJ127*VLOOKUP('Données projet'!$B$12,Paramètres!$A$1:$I$89,3,0)*0.475*44/12</f>
        <v>7.7964794386580528E-14</v>
      </c>
      <c r="CN127" s="22">
        <f t="shared" si="66"/>
        <v>0.62787300584058847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3.2366642699344085E-14</v>
      </c>
      <c r="CV127" s="13">
        <f t="shared" si="95"/>
        <v>5.5446527398450045E-13</v>
      </c>
      <c r="CW127" s="20">
        <f t="shared" si="67"/>
        <v>1.0220655882243624E-12</v>
      </c>
      <c r="CX127" s="59">
        <f t="shared" si="68"/>
        <v>293.33333333333434</v>
      </c>
      <c r="CY127" s="59">
        <f ca="1">AVERAGE(OFFSET($CX$3,0,0,'Données projet'!$E$13+1,1))-AVERAGE(OFFSET($H$3,0,0,'Données projet'!$E$13+1,1))</f>
        <v>242.1473060698724</v>
      </c>
      <c r="CZ127" s="59">
        <f t="shared" si="96"/>
        <v>96.127995920458659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0</v>
      </c>
      <c r="EP127" s="59">
        <f t="shared" si="100"/>
        <v>0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179.86010141761648</v>
      </c>
      <c r="T128" s="59">
        <f t="shared" si="88"/>
        <v>367.01744242396057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10.015577426394133</v>
      </c>
      <c r="AA128" s="21">
        <f>EXP(-LN(2)/25)*AA127+(1-EXP(-LN(2)/25))/(LN(2)/25)*Calculateur!V128*Calculateur!X128*VLOOKUP('Données projet'!$B$9,Paramètres!$A$1:$I$89,3,0)*0.475*44/12</f>
        <v>4.2263199814261938</v>
      </c>
      <c r="AB128" s="21">
        <f>EXP(-LN(2)/2)*AB127+(1-EXP(-LN(2)/2))/(LN(2)/2)*V128*Y128*VLOOKUP('Données projet'!$B$9,Paramètres!$A$1:$I$89,3,0)*0.475*44/12</f>
        <v>2.2831177727388784E-12</v>
      </c>
      <c r="AC128" s="22">
        <f t="shared" si="57"/>
        <v>14.241897407822609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-4.758931027026848E-13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318.09371753144256</v>
      </c>
      <c r="AO128" s="59">
        <f t="shared" si="90"/>
        <v>298.61479562586919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1.4836899143572817</v>
      </c>
      <c r="AW128" s="21">
        <f>EXP(-LN(2)/2)*AW127+(1-EXP(-LN(2)/2))/(LN(2)/2)*AQ128*AT128*VLOOKUP('Données projet'!$B$10,Paramètres!$A$1:$I$89,3,0)*0.475*44/12</f>
        <v>1.5198714882599237E-13</v>
      </c>
      <c r="AX128" s="21">
        <f t="shared" si="60"/>
        <v>2.0167629473822748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35.999999999999943</v>
      </c>
      <c r="BE128" s="13">
        <f>BD128*VLOOKUP('Données projet'!$B$11,Paramètres!$A$1:$I$89,3,0)*VLOOKUP('Données projet'!$B$11,Paramètres!$A$1:$I$89,5,0)</f>
        <v>31.449599999999958</v>
      </c>
      <c r="BF128" s="13">
        <f t="shared" si="91"/>
        <v>9.7016318496336709</v>
      </c>
      <c r="BG128" s="20">
        <f t="shared" si="61"/>
        <v>71.671728804778567</v>
      </c>
      <c r="BH128" s="59">
        <f t="shared" si="62"/>
        <v>365.0050621381119</v>
      </c>
      <c r="BI128" s="59">
        <f ca="1">AVERAGE(OFFSET($BH$3,0,0,'Données projet'!$E$11+1,1))-AVERAGE(OFFSET($H$3,0,0,'Données projet'!$E$11+1,1))</f>
        <v>247.43282553724879</v>
      </c>
      <c r="BJ128" s="59">
        <f t="shared" si="92"/>
        <v>637.29471578895527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1.3822368273141195E-12</v>
      </c>
      <c r="BS128" s="22">
        <f t="shared" si="63"/>
        <v>1.3822368273141195E-12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4.6111381379887463E-14</v>
      </c>
      <c r="CA128" s="13">
        <f t="shared" si="93"/>
        <v>7.5804141040779151E-13</v>
      </c>
      <c r="CB128" s="20">
        <f t="shared" si="64"/>
        <v>1.4005661123635408E-12</v>
      </c>
      <c r="CC128" s="59">
        <f t="shared" si="65"/>
        <v>293.33333333333474</v>
      </c>
      <c r="CD128" s="59">
        <f ca="1">AVERAGE(OFFSET($CC$3,0,0,'Données projet'!$E$12+1,1))-AVERAGE(OFFSET($H$3,0,0,'Données projet'!$E$12+1,1))</f>
        <v>230.68538392491388</v>
      </c>
      <c r="CE128" s="59">
        <f t="shared" si="94"/>
        <v>267.97457956620724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0.61070378547739546</v>
      </c>
      <c r="CM128" s="21">
        <f>EXP(-LN(2)/2)*CM127+(1-EXP(-LN(2)/2))/(LN(2)/2)*CG128*CJ128*VLOOKUP('Données projet'!$B$12,Paramètres!$A$1:$I$89,3,0)*0.475*44/12</f>
        <v>5.5129434804565966E-14</v>
      </c>
      <c r="CN128" s="22">
        <f t="shared" si="66"/>
        <v>0.61070378547745063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3.2366642699344085E-14</v>
      </c>
      <c r="CV128" s="13">
        <f t="shared" si="95"/>
        <v>5.5446527398450045E-13</v>
      </c>
      <c r="CW128" s="20">
        <f t="shared" si="67"/>
        <v>1.0220655882243624E-12</v>
      </c>
      <c r="CX128" s="59">
        <f t="shared" si="68"/>
        <v>293.33333333333434</v>
      </c>
      <c r="CY128" s="59">
        <f ca="1">AVERAGE(OFFSET($CX$3,0,0,'Données projet'!$E$13+1,1))-AVERAGE(OFFSET($H$3,0,0,'Données projet'!$E$13+1,1))</f>
        <v>242.1473060698724</v>
      </c>
      <c r="CZ128" s="59">
        <f t="shared" si="96"/>
        <v>96.127995920458659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0</v>
      </c>
      <c r="EP128" s="59">
        <f t="shared" si="100"/>
        <v>0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179.86010141761648</v>
      </c>
      <c r="T129" s="59">
        <f t="shared" si="88"/>
        <v>367.01744242396057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9.8191780619615709</v>
      </c>
      <c r="AA129" s="21">
        <f>EXP(-LN(2)/25)*AA128+(1-EXP(-LN(2)/25))/(LN(2)/25)*Calculateur!V129*Calculateur!X129*VLOOKUP('Données projet'!$B$9,Paramètres!$A$1:$I$89,3,0)*0.475*44/12</f>
        <v>4.1107510392815865</v>
      </c>
      <c r="AB129" s="21">
        <f>EXP(-LN(2)/2)*AB128+(1-EXP(-LN(2)/2))/(LN(2)/2)*V129*Y129*VLOOKUP('Données projet'!$B$9,Paramètres!$A$1:$I$89,3,0)*0.475*44/12</f>
        <v>1.6144080593511878E-12</v>
      </c>
      <c r="AC129" s="22">
        <f t="shared" si="57"/>
        <v>13.929929101244772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-4.758931027026848E-13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318.09371753144256</v>
      </c>
      <c r="AO129" s="59">
        <f t="shared" si="90"/>
        <v>298.61479562586919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1.4431183356253203</v>
      </c>
      <c r="AW129" s="21">
        <f>EXP(-LN(2)/2)*AW128+(1-EXP(-LN(2)/2))/(LN(2)/2)*AQ129*AT129*VLOOKUP('Données projet'!$B$10,Paramètres!$A$1:$I$89,3,0)*0.475*44/12</f>
        <v>1.0747114358806822E-13</v>
      </c>
      <c r="AX129" s="21">
        <f t="shared" si="60"/>
        <v>1.965738131615097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35.999999999999943</v>
      </c>
      <c r="BE129" s="13">
        <f>BD129*VLOOKUP('Données projet'!$B$11,Paramètres!$A$1:$I$89,3,0)*VLOOKUP('Données projet'!$B$11,Paramètres!$A$1:$I$89,5,0)</f>
        <v>31.449599999999958</v>
      </c>
      <c r="BF129" s="13">
        <f t="shared" si="91"/>
        <v>9.7016318496336709</v>
      </c>
      <c r="BG129" s="20">
        <f t="shared" si="61"/>
        <v>71.671728804778567</v>
      </c>
      <c r="BH129" s="59">
        <f t="shared" si="62"/>
        <v>365.0050621381119</v>
      </c>
      <c r="BI129" s="59">
        <f ca="1">AVERAGE(OFFSET($BH$3,0,0,'Données projet'!$E$11+1,1))-AVERAGE(OFFSET($H$3,0,0,'Données projet'!$E$11+1,1))</f>
        <v>247.43282553724879</v>
      </c>
      <c r="BJ129" s="59">
        <f t="shared" si="92"/>
        <v>637.29471578895527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9.7738903379959278E-13</v>
      </c>
      <c r="BS129" s="22">
        <f t="shared" si="63"/>
        <v>9.7738903379959278E-13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4.6111381379887463E-14</v>
      </c>
      <c r="CA129" s="13">
        <f t="shared" si="93"/>
        <v>7.5804141040779151E-13</v>
      </c>
      <c r="CB129" s="20">
        <f t="shared" si="64"/>
        <v>1.4005661123635408E-12</v>
      </c>
      <c r="CC129" s="59">
        <f t="shared" si="65"/>
        <v>293.33333333333474</v>
      </c>
      <c r="CD129" s="59">
        <f ca="1">AVERAGE(OFFSET($CC$3,0,0,'Données projet'!$E$12+1,1))-AVERAGE(OFFSET($H$3,0,0,'Données projet'!$E$12+1,1))</f>
        <v>230.68538392491388</v>
      </c>
      <c r="CE129" s="59">
        <f t="shared" si="94"/>
        <v>267.97457956620724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0.59400405834799974</v>
      </c>
      <c r="CM129" s="21">
        <f>EXP(-LN(2)/2)*CM128+(1-EXP(-LN(2)/2))/(LN(2)/2)*CG129*CJ129*VLOOKUP('Données projet'!$B$12,Paramètres!$A$1:$I$89,3,0)*0.475*44/12</f>
        <v>3.8982397193290264E-14</v>
      </c>
      <c r="CN129" s="22">
        <f t="shared" si="66"/>
        <v>0.59400405834803871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3.2366642699344085E-14</v>
      </c>
      <c r="CV129" s="13">
        <f t="shared" si="95"/>
        <v>5.5446527398450045E-13</v>
      </c>
      <c r="CW129" s="20">
        <f t="shared" si="67"/>
        <v>1.0220655882243624E-12</v>
      </c>
      <c r="CX129" s="59">
        <f t="shared" si="68"/>
        <v>293.33333333333434</v>
      </c>
      <c r="CY129" s="59">
        <f ca="1">AVERAGE(OFFSET($CX$3,0,0,'Données projet'!$E$13+1,1))-AVERAGE(OFFSET($H$3,0,0,'Données projet'!$E$13+1,1))</f>
        <v>242.1473060698724</v>
      </c>
      <c r="CZ129" s="59">
        <f t="shared" si="96"/>
        <v>96.127995920458659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0</v>
      </c>
      <c r="EP129" s="59">
        <f t="shared" si="100"/>
        <v>0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179.86010141761648</v>
      </c>
      <c r="T130" s="59">
        <f t="shared" si="88"/>
        <v>367.01744242396057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9.6266299692737469</v>
      </c>
      <c r="AA130" s="21">
        <f>EXP(-LN(2)/25)*AA129+(1-EXP(-LN(2)/25))/(LN(2)/25)*Calculateur!V130*Calculateur!X130*VLOOKUP('Données projet'!$B$9,Paramètres!$A$1:$I$89,3,0)*0.475*44/12</f>
        <v>3.9983423359374295</v>
      </c>
      <c r="AB130" s="21">
        <f>EXP(-LN(2)/2)*AB129+(1-EXP(-LN(2)/2))/(LN(2)/2)*V130*Y130*VLOOKUP('Données projet'!$B$9,Paramètres!$A$1:$I$89,3,0)*0.475*44/12</f>
        <v>1.1415588863694392E-12</v>
      </c>
      <c r="AC130" s="22">
        <f t="shared" si="57"/>
        <v>13.624972305212319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-4.758931027026848E-13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318.09371753144256</v>
      </c>
      <c r="AO130" s="59">
        <f t="shared" si="90"/>
        <v>298.61479562586919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1.4036561888473509</v>
      </c>
      <c r="AW130" s="21">
        <f>EXP(-LN(2)/2)*AW129+(1-EXP(-LN(2)/2))/(LN(2)/2)*AQ130*AT130*VLOOKUP('Données projet'!$B$10,Paramètres!$A$1:$I$89,3,0)*0.475*44/12</f>
        <v>7.5993574412996187E-14</v>
      </c>
      <c r="AX130" s="21">
        <f t="shared" si="60"/>
        <v>1.9160277294043386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35.999999999999943</v>
      </c>
      <c r="BE130" s="13">
        <f>BD130*VLOOKUP('Données projet'!$B$11,Paramètres!$A$1:$I$89,3,0)*VLOOKUP('Données projet'!$B$11,Paramètres!$A$1:$I$89,5,0)</f>
        <v>31.449599999999958</v>
      </c>
      <c r="BF130" s="13">
        <f t="shared" si="91"/>
        <v>9.7016318496336709</v>
      </c>
      <c r="BG130" s="20">
        <f t="shared" si="61"/>
        <v>71.671728804778567</v>
      </c>
      <c r="BH130" s="59">
        <f t="shared" si="62"/>
        <v>365.0050621381119</v>
      </c>
      <c r="BI130" s="59">
        <f ca="1">AVERAGE(OFFSET($BH$3,0,0,'Données projet'!$E$11+1,1))-AVERAGE(OFFSET($H$3,0,0,'Données projet'!$E$11+1,1))</f>
        <v>247.43282553724879</v>
      </c>
      <c r="BJ130" s="59">
        <f t="shared" si="92"/>
        <v>637.29471578895527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6.9111841365705976E-13</v>
      </c>
      <c r="BS130" s="22">
        <f t="shared" si="63"/>
        <v>6.9111841365705976E-13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4.6111381379887463E-14</v>
      </c>
      <c r="CA130" s="13">
        <f t="shared" si="93"/>
        <v>7.5804141040779151E-13</v>
      </c>
      <c r="CB130" s="20">
        <f t="shared" si="64"/>
        <v>1.4005661123635408E-12</v>
      </c>
      <c r="CC130" s="59">
        <f t="shared" si="65"/>
        <v>293.33333333333474</v>
      </c>
      <c r="CD130" s="59">
        <f ca="1">AVERAGE(OFFSET($CC$3,0,0,'Données projet'!$E$12+1,1))-AVERAGE(OFFSET($H$3,0,0,'Données projet'!$E$12+1,1))</f>
        <v>230.68538392491388</v>
      </c>
      <c r="CE130" s="59">
        <f t="shared" si="94"/>
        <v>267.97457956620724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0.57776098613515792</v>
      </c>
      <c r="CM130" s="21">
        <f>EXP(-LN(2)/2)*CM129+(1-EXP(-LN(2)/2))/(LN(2)/2)*CG130*CJ130*VLOOKUP('Données projet'!$B$12,Paramètres!$A$1:$I$89,3,0)*0.475*44/12</f>
        <v>2.7564717402282983E-14</v>
      </c>
      <c r="CN130" s="22">
        <f t="shared" si="66"/>
        <v>0.57776098613518545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3.2366642699344085E-14</v>
      </c>
      <c r="CV130" s="13">
        <f t="shared" si="95"/>
        <v>5.5446527398450045E-13</v>
      </c>
      <c r="CW130" s="20">
        <f t="shared" si="67"/>
        <v>1.0220655882243624E-12</v>
      </c>
      <c r="CX130" s="59">
        <f t="shared" si="68"/>
        <v>293.33333333333434</v>
      </c>
      <c r="CY130" s="59">
        <f ca="1">AVERAGE(OFFSET($CX$3,0,0,'Données projet'!$E$13+1,1))-AVERAGE(OFFSET($H$3,0,0,'Données projet'!$E$13+1,1))</f>
        <v>242.1473060698724</v>
      </c>
      <c r="CZ130" s="59">
        <f t="shared" si="96"/>
        <v>96.127995920458659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0</v>
      </c>
      <c r="EP130" s="59">
        <f t="shared" si="100"/>
        <v>0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179.86010141761648</v>
      </c>
      <c r="T131" s="59">
        <f t="shared" si="88"/>
        <v>367.01744242396057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9.4378576272407919</v>
      </c>
      <c r="AA131" s="21">
        <f>EXP(-LN(2)/25)*AA130+(1-EXP(-LN(2)/25))/(LN(2)/25)*Calculateur!V131*Calculateur!X131*VLOOKUP('Données projet'!$B$9,Paramètres!$A$1:$I$89,3,0)*0.475*44/12</f>
        <v>3.8890074544975355</v>
      </c>
      <c r="AB131" s="21">
        <f>EXP(-LN(2)/2)*AB130+(1-EXP(-LN(2)/2))/(LN(2)/2)*V131*Y131*VLOOKUP('Données projet'!$B$9,Paramètres!$A$1:$I$89,3,0)*0.475*44/12</f>
        <v>8.0720402967559392E-13</v>
      </c>
      <c r="AC131" s="22">
        <f t="shared" si="57"/>
        <v>13.326865081739134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-4.758931027026848E-13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318.09371753144256</v>
      </c>
      <c r="AO131" s="59">
        <f t="shared" si="90"/>
        <v>298.61479562586919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1.3652731365482491</v>
      </c>
      <c r="AW131" s="21">
        <f>EXP(-LN(2)/2)*AW130+(1-EXP(-LN(2)/2))/(LN(2)/2)*AQ131*AT131*VLOOKUP('Données projet'!$B$10,Paramètres!$A$1:$I$89,3,0)*0.475*44/12</f>
        <v>5.3735571794034112E-14</v>
      </c>
      <c r="AX131" s="21">
        <f t="shared" si="60"/>
        <v>1.867597383710675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35.999999999999943</v>
      </c>
      <c r="BE131" s="13">
        <f>BD131*VLOOKUP('Données projet'!$B$11,Paramètres!$A$1:$I$89,3,0)*VLOOKUP('Données projet'!$B$11,Paramètres!$A$1:$I$89,5,0)</f>
        <v>31.449599999999958</v>
      </c>
      <c r="BF131" s="13">
        <f t="shared" si="91"/>
        <v>9.7016318496336709</v>
      </c>
      <c r="BG131" s="20">
        <f t="shared" si="61"/>
        <v>71.671728804778567</v>
      </c>
      <c r="BH131" s="59">
        <f t="shared" si="62"/>
        <v>365.0050621381119</v>
      </c>
      <c r="BI131" s="59">
        <f ca="1">AVERAGE(OFFSET($BH$3,0,0,'Données projet'!$E$11+1,1))-AVERAGE(OFFSET($H$3,0,0,'Données projet'!$E$11+1,1))</f>
        <v>247.43282553724879</v>
      </c>
      <c r="BJ131" s="59">
        <f t="shared" si="92"/>
        <v>637.29471578895527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4.8869451689979639E-13</v>
      </c>
      <c r="BS131" s="22">
        <f t="shared" si="63"/>
        <v>4.8869451689979639E-13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4.6111381379887463E-14</v>
      </c>
      <c r="CA131" s="13">
        <f t="shared" si="93"/>
        <v>7.5804141040779151E-13</v>
      </c>
      <c r="CB131" s="20">
        <f t="shared" si="64"/>
        <v>1.4005661123635408E-12</v>
      </c>
      <c r="CC131" s="59">
        <f t="shared" si="65"/>
        <v>293.33333333333474</v>
      </c>
      <c r="CD131" s="59">
        <f ca="1">AVERAGE(OFFSET($CC$3,0,0,'Données projet'!$E$12+1,1))-AVERAGE(OFFSET($H$3,0,0,'Données projet'!$E$12+1,1))</f>
        <v>230.68538392491388</v>
      </c>
      <c r="CE131" s="59">
        <f t="shared" si="94"/>
        <v>267.97457956620724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0.56196208158616223</v>
      </c>
      <c r="CM131" s="21">
        <f>EXP(-LN(2)/2)*CM130+(1-EXP(-LN(2)/2))/(LN(2)/2)*CG131*CJ131*VLOOKUP('Données projet'!$B$12,Paramètres!$A$1:$I$89,3,0)*0.475*44/12</f>
        <v>1.9491198596645132E-14</v>
      </c>
      <c r="CN131" s="22">
        <f t="shared" si="66"/>
        <v>0.56196208158618177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3.2366642699344085E-14</v>
      </c>
      <c r="CV131" s="13">
        <f t="shared" si="95"/>
        <v>5.5446527398450045E-13</v>
      </c>
      <c r="CW131" s="20">
        <f t="shared" si="67"/>
        <v>1.0220655882243624E-12</v>
      </c>
      <c r="CX131" s="59">
        <f t="shared" si="68"/>
        <v>293.33333333333434</v>
      </c>
      <c r="CY131" s="59">
        <f ca="1">AVERAGE(OFFSET($CX$3,0,0,'Données projet'!$E$13+1,1))-AVERAGE(OFFSET($H$3,0,0,'Données projet'!$E$13+1,1))</f>
        <v>242.1473060698724</v>
      </c>
      <c r="CZ131" s="59">
        <f t="shared" si="96"/>
        <v>96.127995920458659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0</v>
      </c>
      <c r="EP131" s="59">
        <f t="shared" si="100"/>
        <v>0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179.86010141761648</v>
      </c>
      <c r="T132" s="59">
        <f t="shared" si="88"/>
        <v>367.01744242396057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9.2527869956953435</v>
      </c>
      <c r="AA132" s="21">
        <f>EXP(-LN(2)/25)*AA131+(1-EXP(-LN(2)/25))/(LN(2)/25)*Calculateur!V132*Calculateur!X132*VLOOKUP('Données projet'!$B$9,Paramètres!$A$1:$I$89,3,0)*0.475*44/12</f>
        <v>3.7826623411402869</v>
      </c>
      <c r="AB132" s="21">
        <f>EXP(-LN(2)/2)*AB131+(1-EXP(-LN(2)/2))/(LN(2)/2)*V132*Y132*VLOOKUP('Données projet'!$B$9,Paramètres!$A$1:$I$89,3,0)*0.475*44/12</f>
        <v>5.7077944318471959E-13</v>
      </c>
      <c r="AC132" s="22">
        <f t="shared" ref="AC132:AC153" si="111">SUM(Z132:AB132)</f>
        <v>13.0354493368362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-4.758931027026848E-13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318.09371753144256</v>
      </c>
      <c r="AO132" s="59">
        <f t="shared" si="90"/>
        <v>298.61479562586919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1.3279396708327433</v>
      </c>
      <c r="AW132" s="21">
        <f>EXP(-LN(2)/2)*AW131+(1-EXP(-LN(2)/2))/(LN(2)/2)*AQ132*AT132*VLOOKUP('Données projet'!$B$10,Paramètres!$A$1:$I$89,3,0)*0.475*44/12</f>
        <v>3.7996787206498093E-14</v>
      </c>
      <c r="AX132" s="21">
        <f t="shared" ref="AX132:AX153" si="114">SUM(AU132:AW132)</f>
        <v>1.8204136458958369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35.999999999999943</v>
      </c>
      <c r="BE132" s="13">
        <f>BD132*VLOOKUP('Données projet'!$B$11,Paramètres!$A$1:$I$89,3,0)*VLOOKUP('Données projet'!$B$11,Paramètres!$A$1:$I$89,5,0)</f>
        <v>31.449599999999958</v>
      </c>
      <c r="BF132" s="13">
        <f t="shared" si="91"/>
        <v>9.7016318496336709</v>
      </c>
      <c r="BG132" s="20">
        <f t="shared" ref="BG132:BG153" si="115">(BE132+BF132)*0.475*44/12</f>
        <v>71.671728804778567</v>
      </c>
      <c r="BH132" s="59">
        <f t="shared" ref="BH132:BH195" si="116">BG132+(AY132+AZ132)*44/12</f>
        <v>365.0050621381119</v>
      </c>
      <c r="BI132" s="59">
        <f ca="1">AVERAGE(OFFSET($BH$3,0,0,'Données projet'!$E$11+1,1))-AVERAGE(OFFSET($H$3,0,0,'Données projet'!$E$11+1,1))</f>
        <v>247.43282553724879</v>
      </c>
      <c r="BJ132" s="59">
        <f t="shared" si="92"/>
        <v>637.29471578895527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3.4555920682852988E-13</v>
      </c>
      <c r="BS132" s="22">
        <f t="shared" ref="BS132:BS153" si="117">SUM(BP132:BR132)</f>
        <v>3.4555920682852988E-13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4.6111381379887463E-14</v>
      </c>
      <c r="CA132" s="13">
        <f t="shared" si="93"/>
        <v>7.5804141040779151E-13</v>
      </c>
      <c r="CB132" s="20">
        <f t="shared" ref="CB132:CB153" si="118">(BZ132+CA132)*0.475*44/12</f>
        <v>1.4005661123635408E-12</v>
      </c>
      <c r="CC132" s="59">
        <f t="shared" ref="CC132:CC195" si="119">CB132+(BT132+BU132)*44/12</f>
        <v>293.33333333333474</v>
      </c>
      <c r="CD132" s="59">
        <f ca="1">AVERAGE(OFFSET($CC$3,0,0,'Données projet'!$E$12+1,1))-AVERAGE(OFFSET($H$3,0,0,'Données projet'!$E$12+1,1))</f>
        <v>230.68538392491388</v>
      </c>
      <c r="CE132" s="59">
        <f t="shared" si="94"/>
        <v>267.97457956620724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0.5465951989128871</v>
      </c>
      <c r="CM132" s="21">
        <f>EXP(-LN(2)/2)*CM131+(1-EXP(-LN(2)/2))/(LN(2)/2)*CG132*CJ132*VLOOKUP('Données projet'!$B$12,Paramètres!$A$1:$I$89,3,0)*0.475*44/12</f>
        <v>1.3782358701141492E-14</v>
      </c>
      <c r="CN132" s="22">
        <f t="shared" ref="CN132:CN153" si="120">SUM(CK132:CM132)</f>
        <v>0.54659519891290087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3.2366642699344085E-14</v>
      </c>
      <c r="CV132" s="13">
        <f t="shared" si="95"/>
        <v>5.5446527398450045E-13</v>
      </c>
      <c r="CW132" s="20">
        <f t="shared" ref="CW132:CW153" si="121">(CU132+CV132)*0.475*44/12</f>
        <v>1.0220655882243624E-12</v>
      </c>
      <c r="CX132" s="59">
        <f t="shared" ref="CX132:CX195" si="122">CW132+(CO132+CP132)*44/12</f>
        <v>293.33333333333434</v>
      </c>
      <c r="CY132" s="59">
        <f ca="1">AVERAGE(OFFSET($CX$3,0,0,'Données projet'!$E$13+1,1))-AVERAGE(OFFSET($H$3,0,0,'Données projet'!$E$13+1,1))</f>
        <v>242.1473060698724</v>
      </c>
      <c r="CZ132" s="59">
        <f t="shared" si="96"/>
        <v>96.127995920458659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0</v>
      </c>
      <c r="EP132" s="59">
        <f t="shared" si="100"/>
        <v>0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179.86010141761648</v>
      </c>
      <c r="T133" s="59">
        <f t="shared" ref="T133:T196" si="142">$T$3</f>
        <v>367.01744242396057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9.0713454863525609</v>
      </c>
      <c r="AA133" s="21">
        <f>EXP(-LN(2)/25)*AA132+(1-EXP(-LN(2)/25))/(LN(2)/25)*Calculateur!V133*Calculateur!X133*VLOOKUP('Données projet'!$B$9,Paramètres!$A$1:$I$89,3,0)*0.475*44/12</f>
        <v>3.6792252405002386</v>
      </c>
      <c r="AB133" s="21">
        <f>EXP(-LN(2)/2)*AB132+(1-EXP(-LN(2)/2))/(LN(2)/2)*V133*Y133*VLOOKUP('Données projet'!$B$9,Paramètres!$A$1:$I$89,3,0)*0.475*44/12</f>
        <v>4.0360201483779696E-13</v>
      </c>
      <c r="AC133" s="22">
        <f t="shared" si="111"/>
        <v>12.750570726853203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-4.758931027026848E-13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318.09371753144256</v>
      </c>
      <c r="AO133" s="59">
        <f t="shared" ref="AO133:AO196" si="144">$AO$3</f>
        <v>298.61479562586919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1.2916270907005096</v>
      </c>
      <c r="AW133" s="21">
        <f>EXP(-LN(2)/2)*AW132+(1-EXP(-LN(2)/2))/(LN(2)/2)*AQ133*AT133*VLOOKUP('Données projet'!$B$10,Paramètres!$A$1:$I$89,3,0)*0.475*44/12</f>
        <v>2.6867785897017056E-14</v>
      </c>
      <c r="AX133" s="21">
        <f t="shared" si="114"/>
        <v>1.7744439514920702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35.999999999999943</v>
      </c>
      <c r="BE133" s="13">
        <f>BD133*VLOOKUP('Données projet'!$B$11,Paramètres!$A$1:$I$89,3,0)*VLOOKUP('Données projet'!$B$11,Paramètres!$A$1:$I$89,5,0)</f>
        <v>31.449599999999958</v>
      </c>
      <c r="BF133" s="13">
        <f t="shared" ref="BF133:BF153" si="145">EXP(-1.0587+0.8836*LN(BE133)+0.284)</f>
        <v>9.7016318496336709</v>
      </c>
      <c r="BG133" s="20">
        <f t="shared" si="115"/>
        <v>71.671728804778567</v>
      </c>
      <c r="BH133" s="59">
        <f t="shared" si="116"/>
        <v>365.0050621381119</v>
      </c>
      <c r="BI133" s="59">
        <f ca="1">AVERAGE(OFFSET($BH$3,0,0,'Données projet'!$E$11+1,1))-AVERAGE(OFFSET($H$3,0,0,'Données projet'!$E$11+1,1))</f>
        <v>247.43282553724879</v>
      </c>
      <c r="BJ133" s="59">
        <f t="shared" ref="BJ133:BJ196" si="146">$BJ$3</f>
        <v>637.29471578895527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2.4434725844989819E-13</v>
      </c>
      <c r="BS133" s="22">
        <f t="shared" si="117"/>
        <v>2.4434725844989819E-13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4.6111381379887463E-14</v>
      </c>
      <c r="CA133" s="13">
        <f t="shared" ref="CA133:CA153" si="147">EXP(-1.0587+0.8836*LN(BZ133)+0.284)</f>
        <v>7.5804141040779151E-13</v>
      </c>
      <c r="CB133" s="20">
        <f t="shared" si="118"/>
        <v>1.4005661123635408E-12</v>
      </c>
      <c r="CC133" s="59">
        <f t="shared" si="119"/>
        <v>293.33333333333474</v>
      </c>
      <c r="CD133" s="59">
        <f ca="1">AVERAGE(OFFSET($CC$3,0,0,'Données projet'!$E$12+1,1))-AVERAGE(OFFSET($H$3,0,0,'Données projet'!$E$12+1,1))</f>
        <v>230.68538392491388</v>
      </c>
      <c r="CE133" s="59">
        <f t="shared" ref="CE133:CE196" si="148">$CE$3</f>
        <v>267.97457956620724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0.5316485244544219</v>
      </c>
      <c r="CM133" s="21">
        <f>EXP(-LN(2)/2)*CM132+(1-EXP(-LN(2)/2))/(LN(2)/2)*CG133*CJ133*VLOOKUP('Données projet'!$B$12,Paramètres!$A$1:$I$89,3,0)*0.475*44/12</f>
        <v>9.7455992983225659E-15</v>
      </c>
      <c r="CN133" s="22">
        <f t="shared" si="120"/>
        <v>0.53164852445443167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3.2366642699344085E-14</v>
      </c>
      <c r="CV133" s="13">
        <f t="shared" ref="CV133:CV153" si="149">EXP(-1.0587+0.8836*LN(CU133)+0.284)</f>
        <v>5.5446527398450045E-13</v>
      </c>
      <c r="CW133" s="20">
        <f t="shared" si="121"/>
        <v>1.0220655882243624E-12</v>
      </c>
      <c r="CX133" s="59">
        <f t="shared" si="122"/>
        <v>293.33333333333434</v>
      </c>
      <c r="CY133" s="59">
        <f ca="1">AVERAGE(OFFSET($CX$3,0,0,'Données projet'!$E$13+1,1))-AVERAGE(OFFSET($H$3,0,0,'Données projet'!$E$13+1,1))</f>
        <v>242.1473060698724</v>
      </c>
      <c r="CZ133" s="59">
        <f t="shared" ref="CZ133:CZ196" si="150">$CZ$3</f>
        <v>96.127995920458659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0</v>
      </c>
      <c r="EP133" s="59">
        <f t="shared" ref="EP133:EP196" si="154">$EP$3</f>
        <v>0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179.86010141761648</v>
      </c>
      <c r="T134" s="59">
        <f t="shared" si="142"/>
        <v>367.01744242396057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8.893461934339598</v>
      </c>
      <c r="AA134" s="21">
        <f>EXP(-LN(2)/25)*AA133+(1-EXP(-LN(2)/25))/(LN(2)/25)*Calculateur!V134*Calculateur!X134*VLOOKUP('Données projet'!$B$9,Paramètres!$A$1:$I$89,3,0)*0.475*44/12</f>
        <v>3.5786166328167131</v>
      </c>
      <c r="AB134" s="21">
        <f>EXP(-LN(2)/2)*AB133+(1-EXP(-LN(2)/2))/(LN(2)/2)*V134*Y134*VLOOKUP('Données projet'!$B$9,Paramètres!$A$1:$I$89,3,0)*0.475*44/12</f>
        <v>2.853897215923598E-13</v>
      </c>
      <c r="AC134" s="22">
        <f t="shared" si="111"/>
        <v>12.472078567156597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-4.758931027026848E-13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318.09371753144256</v>
      </c>
      <c r="AO134" s="59">
        <f t="shared" si="144"/>
        <v>298.61479562586919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1.2563074799815876</v>
      </c>
      <c r="AW134" s="21">
        <f>EXP(-LN(2)/2)*AW133+(1-EXP(-LN(2)/2))/(LN(2)/2)*AQ134*AT134*VLOOKUP('Données projet'!$B$10,Paramètres!$A$1:$I$89,3,0)*0.475*44/12</f>
        <v>1.8998393603249047E-14</v>
      </c>
      <c r="AX134" s="21">
        <f t="shared" si="114"/>
        <v>1.7296565966222253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35.999999999999943</v>
      </c>
      <c r="BE134" s="13">
        <f>BD134*VLOOKUP('Données projet'!$B$11,Paramètres!$A$1:$I$89,3,0)*VLOOKUP('Données projet'!$B$11,Paramètres!$A$1:$I$89,5,0)</f>
        <v>31.449599999999958</v>
      </c>
      <c r="BF134" s="13">
        <f t="shared" si="145"/>
        <v>9.7016318496336709</v>
      </c>
      <c r="BG134" s="20">
        <f t="shared" si="115"/>
        <v>71.671728804778567</v>
      </c>
      <c r="BH134" s="59">
        <f t="shared" si="116"/>
        <v>365.0050621381119</v>
      </c>
      <c r="BI134" s="59">
        <f ca="1">AVERAGE(OFFSET($BH$3,0,0,'Données projet'!$E$11+1,1))-AVERAGE(OFFSET($H$3,0,0,'Données projet'!$E$11+1,1))</f>
        <v>247.43282553724879</v>
      </c>
      <c r="BJ134" s="59">
        <f t="shared" si="146"/>
        <v>637.29471578895527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1.7277960341426494E-13</v>
      </c>
      <c r="BS134" s="22">
        <f t="shared" si="117"/>
        <v>1.7277960341426494E-13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4.6111381379887463E-14</v>
      </c>
      <c r="CA134" s="13">
        <f t="shared" si="147"/>
        <v>7.5804141040779151E-13</v>
      </c>
      <c r="CB134" s="20">
        <f t="shared" si="118"/>
        <v>1.4005661123635408E-12</v>
      </c>
      <c r="CC134" s="59">
        <f t="shared" si="119"/>
        <v>293.33333333333474</v>
      </c>
      <c r="CD134" s="59">
        <f ca="1">AVERAGE(OFFSET($CC$3,0,0,'Données projet'!$E$12+1,1))-AVERAGE(OFFSET($H$3,0,0,'Données projet'!$E$12+1,1))</f>
        <v>230.68538392491388</v>
      </c>
      <c r="CE134" s="59">
        <f t="shared" si="148"/>
        <v>267.97457956620724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0.51711056759503493</v>
      </c>
      <c r="CM134" s="21">
        <f>EXP(-LN(2)/2)*CM133+(1-EXP(-LN(2)/2))/(LN(2)/2)*CG134*CJ134*VLOOKUP('Données projet'!$B$12,Paramètres!$A$1:$I$89,3,0)*0.475*44/12</f>
        <v>6.8911793505707458E-15</v>
      </c>
      <c r="CN134" s="22">
        <f t="shared" si="120"/>
        <v>0.51711056759504181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3.2366642699344085E-14</v>
      </c>
      <c r="CV134" s="13">
        <f t="shared" si="149"/>
        <v>5.5446527398450045E-13</v>
      </c>
      <c r="CW134" s="20">
        <f t="shared" si="121"/>
        <v>1.0220655882243624E-12</v>
      </c>
      <c r="CX134" s="59">
        <f t="shared" si="122"/>
        <v>293.33333333333434</v>
      </c>
      <c r="CY134" s="59">
        <f ca="1">AVERAGE(OFFSET($CX$3,0,0,'Données projet'!$E$13+1,1))-AVERAGE(OFFSET($H$3,0,0,'Données projet'!$E$13+1,1))</f>
        <v>242.1473060698724</v>
      </c>
      <c r="CZ134" s="59">
        <f t="shared" si="150"/>
        <v>96.127995920458659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0</v>
      </c>
      <c r="EP134" s="59">
        <f t="shared" si="154"/>
        <v>0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179.86010141761648</v>
      </c>
      <c r="T135" s="59">
        <f t="shared" si="142"/>
        <v>367.01744242396057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8.7190665702833563</v>
      </c>
      <c r="AA135" s="21">
        <f>EXP(-LN(2)/25)*AA134+(1-EXP(-LN(2)/25))/(LN(2)/25)*Calculateur!V135*Calculateur!X135*VLOOKUP('Données projet'!$B$9,Paramètres!$A$1:$I$89,3,0)*0.475*44/12</f>
        <v>3.4807591728010703</v>
      </c>
      <c r="AB135" s="21">
        <f>EXP(-LN(2)/2)*AB134+(1-EXP(-LN(2)/2))/(LN(2)/2)*V135*Y135*VLOOKUP('Données projet'!$B$9,Paramètres!$A$1:$I$89,3,0)*0.475*44/12</f>
        <v>2.0180100741889848E-13</v>
      </c>
      <c r="AC135" s="22">
        <f t="shared" si="111"/>
        <v>12.199825743084629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-4.758931027026848E-13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318.09371753144256</v>
      </c>
      <c r="AO135" s="59">
        <f t="shared" si="144"/>
        <v>298.61479562586919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1.2219536858751521</v>
      </c>
      <c r="AW135" s="21">
        <f>EXP(-LN(2)/2)*AW134+(1-EXP(-LN(2)/2))/(LN(2)/2)*AQ135*AT135*VLOOKUP('Données projet'!$B$10,Paramètres!$A$1:$I$89,3,0)*0.475*44/12</f>
        <v>1.3433892948508528E-14</v>
      </c>
      <c r="AX135" s="21">
        <f t="shared" si="114"/>
        <v>1.6860207150529145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35.999999999999943</v>
      </c>
      <c r="BE135" s="13">
        <f>BD135*VLOOKUP('Données projet'!$B$11,Paramètres!$A$1:$I$89,3,0)*VLOOKUP('Données projet'!$B$11,Paramètres!$A$1:$I$89,5,0)</f>
        <v>31.449599999999958</v>
      </c>
      <c r="BF135" s="13">
        <f t="shared" si="145"/>
        <v>9.7016318496336709</v>
      </c>
      <c r="BG135" s="20">
        <f t="shared" si="115"/>
        <v>71.671728804778567</v>
      </c>
      <c r="BH135" s="59">
        <f t="shared" si="116"/>
        <v>365.0050621381119</v>
      </c>
      <c r="BI135" s="59">
        <f ca="1">AVERAGE(OFFSET($BH$3,0,0,'Données projet'!$E$11+1,1))-AVERAGE(OFFSET($H$3,0,0,'Données projet'!$E$11+1,1))</f>
        <v>247.43282553724879</v>
      </c>
      <c r="BJ135" s="59">
        <f t="shared" si="146"/>
        <v>637.29471578895527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1.221736292249491E-13</v>
      </c>
      <c r="BS135" s="22">
        <f t="shared" si="117"/>
        <v>1.221736292249491E-13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4.6111381379887463E-14</v>
      </c>
      <c r="CA135" s="13">
        <f t="shared" si="147"/>
        <v>7.5804141040779151E-13</v>
      </c>
      <c r="CB135" s="20">
        <f t="shared" si="118"/>
        <v>1.4005661123635408E-12</v>
      </c>
      <c r="CC135" s="59">
        <f t="shared" si="119"/>
        <v>293.33333333333474</v>
      </c>
      <c r="CD135" s="59">
        <f ca="1">AVERAGE(OFFSET($CC$3,0,0,'Données projet'!$E$12+1,1))-AVERAGE(OFFSET($H$3,0,0,'Données projet'!$E$12+1,1))</f>
        <v>230.68538392491388</v>
      </c>
      <c r="CE135" s="59">
        <f t="shared" si="148"/>
        <v>267.97457956620724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0.50297015193048578</v>
      </c>
      <c r="CM135" s="21">
        <f>EXP(-LN(2)/2)*CM134+(1-EXP(-LN(2)/2))/(LN(2)/2)*CG135*CJ135*VLOOKUP('Données projet'!$B$12,Paramètres!$A$1:$I$89,3,0)*0.475*44/12</f>
        <v>4.872799649161283E-15</v>
      </c>
      <c r="CN135" s="22">
        <f t="shared" si="120"/>
        <v>0.50297015193049066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3.2366642699344085E-14</v>
      </c>
      <c r="CV135" s="13">
        <f t="shared" si="149"/>
        <v>5.5446527398450045E-13</v>
      </c>
      <c r="CW135" s="20">
        <f t="shared" si="121"/>
        <v>1.0220655882243624E-12</v>
      </c>
      <c r="CX135" s="59">
        <f t="shared" si="122"/>
        <v>293.33333333333434</v>
      </c>
      <c r="CY135" s="59">
        <f ca="1">AVERAGE(OFFSET($CX$3,0,0,'Données projet'!$E$13+1,1))-AVERAGE(OFFSET($H$3,0,0,'Données projet'!$E$13+1,1))</f>
        <v>242.1473060698724</v>
      </c>
      <c r="CZ135" s="59">
        <f t="shared" si="150"/>
        <v>96.127995920458659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0</v>
      </c>
      <c r="EP135" s="59">
        <f t="shared" si="154"/>
        <v>0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179.86010141761648</v>
      </c>
      <c r="T136" s="59">
        <f t="shared" si="142"/>
        <v>367.01744242396057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8.5480909929455891</v>
      </c>
      <c r="AA136" s="21">
        <f>EXP(-LN(2)/25)*AA135+(1-EXP(-LN(2)/25))/(LN(2)/25)*Calculateur!V136*Calculateur!X136*VLOOKUP('Données projet'!$B$9,Paramètres!$A$1:$I$89,3,0)*0.475*44/12</f>
        <v>3.3855776301756557</v>
      </c>
      <c r="AB136" s="21">
        <f>EXP(-LN(2)/2)*AB135+(1-EXP(-LN(2)/2))/(LN(2)/2)*V136*Y136*VLOOKUP('Données projet'!$B$9,Paramètres!$A$1:$I$89,3,0)*0.475*44/12</f>
        <v>1.426948607961799E-13</v>
      </c>
      <c r="AC136" s="22">
        <f t="shared" si="111"/>
        <v>11.933668623121386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-4.758931027026848E-13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318.09371753144256</v>
      </c>
      <c r="AO136" s="59">
        <f t="shared" si="144"/>
        <v>298.61479562586919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1.1885392980751446</v>
      </c>
      <c r="AW136" s="21">
        <f>EXP(-LN(2)/2)*AW135+(1-EXP(-LN(2)/2))/(LN(2)/2)*AQ136*AT136*VLOOKUP('Données projet'!$B$10,Paramètres!$A$1:$I$89,3,0)*0.475*44/12</f>
        <v>9.4991968016245233E-15</v>
      </c>
      <c r="AX136" s="21">
        <f t="shared" si="114"/>
        <v>1.6435062558636659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35.999999999999943</v>
      </c>
      <c r="BE136" s="13">
        <f>BD136*VLOOKUP('Données projet'!$B$11,Paramètres!$A$1:$I$89,3,0)*VLOOKUP('Données projet'!$B$11,Paramètres!$A$1:$I$89,5,0)</f>
        <v>31.449599999999958</v>
      </c>
      <c r="BF136" s="13">
        <f t="shared" si="145"/>
        <v>9.7016318496336709</v>
      </c>
      <c r="BG136" s="20">
        <f t="shared" si="115"/>
        <v>71.671728804778567</v>
      </c>
      <c r="BH136" s="59">
        <f t="shared" si="116"/>
        <v>365.0050621381119</v>
      </c>
      <c r="BI136" s="59">
        <f ca="1">AVERAGE(OFFSET($BH$3,0,0,'Données projet'!$E$11+1,1))-AVERAGE(OFFSET($H$3,0,0,'Données projet'!$E$11+1,1))</f>
        <v>247.43282553724879</v>
      </c>
      <c r="BJ136" s="59">
        <f t="shared" si="146"/>
        <v>637.29471578895527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8.638980170713247E-14</v>
      </c>
      <c r="BS136" s="22">
        <f t="shared" si="117"/>
        <v>8.638980170713247E-14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4.6111381379887463E-14</v>
      </c>
      <c r="CA136" s="13">
        <f t="shared" si="147"/>
        <v>7.5804141040779151E-13</v>
      </c>
      <c r="CB136" s="20">
        <f t="shared" si="118"/>
        <v>1.4005661123635408E-12</v>
      </c>
      <c r="CC136" s="59">
        <f t="shared" si="119"/>
        <v>293.33333333333474</v>
      </c>
      <c r="CD136" s="59">
        <f ca="1">AVERAGE(OFFSET($CC$3,0,0,'Données projet'!$E$12+1,1))-AVERAGE(OFFSET($H$3,0,0,'Données projet'!$E$12+1,1))</f>
        <v>230.68538392491388</v>
      </c>
      <c r="CE136" s="59">
        <f t="shared" si="148"/>
        <v>267.97457956620724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0.48921640667589589</v>
      </c>
      <c r="CM136" s="21">
        <f>EXP(-LN(2)/2)*CM135+(1-EXP(-LN(2)/2))/(LN(2)/2)*CG136*CJ136*VLOOKUP('Données projet'!$B$12,Paramètres!$A$1:$I$89,3,0)*0.475*44/12</f>
        <v>3.4455896752853729E-15</v>
      </c>
      <c r="CN136" s="22">
        <f t="shared" si="120"/>
        <v>0.48921640667589933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3.2366642699344085E-14</v>
      </c>
      <c r="CV136" s="13">
        <f t="shared" si="149"/>
        <v>5.5446527398450045E-13</v>
      </c>
      <c r="CW136" s="20">
        <f t="shared" si="121"/>
        <v>1.0220655882243624E-12</v>
      </c>
      <c r="CX136" s="59">
        <f t="shared" si="122"/>
        <v>293.33333333333434</v>
      </c>
      <c r="CY136" s="59">
        <f ca="1">AVERAGE(OFFSET($CX$3,0,0,'Données projet'!$E$13+1,1))-AVERAGE(OFFSET($H$3,0,0,'Données projet'!$E$13+1,1))</f>
        <v>242.1473060698724</v>
      </c>
      <c r="CZ136" s="59">
        <f t="shared" si="150"/>
        <v>96.127995920458659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0</v>
      </c>
      <c r="EP136" s="59">
        <f t="shared" si="154"/>
        <v>0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179.86010141761648</v>
      </c>
      <c r="T137" s="59">
        <f t="shared" si="142"/>
        <v>367.01744242396057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8.3804681423946104</v>
      </c>
      <c r="AA137" s="21">
        <f>EXP(-LN(2)/25)*AA136+(1-EXP(-LN(2)/25))/(LN(2)/25)*Calculateur!V137*Calculateur!X137*VLOOKUP('Données projet'!$B$9,Paramètres!$A$1:$I$89,3,0)*0.475*44/12</f>
        <v>3.2929988318387129</v>
      </c>
      <c r="AB137" s="21">
        <f>EXP(-LN(2)/2)*AB136+(1-EXP(-LN(2)/2))/(LN(2)/2)*V137*Y137*VLOOKUP('Données projet'!$B$9,Paramètres!$A$1:$I$89,3,0)*0.475*44/12</f>
        <v>1.0090050370944924E-13</v>
      </c>
      <c r="AC137" s="22">
        <f t="shared" si="111"/>
        <v>11.673466974233424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-4.758931027026848E-13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318.09371753144256</v>
      </c>
      <c r="AO137" s="59">
        <f t="shared" si="144"/>
        <v>298.61479562586919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1.1560386284667146</v>
      </c>
      <c r="AW137" s="21">
        <f>EXP(-LN(2)/2)*AW136+(1-EXP(-LN(2)/2))/(LN(2)/2)*AQ137*AT137*VLOOKUP('Données projet'!$B$10,Paramètres!$A$1:$I$89,3,0)*0.475*44/12</f>
        <v>6.716946474254264E-15</v>
      </c>
      <c r="AX137" s="21">
        <f t="shared" si="114"/>
        <v>1.6020839617154436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35.999999999999943</v>
      </c>
      <c r="BE137" s="13">
        <f>BD137*VLOOKUP('Données projet'!$B$11,Paramètres!$A$1:$I$89,3,0)*VLOOKUP('Données projet'!$B$11,Paramètres!$A$1:$I$89,5,0)</f>
        <v>31.449599999999958</v>
      </c>
      <c r="BF137" s="13">
        <f t="shared" si="145"/>
        <v>9.7016318496336709</v>
      </c>
      <c r="BG137" s="20">
        <f t="shared" si="115"/>
        <v>71.671728804778567</v>
      </c>
      <c r="BH137" s="59">
        <f t="shared" si="116"/>
        <v>365.0050621381119</v>
      </c>
      <c r="BI137" s="59">
        <f ca="1">AVERAGE(OFFSET($BH$3,0,0,'Données projet'!$E$11+1,1))-AVERAGE(OFFSET($H$3,0,0,'Données projet'!$E$11+1,1))</f>
        <v>247.43282553724879</v>
      </c>
      <c r="BJ137" s="59">
        <f t="shared" si="146"/>
        <v>637.29471578895527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6.1086814612474548E-14</v>
      </c>
      <c r="BS137" s="22">
        <f t="shared" si="117"/>
        <v>6.1086814612474548E-14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4.6111381379887463E-14</v>
      </c>
      <c r="CA137" s="13">
        <f t="shared" si="147"/>
        <v>7.5804141040779151E-13</v>
      </c>
      <c r="CB137" s="20">
        <f t="shared" si="118"/>
        <v>1.4005661123635408E-12</v>
      </c>
      <c r="CC137" s="59">
        <f t="shared" si="119"/>
        <v>293.33333333333474</v>
      </c>
      <c r="CD137" s="59">
        <f ca="1">AVERAGE(OFFSET($CC$3,0,0,'Données projet'!$E$12+1,1))-AVERAGE(OFFSET($H$3,0,0,'Données projet'!$E$12+1,1))</f>
        <v>230.68538392491388</v>
      </c>
      <c r="CE137" s="59">
        <f t="shared" si="148"/>
        <v>267.97457956620724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0.47583875830857081</v>
      </c>
      <c r="CM137" s="21">
        <f>EXP(-LN(2)/2)*CM136+(1-EXP(-LN(2)/2))/(LN(2)/2)*CG137*CJ137*VLOOKUP('Données projet'!$B$12,Paramètres!$A$1:$I$89,3,0)*0.475*44/12</f>
        <v>2.4363998245806415E-15</v>
      </c>
      <c r="CN137" s="22">
        <f t="shared" si="120"/>
        <v>0.47583875830857325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3.2366642699344085E-14</v>
      </c>
      <c r="CV137" s="13">
        <f t="shared" si="149"/>
        <v>5.5446527398450045E-13</v>
      </c>
      <c r="CW137" s="20">
        <f t="shared" si="121"/>
        <v>1.0220655882243624E-12</v>
      </c>
      <c r="CX137" s="59">
        <f t="shared" si="122"/>
        <v>293.33333333333434</v>
      </c>
      <c r="CY137" s="59">
        <f ca="1">AVERAGE(OFFSET($CX$3,0,0,'Données projet'!$E$13+1,1))-AVERAGE(OFFSET($H$3,0,0,'Données projet'!$E$13+1,1))</f>
        <v>242.1473060698724</v>
      </c>
      <c r="CZ137" s="59">
        <f t="shared" si="150"/>
        <v>96.127995920458659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0</v>
      </c>
      <c r="EP137" s="59">
        <f t="shared" si="154"/>
        <v>0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179.86010141761648</v>
      </c>
      <c r="T138" s="59">
        <f t="shared" si="142"/>
        <v>367.01744242396057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8.2161322737030922</v>
      </c>
      <c r="AA138" s="21">
        <f>EXP(-LN(2)/25)*AA137+(1-EXP(-LN(2)/25))/(LN(2)/25)*Calculateur!V138*Calculateur!X138*VLOOKUP('Données projet'!$B$9,Paramètres!$A$1:$I$89,3,0)*0.475*44/12</f>
        <v>3.2029516056108012</v>
      </c>
      <c r="AB138" s="21">
        <f>EXP(-LN(2)/2)*AB137+(1-EXP(-LN(2)/2))/(LN(2)/2)*V138*Y138*VLOOKUP('Données projet'!$B$9,Paramètres!$A$1:$I$89,3,0)*0.475*44/12</f>
        <v>7.1347430398089949E-14</v>
      </c>
      <c r="AC138" s="22">
        <f t="shared" si="111"/>
        <v>11.419083879313964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-4.758931027026848E-13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318.09371753144256</v>
      </c>
      <c r="AO138" s="59">
        <f t="shared" si="144"/>
        <v>298.61479562586919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1.1244266913778629</v>
      </c>
      <c r="AW138" s="21">
        <f>EXP(-LN(2)/2)*AW137+(1-EXP(-LN(2)/2))/(LN(2)/2)*AQ138*AT138*VLOOKUP('Données projet'!$B$10,Paramètres!$A$1:$I$89,3,0)*0.475*44/12</f>
        <v>4.7495984008122617E-15</v>
      </c>
      <c r="AX138" s="21">
        <f t="shared" si="114"/>
        <v>1.561725347702372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35.999999999999943</v>
      </c>
      <c r="BE138" s="13">
        <f>BD138*VLOOKUP('Données projet'!$B$11,Paramètres!$A$1:$I$89,3,0)*VLOOKUP('Données projet'!$B$11,Paramètres!$A$1:$I$89,5,0)</f>
        <v>31.449599999999958</v>
      </c>
      <c r="BF138" s="13">
        <f t="shared" si="145"/>
        <v>9.7016318496336709</v>
      </c>
      <c r="BG138" s="20">
        <f t="shared" si="115"/>
        <v>71.671728804778567</v>
      </c>
      <c r="BH138" s="59">
        <f t="shared" si="116"/>
        <v>365.0050621381119</v>
      </c>
      <c r="BI138" s="59">
        <f ca="1">AVERAGE(OFFSET($BH$3,0,0,'Données projet'!$E$11+1,1))-AVERAGE(OFFSET($H$3,0,0,'Données projet'!$E$11+1,1))</f>
        <v>247.43282553724879</v>
      </c>
      <c r="BJ138" s="59">
        <f t="shared" si="146"/>
        <v>637.29471578895527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4.3194900853566235E-14</v>
      </c>
      <c r="BS138" s="22">
        <f t="shared" si="117"/>
        <v>4.3194900853566235E-14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4.6111381379887463E-14</v>
      </c>
      <c r="CA138" s="13">
        <f t="shared" si="147"/>
        <v>7.5804141040779151E-13</v>
      </c>
      <c r="CB138" s="20">
        <f t="shared" si="118"/>
        <v>1.4005661123635408E-12</v>
      </c>
      <c r="CC138" s="59">
        <f t="shared" si="119"/>
        <v>293.33333333333474</v>
      </c>
      <c r="CD138" s="59">
        <f ca="1">AVERAGE(OFFSET($CC$3,0,0,'Données projet'!$E$12+1,1))-AVERAGE(OFFSET($H$3,0,0,'Données projet'!$E$12+1,1))</f>
        <v>230.68538392491388</v>
      </c>
      <c r="CE138" s="59">
        <f t="shared" si="148"/>
        <v>267.97457956620724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0.4628269224393502</v>
      </c>
      <c r="CM138" s="21">
        <f>EXP(-LN(2)/2)*CM137+(1-EXP(-LN(2)/2))/(LN(2)/2)*CG138*CJ138*VLOOKUP('Données projet'!$B$12,Paramètres!$A$1:$I$89,3,0)*0.475*44/12</f>
        <v>1.7227948376426865E-15</v>
      </c>
      <c r="CN138" s="22">
        <f t="shared" si="120"/>
        <v>0.46282692243935192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3.2366642699344085E-14</v>
      </c>
      <c r="CV138" s="13">
        <f t="shared" si="149"/>
        <v>5.5446527398450045E-13</v>
      </c>
      <c r="CW138" s="20">
        <f t="shared" si="121"/>
        <v>1.0220655882243624E-12</v>
      </c>
      <c r="CX138" s="59">
        <f t="shared" si="122"/>
        <v>293.33333333333434</v>
      </c>
      <c r="CY138" s="59">
        <f ca="1">AVERAGE(OFFSET($CX$3,0,0,'Données projet'!$E$13+1,1))-AVERAGE(OFFSET($H$3,0,0,'Données projet'!$E$13+1,1))</f>
        <v>242.1473060698724</v>
      </c>
      <c r="CZ138" s="59">
        <f t="shared" si="150"/>
        <v>96.127995920458659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0</v>
      </c>
      <c r="EP138" s="59">
        <f t="shared" si="154"/>
        <v>0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179.86010141761648</v>
      </c>
      <c r="T139" s="59">
        <f t="shared" si="142"/>
        <v>367.01744242396057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8.0550189311616318</v>
      </c>
      <c r="AA139" s="21">
        <f>EXP(-LN(2)/25)*AA138+(1-EXP(-LN(2)/25))/(LN(2)/25)*Calculateur!V139*Calculateur!X139*VLOOKUP('Données projet'!$B$9,Paramètres!$A$1:$I$89,3,0)*0.475*44/12</f>
        <v>3.1153667255194692</v>
      </c>
      <c r="AB139" s="21">
        <f>EXP(-LN(2)/2)*AB138+(1-EXP(-LN(2)/2))/(LN(2)/2)*V139*Y139*VLOOKUP('Données projet'!$B$9,Paramètres!$A$1:$I$89,3,0)*0.475*44/12</f>
        <v>5.045025185472462E-14</v>
      </c>
      <c r="AC139" s="22">
        <f t="shared" si="111"/>
        <v>11.170385656681152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-4.758931027026848E-13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318.09371753144256</v>
      </c>
      <c r="AO139" s="59">
        <f t="shared" si="144"/>
        <v>298.61479562586919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1.0936791843711053</v>
      </c>
      <c r="AW139" s="21">
        <f>EXP(-LN(2)/2)*AW138+(1-EXP(-LN(2)/2))/(LN(2)/2)*AQ139*AT139*VLOOKUP('Données projet'!$B$10,Paramètres!$A$1:$I$89,3,0)*0.475*44/12</f>
        <v>3.358473237127132E-15</v>
      </c>
      <c r="AX139" s="21">
        <f t="shared" si="114"/>
        <v>1.522402680770933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35.999999999999943</v>
      </c>
      <c r="BE139" s="13">
        <f>BD139*VLOOKUP('Données projet'!$B$11,Paramètres!$A$1:$I$89,3,0)*VLOOKUP('Données projet'!$B$11,Paramètres!$A$1:$I$89,5,0)</f>
        <v>31.449599999999958</v>
      </c>
      <c r="BF139" s="13">
        <f t="shared" si="145"/>
        <v>9.7016318496336709</v>
      </c>
      <c r="BG139" s="20">
        <f t="shared" si="115"/>
        <v>71.671728804778567</v>
      </c>
      <c r="BH139" s="59">
        <f t="shared" si="116"/>
        <v>365.0050621381119</v>
      </c>
      <c r="BI139" s="59">
        <f ca="1">AVERAGE(OFFSET($BH$3,0,0,'Données projet'!$E$11+1,1))-AVERAGE(OFFSET($H$3,0,0,'Données projet'!$E$11+1,1))</f>
        <v>247.43282553724879</v>
      </c>
      <c r="BJ139" s="59">
        <f t="shared" si="146"/>
        <v>637.29471578895527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3.0543407306237274E-14</v>
      </c>
      <c r="BS139" s="22">
        <f t="shared" si="117"/>
        <v>3.0543407306237274E-14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4.6111381379887463E-14</v>
      </c>
      <c r="CA139" s="13">
        <f t="shared" si="147"/>
        <v>7.5804141040779151E-13</v>
      </c>
      <c r="CB139" s="20">
        <f t="shared" si="118"/>
        <v>1.4005661123635408E-12</v>
      </c>
      <c r="CC139" s="59">
        <f t="shared" si="119"/>
        <v>293.33333333333474</v>
      </c>
      <c r="CD139" s="59">
        <f ca="1">AVERAGE(OFFSET($CC$3,0,0,'Données projet'!$E$12+1,1))-AVERAGE(OFFSET($H$3,0,0,'Données projet'!$E$12+1,1))</f>
        <v>230.68538392491388</v>
      </c>
      <c r="CE139" s="59">
        <f t="shared" si="148"/>
        <v>267.97457956620724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0.4501708959062361</v>
      </c>
      <c r="CM139" s="21">
        <f>EXP(-LN(2)/2)*CM138+(1-EXP(-LN(2)/2))/(LN(2)/2)*CG139*CJ139*VLOOKUP('Données projet'!$B$12,Paramètres!$A$1:$I$89,3,0)*0.475*44/12</f>
        <v>1.2181999122903207E-15</v>
      </c>
      <c r="CN139" s="22">
        <f t="shared" si="120"/>
        <v>0.45017089590623732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3.2366642699344085E-14</v>
      </c>
      <c r="CV139" s="13">
        <f t="shared" si="149"/>
        <v>5.5446527398450045E-13</v>
      </c>
      <c r="CW139" s="20">
        <f t="shared" si="121"/>
        <v>1.0220655882243624E-12</v>
      </c>
      <c r="CX139" s="59">
        <f t="shared" si="122"/>
        <v>293.33333333333434</v>
      </c>
      <c r="CY139" s="59">
        <f ca="1">AVERAGE(OFFSET($CX$3,0,0,'Données projet'!$E$13+1,1))-AVERAGE(OFFSET($H$3,0,0,'Données projet'!$E$13+1,1))</f>
        <v>242.1473060698724</v>
      </c>
      <c r="CZ139" s="59">
        <f t="shared" si="150"/>
        <v>96.127995920458659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0</v>
      </c>
      <c r="EP139" s="59">
        <f t="shared" si="154"/>
        <v>0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179.86010141761648</v>
      </c>
      <c r="T140" s="59">
        <f t="shared" si="142"/>
        <v>367.01744242396057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7.8970649229979744</v>
      </c>
      <c r="AA140" s="21">
        <f>EXP(-LN(2)/25)*AA139+(1-EXP(-LN(2)/25))/(LN(2)/25)*Calculateur!V140*Calculateur!X140*VLOOKUP('Données projet'!$B$9,Paramètres!$A$1:$I$89,3,0)*0.475*44/12</f>
        <v>3.0301768585801234</v>
      </c>
      <c r="AB140" s="21">
        <f>EXP(-LN(2)/2)*AB139+(1-EXP(-LN(2)/2))/(LN(2)/2)*V140*Y140*VLOOKUP('Données projet'!$B$9,Paramètres!$A$1:$I$89,3,0)*0.475*44/12</f>
        <v>3.5673715199044974E-14</v>
      </c>
      <c r="AC140" s="22">
        <f t="shared" si="111"/>
        <v>10.927241781578132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-4.758931027026848E-13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318.09371753144256</v>
      </c>
      <c r="AO140" s="59">
        <f t="shared" si="144"/>
        <v>298.61479562586919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1.0637724695603887</v>
      </c>
      <c r="AW140" s="21">
        <f>EXP(-LN(2)/2)*AW139+(1-EXP(-LN(2)/2))/(LN(2)/2)*AQ140*AT140*VLOOKUP('Données projet'!$B$10,Paramètres!$A$1:$I$89,3,0)*0.475*44/12</f>
        <v>2.3747992004061308E-15</v>
      </c>
      <c r="AX140" s="21">
        <f t="shared" si="114"/>
        <v>1.4840889596913271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35.999999999999943</v>
      </c>
      <c r="BE140" s="13">
        <f>BD140*VLOOKUP('Données projet'!$B$11,Paramètres!$A$1:$I$89,3,0)*VLOOKUP('Données projet'!$B$11,Paramètres!$A$1:$I$89,5,0)</f>
        <v>31.449599999999958</v>
      </c>
      <c r="BF140" s="13">
        <f t="shared" si="145"/>
        <v>9.7016318496336709</v>
      </c>
      <c r="BG140" s="20">
        <f t="shared" si="115"/>
        <v>71.671728804778567</v>
      </c>
      <c r="BH140" s="59">
        <f t="shared" si="116"/>
        <v>365.0050621381119</v>
      </c>
      <c r="BI140" s="59">
        <f ca="1">AVERAGE(OFFSET($BH$3,0,0,'Données projet'!$E$11+1,1))-AVERAGE(OFFSET($H$3,0,0,'Données projet'!$E$11+1,1))</f>
        <v>247.43282553724879</v>
      </c>
      <c r="BJ140" s="59">
        <f t="shared" si="146"/>
        <v>637.29471578895527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2.1597450426783117E-14</v>
      </c>
      <c r="BS140" s="22">
        <f t="shared" si="117"/>
        <v>2.1597450426783117E-14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4.6111381379887463E-14</v>
      </c>
      <c r="CA140" s="13">
        <f t="shared" si="147"/>
        <v>7.5804141040779151E-13</v>
      </c>
      <c r="CB140" s="20">
        <f t="shared" si="118"/>
        <v>1.4005661123635408E-12</v>
      </c>
      <c r="CC140" s="59">
        <f t="shared" si="119"/>
        <v>293.33333333333474</v>
      </c>
      <c r="CD140" s="59">
        <f ca="1">AVERAGE(OFFSET($CC$3,0,0,'Données projet'!$E$12+1,1))-AVERAGE(OFFSET($H$3,0,0,'Données projet'!$E$12+1,1))</f>
        <v>230.68538392491388</v>
      </c>
      <c r="CE140" s="59">
        <f t="shared" si="148"/>
        <v>267.97457956620724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0.43786094908422152</v>
      </c>
      <c r="CM140" s="21">
        <f>EXP(-LN(2)/2)*CM139+(1-EXP(-LN(2)/2))/(LN(2)/2)*CG140*CJ140*VLOOKUP('Données projet'!$B$12,Paramètres!$A$1:$I$89,3,0)*0.475*44/12</f>
        <v>8.6139741882134323E-16</v>
      </c>
      <c r="CN140" s="22">
        <f t="shared" si="120"/>
        <v>0.43786094908422241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3.2366642699344085E-14</v>
      </c>
      <c r="CV140" s="13">
        <f t="shared" si="149"/>
        <v>5.5446527398450045E-13</v>
      </c>
      <c r="CW140" s="20">
        <f t="shared" si="121"/>
        <v>1.0220655882243624E-12</v>
      </c>
      <c r="CX140" s="59">
        <f t="shared" si="122"/>
        <v>293.33333333333434</v>
      </c>
      <c r="CY140" s="59">
        <f ca="1">AVERAGE(OFFSET($CX$3,0,0,'Données projet'!$E$13+1,1))-AVERAGE(OFFSET($H$3,0,0,'Données projet'!$E$13+1,1))</f>
        <v>242.1473060698724</v>
      </c>
      <c r="CZ140" s="59">
        <f t="shared" si="150"/>
        <v>96.127995920458659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0</v>
      </c>
      <c r="EP140" s="59">
        <f t="shared" si="154"/>
        <v>0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179.86010141761648</v>
      </c>
      <c r="T141" s="59">
        <f t="shared" si="142"/>
        <v>367.01744242396057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7.7422082965919738</v>
      </c>
      <c r="AA141" s="21">
        <f>EXP(-LN(2)/25)*AA140+(1-EXP(-LN(2)/25))/(LN(2)/25)*Calculateur!V141*Calculateur!X141*VLOOKUP('Données projet'!$B$9,Paramètres!$A$1:$I$89,3,0)*0.475*44/12</f>
        <v>2.9473165130321743</v>
      </c>
      <c r="AB141" s="21">
        <f>EXP(-LN(2)/2)*AB140+(1-EXP(-LN(2)/2))/(LN(2)/2)*V141*Y141*VLOOKUP('Données projet'!$B$9,Paramètres!$A$1:$I$89,3,0)*0.475*44/12</f>
        <v>2.522512592736231E-14</v>
      </c>
      <c r="AC141" s="22">
        <f t="shared" si="111"/>
        <v>10.689524809624173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-4.758931027026848E-13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318.09371753144256</v>
      </c>
      <c r="AO141" s="59">
        <f t="shared" si="144"/>
        <v>298.61479562586919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1.0346835554388971</v>
      </c>
      <c r="AW141" s="21">
        <f>EXP(-LN(2)/2)*AW140+(1-EXP(-LN(2)/2))/(LN(2)/2)*AQ141*AT141*VLOOKUP('Données projet'!$B$10,Paramètres!$A$1:$I$89,3,0)*0.475*44/12</f>
        <v>1.679236618563566E-15</v>
      </c>
      <c r="AX141" s="21">
        <f t="shared" si="114"/>
        <v>1.446757895566112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35.999999999999943</v>
      </c>
      <c r="BE141" s="13">
        <f>BD141*VLOOKUP('Données projet'!$B$11,Paramètres!$A$1:$I$89,3,0)*VLOOKUP('Données projet'!$B$11,Paramètres!$A$1:$I$89,5,0)</f>
        <v>31.449599999999958</v>
      </c>
      <c r="BF141" s="13">
        <f t="shared" si="145"/>
        <v>9.7016318496336709</v>
      </c>
      <c r="BG141" s="20">
        <f t="shared" si="115"/>
        <v>71.671728804778567</v>
      </c>
      <c r="BH141" s="59">
        <f t="shared" si="116"/>
        <v>365.0050621381119</v>
      </c>
      <c r="BI141" s="59">
        <f ca="1">AVERAGE(OFFSET($BH$3,0,0,'Données projet'!$E$11+1,1))-AVERAGE(OFFSET($H$3,0,0,'Données projet'!$E$11+1,1))</f>
        <v>247.43282553724879</v>
      </c>
      <c r="BJ141" s="59">
        <f t="shared" si="146"/>
        <v>637.29471578895527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1.5271703653118637E-14</v>
      </c>
      <c r="BS141" s="22">
        <f t="shared" si="117"/>
        <v>1.5271703653118637E-14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4.6111381379887463E-14</v>
      </c>
      <c r="CA141" s="13">
        <f t="shared" si="147"/>
        <v>7.5804141040779151E-13</v>
      </c>
      <c r="CB141" s="20">
        <f t="shared" si="118"/>
        <v>1.4005661123635408E-12</v>
      </c>
      <c r="CC141" s="59">
        <f t="shared" si="119"/>
        <v>293.33333333333474</v>
      </c>
      <c r="CD141" s="59">
        <f ca="1">AVERAGE(OFFSET($CC$3,0,0,'Données projet'!$E$12+1,1))-AVERAGE(OFFSET($H$3,0,0,'Données projet'!$E$12+1,1))</f>
        <v>230.68538392491388</v>
      </c>
      <c r="CE141" s="59">
        <f t="shared" si="148"/>
        <v>267.97457956620724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0.4258876184054069</v>
      </c>
      <c r="CM141" s="21">
        <f>EXP(-LN(2)/2)*CM140+(1-EXP(-LN(2)/2))/(LN(2)/2)*CG141*CJ141*VLOOKUP('Données projet'!$B$12,Paramètres!$A$1:$I$89,3,0)*0.475*44/12</f>
        <v>6.0909995614516037E-16</v>
      </c>
      <c r="CN141" s="22">
        <f t="shared" si="120"/>
        <v>0.42588761840540751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3.2366642699344085E-14</v>
      </c>
      <c r="CV141" s="13">
        <f t="shared" si="149"/>
        <v>5.5446527398450045E-13</v>
      </c>
      <c r="CW141" s="20">
        <f t="shared" si="121"/>
        <v>1.0220655882243624E-12</v>
      </c>
      <c r="CX141" s="59">
        <f t="shared" si="122"/>
        <v>293.33333333333434</v>
      </c>
      <c r="CY141" s="59">
        <f ca="1">AVERAGE(OFFSET($CX$3,0,0,'Données projet'!$E$13+1,1))-AVERAGE(OFFSET($H$3,0,0,'Données projet'!$E$13+1,1))</f>
        <v>242.1473060698724</v>
      </c>
      <c r="CZ141" s="59">
        <f t="shared" si="150"/>
        <v>96.127995920458659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0</v>
      </c>
      <c r="EP141" s="59">
        <f t="shared" si="154"/>
        <v>0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179.86010141761648</v>
      </c>
      <c r="T142" s="59">
        <f t="shared" si="142"/>
        <v>367.01744242396057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7.5903883141765798</v>
      </c>
      <c r="AA142" s="21">
        <f>EXP(-LN(2)/25)*AA141+(1-EXP(-LN(2)/25))/(LN(2)/25)*Calculateur!V142*Calculateur!X142*VLOOKUP('Données projet'!$B$9,Paramètres!$A$1:$I$89,3,0)*0.475*44/12</f>
        <v>2.8667219879906702</v>
      </c>
      <c r="AB142" s="21">
        <f>EXP(-LN(2)/2)*AB141+(1-EXP(-LN(2)/2))/(LN(2)/2)*V142*Y142*VLOOKUP('Données projet'!$B$9,Paramètres!$A$1:$I$89,3,0)*0.475*44/12</f>
        <v>1.7836857599522487E-14</v>
      </c>
      <c r="AC142" s="22">
        <f t="shared" si="111"/>
        <v>10.457110302167267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-4.758931027026848E-13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318.09371753144256</v>
      </c>
      <c r="AO142" s="59">
        <f t="shared" si="144"/>
        <v>298.61479562586919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1.006390079203777</v>
      </c>
      <c r="AW142" s="21">
        <f>EXP(-LN(2)/2)*AW141+(1-EXP(-LN(2)/2))/(LN(2)/2)*AQ142*AT142*VLOOKUP('Données projet'!$B$10,Paramètres!$A$1:$I$89,3,0)*0.475*44/12</f>
        <v>1.1873996002030654E-15</v>
      </c>
      <c r="AX142" s="21">
        <f t="shared" si="114"/>
        <v>1.4103838928616261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35.999999999999943</v>
      </c>
      <c r="BE142" s="13">
        <f>BD142*VLOOKUP('Données projet'!$B$11,Paramètres!$A$1:$I$89,3,0)*VLOOKUP('Données projet'!$B$11,Paramètres!$A$1:$I$89,5,0)</f>
        <v>31.449599999999958</v>
      </c>
      <c r="BF142" s="13">
        <f t="shared" si="145"/>
        <v>9.7016318496336709</v>
      </c>
      <c r="BG142" s="20">
        <f t="shared" si="115"/>
        <v>71.671728804778567</v>
      </c>
      <c r="BH142" s="59">
        <f t="shared" si="116"/>
        <v>365.0050621381119</v>
      </c>
      <c r="BI142" s="59">
        <f ca="1">AVERAGE(OFFSET($BH$3,0,0,'Données projet'!$E$11+1,1))-AVERAGE(OFFSET($H$3,0,0,'Données projet'!$E$11+1,1))</f>
        <v>247.43282553724879</v>
      </c>
      <c r="BJ142" s="59">
        <f t="shared" si="146"/>
        <v>637.29471578895527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1.0798725213391559E-14</v>
      </c>
      <c r="BS142" s="22">
        <f t="shared" si="117"/>
        <v>1.0798725213391559E-14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4.6111381379887463E-14</v>
      </c>
      <c r="CA142" s="13">
        <f t="shared" si="147"/>
        <v>7.5804141040779151E-13</v>
      </c>
      <c r="CB142" s="20">
        <f t="shared" si="118"/>
        <v>1.4005661123635408E-12</v>
      </c>
      <c r="CC142" s="59">
        <f t="shared" si="119"/>
        <v>293.33333333333474</v>
      </c>
      <c r="CD142" s="59">
        <f ca="1">AVERAGE(OFFSET($CC$3,0,0,'Données projet'!$E$12+1,1))-AVERAGE(OFFSET($H$3,0,0,'Données projet'!$E$12+1,1))</f>
        <v>230.68538392491388</v>
      </c>
      <c r="CE142" s="59">
        <f t="shared" si="148"/>
        <v>267.97457956620724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0.41424169908365455</v>
      </c>
      <c r="CM142" s="21">
        <f>EXP(-LN(2)/2)*CM141+(1-EXP(-LN(2)/2))/(LN(2)/2)*CG142*CJ142*VLOOKUP('Données projet'!$B$12,Paramètres!$A$1:$I$89,3,0)*0.475*44/12</f>
        <v>4.3069870941067161E-16</v>
      </c>
      <c r="CN142" s="22">
        <f t="shared" si="120"/>
        <v>0.41424169908365499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3.2366642699344085E-14</v>
      </c>
      <c r="CV142" s="13">
        <f t="shared" si="149"/>
        <v>5.5446527398450045E-13</v>
      </c>
      <c r="CW142" s="20">
        <f t="shared" si="121"/>
        <v>1.0220655882243624E-12</v>
      </c>
      <c r="CX142" s="59">
        <f t="shared" si="122"/>
        <v>293.33333333333434</v>
      </c>
      <c r="CY142" s="59">
        <f ca="1">AVERAGE(OFFSET($CX$3,0,0,'Données projet'!$E$13+1,1))-AVERAGE(OFFSET($H$3,0,0,'Données projet'!$E$13+1,1))</f>
        <v>242.1473060698724</v>
      </c>
      <c r="CZ142" s="59">
        <f t="shared" si="150"/>
        <v>96.127995920458659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0</v>
      </c>
      <c r="EP142" s="59">
        <f t="shared" si="154"/>
        <v>0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179.86010141761648</v>
      </c>
      <c r="T143" s="59">
        <f t="shared" si="142"/>
        <v>367.01744242396057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7.4415454290153056</v>
      </c>
      <c r="AA143" s="21">
        <f>EXP(-LN(2)/25)*AA142+(1-EXP(-LN(2)/25))/(LN(2)/25)*Calculateur!V143*Calculateur!X143*VLOOKUP('Données projet'!$B$9,Paramètres!$A$1:$I$89,3,0)*0.475*44/12</f>
        <v>2.7883313244747079</v>
      </c>
      <c r="AB143" s="21">
        <f>EXP(-LN(2)/2)*AB142+(1-EXP(-LN(2)/2))/(LN(2)/2)*V143*Y143*VLOOKUP('Données projet'!$B$9,Paramètres!$A$1:$I$89,3,0)*0.475*44/12</f>
        <v>1.2612562963681155E-14</v>
      </c>
      <c r="AC143" s="22">
        <f t="shared" si="111"/>
        <v>10.229876753490027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-4.758931027026848E-13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318.09371753144256</v>
      </c>
      <c r="AO143" s="59">
        <f t="shared" si="144"/>
        <v>298.61479562586919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0.97887028956419553</v>
      </c>
      <c r="AW143" s="21">
        <f>EXP(-LN(2)/2)*AW142+(1-EXP(-LN(2)/2))/(LN(2)/2)*AQ143*AT143*VLOOKUP('Données projet'!$B$10,Paramètres!$A$1:$I$89,3,0)*0.475*44/12</f>
        <v>8.39618309281783E-16</v>
      </c>
      <c r="AX143" s="21">
        <f t="shared" si="114"/>
        <v>1.3749420309481093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35.999999999999943</v>
      </c>
      <c r="BE143" s="13">
        <f>BD143*VLOOKUP('Données projet'!$B$11,Paramètres!$A$1:$I$89,3,0)*VLOOKUP('Données projet'!$B$11,Paramètres!$A$1:$I$89,5,0)</f>
        <v>31.449599999999958</v>
      </c>
      <c r="BF143" s="13">
        <f t="shared" si="145"/>
        <v>9.7016318496336709</v>
      </c>
      <c r="BG143" s="20">
        <f t="shared" si="115"/>
        <v>71.671728804778567</v>
      </c>
      <c r="BH143" s="59">
        <f t="shared" si="116"/>
        <v>365.0050621381119</v>
      </c>
      <c r="BI143" s="59">
        <f ca="1">AVERAGE(OFFSET($BH$3,0,0,'Données projet'!$E$11+1,1))-AVERAGE(OFFSET($H$3,0,0,'Données projet'!$E$11+1,1))</f>
        <v>247.43282553724879</v>
      </c>
      <c r="BJ143" s="59">
        <f t="shared" si="146"/>
        <v>637.29471578895527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7.6358518265593186E-15</v>
      </c>
      <c r="BS143" s="22">
        <f t="shared" si="117"/>
        <v>7.6358518265593186E-15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4.6111381379887463E-14</v>
      </c>
      <c r="CA143" s="13">
        <f t="shared" si="147"/>
        <v>7.5804141040779151E-13</v>
      </c>
      <c r="CB143" s="20">
        <f t="shared" si="118"/>
        <v>1.4005661123635408E-12</v>
      </c>
      <c r="CC143" s="59">
        <f t="shared" si="119"/>
        <v>293.33333333333474</v>
      </c>
      <c r="CD143" s="59">
        <f ca="1">AVERAGE(OFFSET($CC$3,0,0,'Données projet'!$E$12+1,1))-AVERAGE(OFFSET($H$3,0,0,'Données projet'!$E$12+1,1))</f>
        <v>230.68538392491388</v>
      </c>
      <c r="CE143" s="59">
        <f t="shared" si="148"/>
        <v>267.97457956620724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0.40291423803818782</v>
      </c>
      <c r="CM143" s="21">
        <f>EXP(-LN(2)/2)*CM142+(1-EXP(-LN(2)/2))/(LN(2)/2)*CG143*CJ143*VLOOKUP('Données projet'!$B$12,Paramètres!$A$1:$I$89,3,0)*0.475*44/12</f>
        <v>3.0454997807258019E-16</v>
      </c>
      <c r="CN143" s="22">
        <f t="shared" si="120"/>
        <v>0.4029142380381881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3.2366642699344085E-14</v>
      </c>
      <c r="CV143" s="13">
        <f t="shared" si="149"/>
        <v>5.5446527398450045E-13</v>
      </c>
      <c r="CW143" s="20">
        <f t="shared" si="121"/>
        <v>1.0220655882243624E-12</v>
      </c>
      <c r="CX143" s="59">
        <f t="shared" si="122"/>
        <v>293.33333333333434</v>
      </c>
      <c r="CY143" s="59">
        <f ca="1">AVERAGE(OFFSET($CX$3,0,0,'Données projet'!$E$13+1,1))-AVERAGE(OFFSET($H$3,0,0,'Données projet'!$E$13+1,1))</f>
        <v>242.1473060698724</v>
      </c>
      <c r="CZ143" s="59">
        <f t="shared" si="150"/>
        <v>96.127995920458659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0</v>
      </c>
      <c r="EP143" s="59">
        <f t="shared" si="154"/>
        <v>0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179.86010141761648</v>
      </c>
      <c r="T144" s="59">
        <f t="shared" si="142"/>
        <v>367.01744242396057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7.2956212620468488</v>
      </c>
      <c r="AA144" s="21">
        <f>EXP(-LN(2)/25)*AA143+(1-EXP(-LN(2)/25))/(LN(2)/25)*Calculateur!V144*Calculateur!X144*VLOOKUP('Données projet'!$B$9,Paramètres!$A$1:$I$89,3,0)*0.475*44/12</f>
        <v>2.7120842577749755</v>
      </c>
      <c r="AB144" s="21">
        <f>EXP(-LN(2)/2)*AB143+(1-EXP(-LN(2)/2))/(LN(2)/2)*V144*Y144*VLOOKUP('Données projet'!$B$9,Paramètres!$A$1:$I$89,3,0)*0.475*44/12</f>
        <v>8.9184287997612436E-15</v>
      </c>
      <c r="AC144" s="22">
        <f t="shared" si="111"/>
        <v>10.007705519821833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-4.758931027026848E-13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318.09371753144256</v>
      </c>
      <c r="AO144" s="59">
        <f t="shared" si="144"/>
        <v>298.61479562586919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0.95210303001951135</v>
      </c>
      <c r="AW144" s="21">
        <f>EXP(-LN(2)/2)*AW143+(1-EXP(-LN(2)/2))/(LN(2)/2)*AQ144*AT144*VLOOKUP('Données projet'!$B$10,Paramètres!$A$1:$I$89,3,0)*0.475*44/12</f>
        <v>5.9369980010153271E-16</v>
      </c>
      <c r="AX144" s="21">
        <f t="shared" si="114"/>
        <v>1.3404080461347947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35.999999999999943</v>
      </c>
      <c r="BE144" s="13">
        <f>BD144*VLOOKUP('Données projet'!$B$11,Paramètres!$A$1:$I$89,3,0)*VLOOKUP('Données projet'!$B$11,Paramètres!$A$1:$I$89,5,0)</f>
        <v>31.449599999999958</v>
      </c>
      <c r="BF144" s="13">
        <f t="shared" si="145"/>
        <v>9.7016318496336709</v>
      </c>
      <c r="BG144" s="20">
        <f t="shared" si="115"/>
        <v>71.671728804778567</v>
      </c>
      <c r="BH144" s="59">
        <f t="shared" si="116"/>
        <v>365.0050621381119</v>
      </c>
      <c r="BI144" s="59">
        <f ca="1">AVERAGE(OFFSET($BH$3,0,0,'Données projet'!$E$11+1,1))-AVERAGE(OFFSET($H$3,0,0,'Données projet'!$E$11+1,1))</f>
        <v>247.43282553724879</v>
      </c>
      <c r="BJ144" s="59">
        <f t="shared" si="146"/>
        <v>637.29471578895527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5.3993626066957793E-15</v>
      </c>
      <c r="BS144" s="22">
        <f t="shared" si="117"/>
        <v>5.3993626066957793E-15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4.6111381379887463E-14</v>
      </c>
      <c r="CA144" s="13">
        <f t="shared" si="147"/>
        <v>7.5804141040779151E-13</v>
      </c>
      <c r="CB144" s="20">
        <f t="shared" si="118"/>
        <v>1.4005661123635408E-12</v>
      </c>
      <c r="CC144" s="59">
        <f t="shared" si="119"/>
        <v>293.33333333333474</v>
      </c>
      <c r="CD144" s="59">
        <f ca="1">AVERAGE(OFFSET($CC$3,0,0,'Données projet'!$E$12+1,1))-AVERAGE(OFFSET($H$3,0,0,'Données projet'!$E$12+1,1))</f>
        <v>230.68538392491388</v>
      </c>
      <c r="CE144" s="59">
        <f t="shared" si="148"/>
        <v>267.97457956620724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0.39189652701069466</v>
      </c>
      <c r="CM144" s="21">
        <f>EXP(-LN(2)/2)*CM143+(1-EXP(-LN(2)/2))/(LN(2)/2)*CG144*CJ144*VLOOKUP('Données projet'!$B$12,Paramètres!$A$1:$I$89,3,0)*0.475*44/12</f>
        <v>2.1534935470533581E-16</v>
      </c>
      <c r="CN144" s="22">
        <f t="shared" si="120"/>
        <v>0.39189652701069488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3.2366642699344085E-14</v>
      </c>
      <c r="CV144" s="13">
        <f t="shared" si="149"/>
        <v>5.5446527398450045E-13</v>
      </c>
      <c r="CW144" s="20">
        <f t="shared" si="121"/>
        <v>1.0220655882243624E-12</v>
      </c>
      <c r="CX144" s="59">
        <f t="shared" si="122"/>
        <v>293.33333333333434</v>
      </c>
      <c r="CY144" s="59">
        <f ca="1">AVERAGE(OFFSET($CX$3,0,0,'Données projet'!$E$13+1,1))-AVERAGE(OFFSET($H$3,0,0,'Données projet'!$E$13+1,1))</f>
        <v>242.1473060698724</v>
      </c>
      <c r="CZ144" s="59">
        <f t="shared" si="150"/>
        <v>96.127995920458659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0</v>
      </c>
      <c r="EP144" s="59">
        <f t="shared" si="154"/>
        <v>0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179.86010141761648</v>
      </c>
      <c r="T145" s="59">
        <f t="shared" si="142"/>
        <v>367.01744242396057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7.1525585789876898</v>
      </c>
      <c r="AA145" s="21">
        <f>EXP(-LN(2)/25)*AA144+(1-EXP(-LN(2)/25))/(LN(2)/25)*Calculateur!V145*Calculateur!X145*VLOOKUP('Données projet'!$B$9,Paramètres!$A$1:$I$89,3,0)*0.475*44/12</f>
        <v>2.6379221711238063</v>
      </c>
      <c r="AB145" s="21">
        <f>EXP(-LN(2)/2)*AB144+(1-EXP(-LN(2)/2))/(LN(2)/2)*V145*Y145*VLOOKUP('Données projet'!$B$9,Paramètres!$A$1:$I$89,3,0)*0.475*44/12</f>
        <v>6.3062814818405775E-15</v>
      </c>
      <c r="AC145" s="22">
        <f t="shared" si="111"/>
        <v>9.7904807501115023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-4.758931027026848E-13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318.09371753144256</v>
      </c>
      <c r="AO145" s="59">
        <f t="shared" si="144"/>
        <v>298.61479562586919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0.92606772259470549</v>
      </c>
      <c r="AW145" s="21">
        <f>EXP(-LN(2)/2)*AW144+(1-EXP(-LN(2)/2))/(LN(2)/2)*AQ145*AT145*VLOOKUP('Données projet'!$B$10,Paramètres!$A$1:$I$89,3,0)*0.475*44/12</f>
        <v>4.198091546408915E-16</v>
      </c>
      <c r="AX145" s="21">
        <f t="shared" si="114"/>
        <v>1.3067583141866415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35.999999999999943</v>
      </c>
      <c r="BE145" s="13">
        <f>BD145*VLOOKUP('Données projet'!$B$11,Paramètres!$A$1:$I$89,3,0)*VLOOKUP('Données projet'!$B$11,Paramètres!$A$1:$I$89,5,0)</f>
        <v>31.449599999999958</v>
      </c>
      <c r="BF145" s="13">
        <f t="shared" si="145"/>
        <v>9.7016318496336709</v>
      </c>
      <c r="BG145" s="20">
        <f t="shared" si="115"/>
        <v>71.671728804778567</v>
      </c>
      <c r="BH145" s="59">
        <f t="shared" si="116"/>
        <v>365.0050621381119</v>
      </c>
      <c r="BI145" s="59">
        <f ca="1">AVERAGE(OFFSET($BH$3,0,0,'Données projet'!$E$11+1,1))-AVERAGE(OFFSET($H$3,0,0,'Données projet'!$E$11+1,1))</f>
        <v>247.43282553724879</v>
      </c>
      <c r="BJ145" s="59">
        <f t="shared" si="146"/>
        <v>637.29471578895527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3.8179259132796593E-15</v>
      </c>
      <c r="BS145" s="22">
        <f t="shared" si="117"/>
        <v>3.8179259132796593E-15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4.6111381379887463E-14</v>
      </c>
      <c r="CA145" s="13">
        <f t="shared" si="147"/>
        <v>7.5804141040779151E-13</v>
      </c>
      <c r="CB145" s="20">
        <f t="shared" si="118"/>
        <v>1.4005661123635408E-12</v>
      </c>
      <c r="CC145" s="59">
        <f t="shared" si="119"/>
        <v>293.33333333333474</v>
      </c>
      <c r="CD145" s="59">
        <f ca="1">AVERAGE(OFFSET($CC$3,0,0,'Données projet'!$E$12+1,1))-AVERAGE(OFFSET($H$3,0,0,'Données projet'!$E$12+1,1))</f>
        <v>230.68538392491388</v>
      </c>
      <c r="CE145" s="59">
        <f t="shared" si="148"/>
        <v>267.97457956620724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0.38118009587064455</v>
      </c>
      <c r="CM145" s="21">
        <f>EXP(-LN(2)/2)*CM144+(1-EXP(-LN(2)/2))/(LN(2)/2)*CG145*CJ145*VLOOKUP('Données projet'!$B$12,Paramètres!$A$1:$I$89,3,0)*0.475*44/12</f>
        <v>1.5227498903629009E-16</v>
      </c>
      <c r="CN145" s="22">
        <f t="shared" si="120"/>
        <v>0.38118009587064472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3.2366642699344085E-14</v>
      </c>
      <c r="CV145" s="13">
        <f t="shared" si="149"/>
        <v>5.5446527398450045E-13</v>
      </c>
      <c r="CW145" s="20">
        <f t="shared" si="121"/>
        <v>1.0220655882243624E-12</v>
      </c>
      <c r="CX145" s="59">
        <f t="shared" si="122"/>
        <v>293.33333333333434</v>
      </c>
      <c r="CY145" s="59">
        <f ca="1">AVERAGE(OFFSET($CX$3,0,0,'Données projet'!$E$13+1,1))-AVERAGE(OFFSET($H$3,0,0,'Données projet'!$E$13+1,1))</f>
        <v>242.1473060698724</v>
      </c>
      <c r="CZ145" s="59">
        <f t="shared" si="150"/>
        <v>96.127995920458659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0</v>
      </c>
      <c r="EP145" s="59">
        <f t="shared" si="154"/>
        <v>0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179.86010141761648</v>
      </c>
      <c r="T146" s="59">
        <f t="shared" si="142"/>
        <v>367.01744242396057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7.0123012678837</v>
      </c>
      <c r="AA146" s="21">
        <f>EXP(-LN(2)/25)*AA145+(1-EXP(-LN(2)/25))/(LN(2)/25)*Calculateur!V146*Calculateur!X146*VLOOKUP('Données projet'!$B$9,Paramètres!$A$1:$I$89,3,0)*0.475*44/12</f>
        <v>2.5657880506321278</v>
      </c>
      <c r="AB146" s="21">
        <f>EXP(-LN(2)/2)*AB145+(1-EXP(-LN(2)/2))/(LN(2)/2)*V146*Y146*VLOOKUP('Données projet'!$B$9,Paramètres!$A$1:$I$89,3,0)*0.475*44/12</f>
        <v>4.4592143998806218E-15</v>
      </c>
      <c r="AC146" s="22">
        <f t="shared" si="111"/>
        <v>9.5780893185158327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-4.758931027026848E-13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318.09371753144256</v>
      </c>
      <c r="AO146" s="59">
        <f t="shared" si="144"/>
        <v>298.61479562586919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0.90074435202056824</v>
      </c>
      <c r="AW146" s="21">
        <f>EXP(-LN(2)/2)*AW145+(1-EXP(-LN(2)/2))/(LN(2)/2)*AQ146*AT146*VLOOKUP('Données projet'!$B$10,Paramètres!$A$1:$I$89,3,0)*0.475*44/12</f>
        <v>2.9684990005076635E-16</v>
      </c>
      <c r="AX146" s="21">
        <f t="shared" si="114"/>
        <v>1.2739698333097194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35.999999999999943</v>
      </c>
      <c r="BE146" s="13">
        <f>BD146*VLOOKUP('Données projet'!$B$11,Paramètres!$A$1:$I$89,3,0)*VLOOKUP('Données projet'!$B$11,Paramètres!$A$1:$I$89,5,0)</f>
        <v>31.449599999999958</v>
      </c>
      <c r="BF146" s="13">
        <f t="shared" si="145"/>
        <v>9.7016318496336709</v>
      </c>
      <c r="BG146" s="20">
        <f t="shared" si="115"/>
        <v>71.671728804778567</v>
      </c>
      <c r="BH146" s="59">
        <f t="shared" si="116"/>
        <v>365.0050621381119</v>
      </c>
      <c r="BI146" s="59">
        <f ca="1">AVERAGE(OFFSET($BH$3,0,0,'Données projet'!$E$11+1,1))-AVERAGE(OFFSET($H$3,0,0,'Données projet'!$E$11+1,1))</f>
        <v>247.43282553724879</v>
      </c>
      <c r="BJ146" s="59">
        <f t="shared" si="146"/>
        <v>637.29471578895527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2.6996813033478897E-15</v>
      </c>
      <c r="BS146" s="22">
        <f t="shared" si="117"/>
        <v>2.6996813033478897E-15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4.6111381379887463E-14</v>
      </c>
      <c r="CA146" s="13">
        <f t="shared" si="147"/>
        <v>7.5804141040779151E-13</v>
      </c>
      <c r="CB146" s="20">
        <f t="shared" si="118"/>
        <v>1.4005661123635408E-12</v>
      </c>
      <c r="CC146" s="59">
        <f t="shared" si="119"/>
        <v>293.33333333333474</v>
      </c>
      <c r="CD146" s="59">
        <f ca="1">AVERAGE(OFFSET($CC$3,0,0,'Données projet'!$E$12+1,1))-AVERAGE(OFFSET($H$3,0,0,'Données projet'!$E$12+1,1))</f>
        <v>230.68538392491388</v>
      </c>
      <c r="CE146" s="59">
        <f t="shared" si="148"/>
        <v>267.97457956620724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0.37075670610367173</v>
      </c>
      <c r="CM146" s="21">
        <f>EXP(-LN(2)/2)*CM145+(1-EXP(-LN(2)/2))/(LN(2)/2)*CG146*CJ146*VLOOKUP('Données projet'!$B$12,Paramètres!$A$1:$I$89,3,0)*0.475*44/12</f>
        <v>1.076746773526679E-16</v>
      </c>
      <c r="CN146" s="22">
        <f t="shared" si="120"/>
        <v>0.37075670610367184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3.2366642699344085E-14</v>
      </c>
      <c r="CV146" s="13">
        <f t="shared" si="149"/>
        <v>5.5446527398450045E-13</v>
      </c>
      <c r="CW146" s="20">
        <f t="shared" si="121"/>
        <v>1.0220655882243624E-12</v>
      </c>
      <c r="CX146" s="59">
        <f t="shared" si="122"/>
        <v>293.33333333333434</v>
      </c>
      <c r="CY146" s="59">
        <f ca="1">AVERAGE(OFFSET($CX$3,0,0,'Données projet'!$E$13+1,1))-AVERAGE(OFFSET($H$3,0,0,'Données projet'!$E$13+1,1))</f>
        <v>242.1473060698724</v>
      </c>
      <c r="CZ146" s="59">
        <f t="shared" si="150"/>
        <v>96.127995920458659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0</v>
      </c>
      <c r="EP146" s="59">
        <f t="shared" si="154"/>
        <v>0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179.86010141761648</v>
      </c>
      <c r="T147" s="59">
        <f t="shared" si="142"/>
        <v>367.01744242396057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6.874794317101947</v>
      </c>
      <c r="AA147" s="21">
        <f>EXP(-LN(2)/25)*AA146+(1-EXP(-LN(2)/25))/(LN(2)/25)*Calculateur!V147*Calculateur!X147*VLOOKUP('Données projet'!$B$9,Paramètres!$A$1:$I$89,3,0)*0.475*44/12</f>
        <v>2.4956264414586626</v>
      </c>
      <c r="AB147" s="21">
        <f>EXP(-LN(2)/2)*AB146+(1-EXP(-LN(2)/2))/(LN(2)/2)*V147*Y147*VLOOKUP('Données projet'!$B$9,Paramètres!$A$1:$I$89,3,0)*0.475*44/12</f>
        <v>3.1531407409202887E-15</v>
      </c>
      <c r="AC147" s="22">
        <f t="shared" si="111"/>
        <v>9.3704207585606127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-4.758931027026848E-13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318.09371753144256</v>
      </c>
      <c r="AO147" s="59">
        <f t="shared" si="144"/>
        <v>298.61479562586919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0.87611345034647903</v>
      </c>
      <c r="AW147" s="21">
        <f>EXP(-LN(2)/2)*AW146+(1-EXP(-LN(2)/2))/(LN(2)/2)*AQ147*AT147*VLOOKUP('Données projet'!$B$10,Paramètres!$A$1:$I$89,3,0)*0.475*44/12</f>
        <v>2.0990457732044575E-16</v>
      </c>
      <c r="AX147" s="21">
        <f t="shared" si="114"/>
        <v>1.2420202075926152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35.999999999999943</v>
      </c>
      <c r="BE147" s="13">
        <f>BD147*VLOOKUP('Données projet'!$B$11,Paramètres!$A$1:$I$89,3,0)*VLOOKUP('Données projet'!$B$11,Paramètres!$A$1:$I$89,5,0)</f>
        <v>31.449599999999958</v>
      </c>
      <c r="BF147" s="13">
        <f t="shared" si="145"/>
        <v>9.7016318496336709</v>
      </c>
      <c r="BG147" s="20">
        <f t="shared" si="115"/>
        <v>71.671728804778567</v>
      </c>
      <c r="BH147" s="59">
        <f t="shared" si="116"/>
        <v>365.0050621381119</v>
      </c>
      <c r="BI147" s="59">
        <f ca="1">AVERAGE(OFFSET($BH$3,0,0,'Données projet'!$E$11+1,1))-AVERAGE(OFFSET($H$3,0,0,'Données projet'!$E$11+1,1))</f>
        <v>247.43282553724879</v>
      </c>
      <c r="BJ147" s="59">
        <f t="shared" si="146"/>
        <v>637.29471578895527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1.9089629566398296E-15</v>
      </c>
      <c r="BS147" s="22">
        <f t="shared" si="117"/>
        <v>1.9089629566398296E-15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4.6111381379887463E-14</v>
      </c>
      <c r="CA147" s="13">
        <f t="shared" si="147"/>
        <v>7.5804141040779151E-13</v>
      </c>
      <c r="CB147" s="20">
        <f t="shared" si="118"/>
        <v>1.4005661123635408E-12</v>
      </c>
      <c r="CC147" s="59">
        <f t="shared" si="119"/>
        <v>293.33333333333474</v>
      </c>
      <c r="CD147" s="59">
        <f ca="1">AVERAGE(OFFSET($CC$3,0,0,'Données projet'!$E$12+1,1))-AVERAGE(OFFSET($H$3,0,0,'Données projet'!$E$12+1,1))</f>
        <v>230.68538392491388</v>
      </c>
      <c r="CE147" s="59">
        <f t="shared" si="148"/>
        <v>267.97457956620724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0.36061834447801905</v>
      </c>
      <c r="CM147" s="21">
        <f>EXP(-LN(2)/2)*CM146+(1-EXP(-LN(2)/2))/(LN(2)/2)*CG147*CJ147*VLOOKUP('Données projet'!$B$12,Paramètres!$A$1:$I$89,3,0)*0.475*44/12</f>
        <v>7.6137494518145046E-17</v>
      </c>
      <c r="CN147" s="22">
        <f t="shared" si="120"/>
        <v>0.3606183444780191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3.2366642699344085E-14</v>
      </c>
      <c r="CV147" s="13">
        <f t="shared" si="149"/>
        <v>5.5446527398450045E-13</v>
      </c>
      <c r="CW147" s="20">
        <f t="shared" si="121"/>
        <v>1.0220655882243624E-12</v>
      </c>
      <c r="CX147" s="59">
        <f t="shared" si="122"/>
        <v>293.33333333333434</v>
      </c>
      <c r="CY147" s="59">
        <f ca="1">AVERAGE(OFFSET($CX$3,0,0,'Données projet'!$E$13+1,1))-AVERAGE(OFFSET($H$3,0,0,'Données projet'!$E$13+1,1))</f>
        <v>242.1473060698724</v>
      </c>
      <c r="CZ147" s="59">
        <f t="shared" si="150"/>
        <v>96.127995920458659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0</v>
      </c>
      <c r="EP147" s="59">
        <f t="shared" si="154"/>
        <v>0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179.86010141761648</v>
      </c>
      <c r="T148" s="59">
        <f t="shared" si="142"/>
        <v>367.01744242396057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6.7399837937540665</v>
      </c>
      <c r="AA148" s="21">
        <f>EXP(-LN(2)/25)*AA147+(1-EXP(-LN(2)/25))/(LN(2)/25)*Calculateur!V148*Calculateur!X148*VLOOKUP('Données projet'!$B$9,Paramètres!$A$1:$I$89,3,0)*0.475*44/12</f>
        <v>2.4273834051776846</v>
      </c>
      <c r="AB148" s="21">
        <f>EXP(-LN(2)/2)*AB147+(1-EXP(-LN(2)/2))/(LN(2)/2)*V148*Y148*VLOOKUP('Données projet'!$B$9,Paramètres!$A$1:$I$89,3,0)*0.475*44/12</f>
        <v>2.2296071999403109E-15</v>
      </c>
      <c r="AC148" s="22">
        <f t="shared" si="111"/>
        <v>9.1673671989317533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-4.758931027026848E-13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318.09371753144256</v>
      </c>
      <c r="AO148" s="59">
        <f t="shared" si="144"/>
        <v>298.61479562586919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0.85215608197395054</v>
      </c>
      <c r="AW148" s="21">
        <f>EXP(-LN(2)/2)*AW147+(1-EXP(-LN(2)/2))/(LN(2)/2)*AQ148*AT148*VLOOKUP('Données projet'!$B$10,Paramètres!$A$1:$I$89,3,0)*0.475*44/12</f>
        <v>1.4842495002538318E-16</v>
      </c>
      <c r="AX148" s="21">
        <f t="shared" si="114"/>
        <v>1.2108876308915748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35.999999999999943</v>
      </c>
      <c r="BE148" s="13">
        <f>BD148*VLOOKUP('Données projet'!$B$11,Paramètres!$A$1:$I$89,3,0)*VLOOKUP('Données projet'!$B$11,Paramètres!$A$1:$I$89,5,0)</f>
        <v>31.449599999999958</v>
      </c>
      <c r="BF148" s="13">
        <f t="shared" si="145"/>
        <v>9.7016318496336709</v>
      </c>
      <c r="BG148" s="20">
        <f t="shared" si="115"/>
        <v>71.671728804778567</v>
      </c>
      <c r="BH148" s="59">
        <f t="shared" si="116"/>
        <v>365.0050621381119</v>
      </c>
      <c r="BI148" s="59">
        <f ca="1">AVERAGE(OFFSET($BH$3,0,0,'Données projet'!$E$11+1,1))-AVERAGE(OFFSET($H$3,0,0,'Données projet'!$E$11+1,1))</f>
        <v>247.43282553724879</v>
      </c>
      <c r="BJ148" s="59">
        <f t="shared" si="146"/>
        <v>637.29471578895527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1.3498406516739448E-15</v>
      </c>
      <c r="BS148" s="22">
        <f t="shared" si="117"/>
        <v>1.3498406516739448E-15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4.6111381379887463E-14</v>
      </c>
      <c r="CA148" s="13">
        <f t="shared" si="147"/>
        <v>7.5804141040779151E-13</v>
      </c>
      <c r="CB148" s="20">
        <f t="shared" si="118"/>
        <v>1.4005661123635408E-12</v>
      </c>
      <c r="CC148" s="59">
        <f t="shared" si="119"/>
        <v>293.33333333333474</v>
      </c>
      <c r="CD148" s="59">
        <f ca="1">AVERAGE(OFFSET($CC$3,0,0,'Données projet'!$E$12+1,1))-AVERAGE(OFFSET($H$3,0,0,'Données projet'!$E$12+1,1))</f>
        <v>230.68538392491388</v>
      </c>
      <c r="CE148" s="59">
        <f t="shared" si="148"/>
        <v>267.97457956620724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0.35075721688417311</v>
      </c>
      <c r="CM148" s="21">
        <f>EXP(-LN(2)/2)*CM147+(1-EXP(-LN(2)/2))/(LN(2)/2)*CG148*CJ148*VLOOKUP('Données projet'!$B$12,Paramètres!$A$1:$I$89,3,0)*0.475*44/12</f>
        <v>5.3837338676333952E-17</v>
      </c>
      <c r="CN148" s="22">
        <f t="shared" si="120"/>
        <v>0.35075721688417316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3.2366642699344085E-14</v>
      </c>
      <c r="CV148" s="13">
        <f t="shared" si="149"/>
        <v>5.5446527398450045E-13</v>
      </c>
      <c r="CW148" s="20">
        <f t="shared" si="121"/>
        <v>1.0220655882243624E-12</v>
      </c>
      <c r="CX148" s="59">
        <f t="shared" si="122"/>
        <v>293.33333333333434</v>
      </c>
      <c r="CY148" s="59">
        <f ca="1">AVERAGE(OFFSET($CX$3,0,0,'Données projet'!$E$13+1,1))-AVERAGE(OFFSET($H$3,0,0,'Données projet'!$E$13+1,1))</f>
        <v>242.1473060698724</v>
      </c>
      <c r="CZ148" s="59">
        <f t="shared" si="150"/>
        <v>96.127995920458659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0</v>
      </c>
      <c r="EP148" s="59">
        <f t="shared" si="154"/>
        <v>0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179.86010141761648</v>
      </c>
      <c r="T149" s="59">
        <f t="shared" si="142"/>
        <v>367.01744242396057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6.6078168225427376</v>
      </c>
      <c r="AA149" s="21">
        <f>EXP(-LN(2)/25)*AA148+(1-EXP(-LN(2)/25))/(LN(2)/25)*Calculateur!V149*Calculateur!X149*VLOOKUP('Données projet'!$B$9,Paramètres!$A$1:$I$89,3,0)*0.475*44/12</f>
        <v>2.3610064783125555</v>
      </c>
      <c r="AB149" s="21">
        <f>EXP(-LN(2)/2)*AB148+(1-EXP(-LN(2)/2))/(LN(2)/2)*V149*Y149*VLOOKUP('Données projet'!$B$9,Paramètres!$A$1:$I$89,3,0)*0.475*44/12</f>
        <v>1.5765703704601444E-15</v>
      </c>
      <c r="AC149" s="22">
        <f t="shared" si="111"/>
        <v>8.9688233008552949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-4.758931027026848E-13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318.09371753144256</v>
      </c>
      <c r="AO149" s="59">
        <f t="shared" si="144"/>
        <v>298.61479562586919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0.82885382909943217</v>
      </c>
      <c r="AW149" s="21">
        <f>EXP(-LN(2)/2)*AW148+(1-EXP(-LN(2)/2))/(LN(2)/2)*AQ149*AT149*VLOOKUP('Données projet'!$B$10,Paramètres!$A$1:$I$89,3,0)*0.475*44/12</f>
        <v>1.0495228866022288E-16</v>
      </c>
      <c r="AX149" s="21">
        <f t="shared" si="114"/>
        <v>1.1805508711474211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35.999999999999943</v>
      </c>
      <c r="BE149" s="13">
        <f>BD149*VLOOKUP('Données projet'!$B$11,Paramètres!$A$1:$I$89,3,0)*VLOOKUP('Données projet'!$B$11,Paramètres!$A$1:$I$89,5,0)</f>
        <v>31.449599999999958</v>
      </c>
      <c r="BF149" s="13">
        <f t="shared" si="145"/>
        <v>9.7016318496336709</v>
      </c>
      <c r="BG149" s="20">
        <f t="shared" si="115"/>
        <v>71.671728804778567</v>
      </c>
      <c r="BH149" s="59">
        <f t="shared" si="116"/>
        <v>365.0050621381119</v>
      </c>
      <c r="BI149" s="59">
        <f ca="1">AVERAGE(OFFSET($BH$3,0,0,'Données projet'!$E$11+1,1))-AVERAGE(OFFSET($H$3,0,0,'Données projet'!$E$11+1,1))</f>
        <v>247.43282553724879</v>
      </c>
      <c r="BJ149" s="59">
        <f t="shared" si="146"/>
        <v>637.29471578895527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9.5448147831991482E-16</v>
      </c>
      <c r="BS149" s="22">
        <f t="shared" si="117"/>
        <v>9.5448147831991482E-16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4.6111381379887463E-14</v>
      </c>
      <c r="CA149" s="13">
        <f t="shared" si="147"/>
        <v>7.5804141040779151E-13</v>
      </c>
      <c r="CB149" s="20">
        <f t="shared" si="118"/>
        <v>1.4005661123635408E-12</v>
      </c>
      <c r="CC149" s="59">
        <f t="shared" si="119"/>
        <v>293.33333333333474</v>
      </c>
      <c r="CD149" s="59">
        <f ca="1">AVERAGE(OFFSET($CC$3,0,0,'Données projet'!$E$12+1,1))-AVERAGE(OFFSET($H$3,0,0,'Données projet'!$E$12+1,1))</f>
        <v>230.68538392491388</v>
      </c>
      <c r="CE149" s="59">
        <f t="shared" si="148"/>
        <v>267.97457956620724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0.34116574234295505</v>
      </c>
      <c r="CM149" s="21">
        <f>EXP(-LN(2)/2)*CM148+(1-EXP(-LN(2)/2))/(LN(2)/2)*CG149*CJ149*VLOOKUP('Données projet'!$B$12,Paramètres!$A$1:$I$89,3,0)*0.475*44/12</f>
        <v>3.8068747259072523E-17</v>
      </c>
      <c r="CN149" s="22">
        <f t="shared" si="120"/>
        <v>0.3411657423429551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3.2366642699344085E-14</v>
      </c>
      <c r="CV149" s="13">
        <f t="shared" si="149"/>
        <v>5.5446527398450045E-13</v>
      </c>
      <c r="CW149" s="20">
        <f t="shared" si="121"/>
        <v>1.0220655882243624E-12</v>
      </c>
      <c r="CX149" s="59">
        <f t="shared" si="122"/>
        <v>293.33333333333434</v>
      </c>
      <c r="CY149" s="59">
        <f ca="1">AVERAGE(OFFSET($CX$3,0,0,'Données projet'!$E$13+1,1))-AVERAGE(OFFSET($H$3,0,0,'Données projet'!$E$13+1,1))</f>
        <v>242.1473060698724</v>
      </c>
      <c r="CZ149" s="59">
        <f t="shared" si="150"/>
        <v>96.127995920458659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0</v>
      </c>
      <c r="EP149" s="59">
        <f t="shared" si="154"/>
        <v>0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179.86010141761648</v>
      </c>
      <c r="T150" s="59">
        <f t="shared" si="142"/>
        <v>367.01744242396057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6.4782415650229703</v>
      </c>
      <c r="AA150" s="21">
        <f>EXP(-LN(2)/25)*AA149+(1-EXP(-LN(2)/25))/(LN(2)/25)*Calculateur!V150*Calculateur!X150*VLOOKUP('Données projet'!$B$9,Paramètres!$A$1:$I$89,3,0)*0.475*44/12</f>
        <v>2.2964446320031642</v>
      </c>
      <c r="AB150" s="21">
        <f>EXP(-LN(2)/2)*AB149+(1-EXP(-LN(2)/2))/(LN(2)/2)*V150*Y150*VLOOKUP('Données projet'!$B$9,Paramètres!$A$1:$I$89,3,0)*0.475*44/12</f>
        <v>1.1148035999701555E-15</v>
      </c>
      <c r="AC150" s="22">
        <f t="shared" si="111"/>
        <v>8.7746861970261367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-4.758931027026848E-13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318.09371753144256</v>
      </c>
      <c r="AO150" s="59">
        <f t="shared" si="144"/>
        <v>298.61479562586919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0.8061887775551797</v>
      </c>
      <c r="AW150" s="21">
        <f>EXP(-LN(2)/2)*AW149+(1-EXP(-LN(2)/2))/(LN(2)/2)*AQ150*AT150*VLOOKUP('Données projet'!$B$10,Paramètres!$A$1:$I$89,3,0)*0.475*44/12</f>
        <v>7.4212475012691589E-17</v>
      </c>
      <c r="AX150" s="21">
        <f t="shared" si="114"/>
        <v>1.1509892551226217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35.999999999999943</v>
      </c>
      <c r="BE150" s="13">
        <f>BD150*VLOOKUP('Données projet'!$B$11,Paramètres!$A$1:$I$89,3,0)*VLOOKUP('Données projet'!$B$11,Paramètres!$A$1:$I$89,5,0)</f>
        <v>31.449599999999958</v>
      </c>
      <c r="BF150" s="13">
        <f t="shared" si="145"/>
        <v>9.7016318496336709</v>
      </c>
      <c r="BG150" s="20">
        <f t="shared" si="115"/>
        <v>71.671728804778567</v>
      </c>
      <c r="BH150" s="59">
        <f t="shared" si="116"/>
        <v>365.0050621381119</v>
      </c>
      <c r="BI150" s="59">
        <f ca="1">AVERAGE(OFFSET($BH$3,0,0,'Données projet'!$E$11+1,1))-AVERAGE(OFFSET($H$3,0,0,'Données projet'!$E$11+1,1))</f>
        <v>247.43282553724879</v>
      </c>
      <c r="BJ150" s="59">
        <f t="shared" si="146"/>
        <v>637.29471578895527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6.7492032583697242E-16</v>
      </c>
      <c r="BS150" s="22">
        <f t="shared" si="117"/>
        <v>6.7492032583697242E-16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4.6111381379887463E-14</v>
      </c>
      <c r="CA150" s="13">
        <f t="shared" si="147"/>
        <v>7.5804141040779151E-13</v>
      </c>
      <c r="CB150" s="20">
        <f t="shared" si="118"/>
        <v>1.4005661123635408E-12</v>
      </c>
      <c r="CC150" s="59">
        <f t="shared" si="119"/>
        <v>293.33333333333474</v>
      </c>
      <c r="CD150" s="59">
        <f ca="1">AVERAGE(OFFSET($CC$3,0,0,'Données projet'!$E$12+1,1))-AVERAGE(OFFSET($H$3,0,0,'Données projet'!$E$12+1,1))</f>
        <v>230.68538392491388</v>
      </c>
      <c r="CE150" s="59">
        <f t="shared" si="148"/>
        <v>267.97457956620724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0.33183654717746031</v>
      </c>
      <c r="CM150" s="21">
        <f>EXP(-LN(2)/2)*CM149+(1-EXP(-LN(2)/2))/(LN(2)/2)*CG150*CJ150*VLOOKUP('Données projet'!$B$12,Paramètres!$A$1:$I$89,3,0)*0.475*44/12</f>
        <v>2.6918669338166976E-17</v>
      </c>
      <c r="CN150" s="22">
        <f t="shared" si="120"/>
        <v>0.33183654717746031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3.2366642699344085E-14</v>
      </c>
      <c r="CV150" s="13">
        <f t="shared" si="149"/>
        <v>5.5446527398450045E-13</v>
      </c>
      <c r="CW150" s="20">
        <f t="shared" si="121"/>
        <v>1.0220655882243624E-12</v>
      </c>
      <c r="CX150" s="59">
        <f t="shared" si="122"/>
        <v>293.33333333333434</v>
      </c>
      <c r="CY150" s="59">
        <f ca="1">AVERAGE(OFFSET($CX$3,0,0,'Données projet'!$E$13+1,1))-AVERAGE(OFFSET($H$3,0,0,'Données projet'!$E$13+1,1))</f>
        <v>242.1473060698724</v>
      </c>
      <c r="CZ150" s="59">
        <f t="shared" si="150"/>
        <v>96.127995920458659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0</v>
      </c>
      <c r="EP150" s="59">
        <f t="shared" si="154"/>
        <v>0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179.86010141761648</v>
      </c>
      <c r="T151" s="59">
        <f t="shared" si="142"/>
        <v>367.01744242396057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6.3512071992700623</v>
      </c>
      <c r="AA151" s="21">
        <f>EXP(-LN(2)/25)*AA150+(1-EXP(-LN(2)/25))/(LN(2)/25)*Calculateur!V151*Calculateur!X151*VLOOKUP('Données projet'!$B$9,Paramètres!$A$1:$I$89,3,0)*0.475*44/12</f>
        <v>2.2336482327762632</v>
      </c>
      <c r="AB151" s="21">
        <f>EXP(-LN(2)/2)*AB150+(1-EXP(-LN(2)/2))/(LN(2)/2)*V151*Y151*VLOOKUP('Données projet'!$B$9,Paramètres!$A$1:$I$89,3,0)*0.475*44/12</f>
        <v>7.8828518523007219E-16</v>
      </c>
      <c r="AC151" s="22">
        <f t="shared" si="111"/>
        <v>8.5848554320463251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-4.758931027026848E-13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318.09371753144256</v>
      </c>
      <c r="AO151" s="59">
        <f t="shared" si="144"/>
        <v>298.61479562586919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0.78414350303730807</v>
      </c>
      <c r="AW151" s="21">
        <f>EXP(-LN(2)/2)*AW150+(1-EXP(-LN(2)/2))/(LN(2)/2)*AQ151*AT151*VLOOKUP('Données projet'!$B$10,Paramètres!$A$1:$I$89,3,0)*0.475*44/12</f>
        <v>5.2476144330111438E-17</v>
      </c>
      <c r="AX151" s="21">
        <f t="shared" si="114"/>
        <v>1.1221826535471777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35.999999999999943</v>
      </c>
      <c r="BE151" s="13">
        <f>BD151*VLOOKUP('Données projet'!$B$11,Paramètres!$A$1:$I$89,3,0)*VLOOKUP('Données projet'!$B$11,Paramètres!$A$1:$I$89,5,0)</f>
        <v>31.449599999999958</v>
      </c>
      <c r="BF151" s="13">
        <f t="shared" si="145"/>
        <v>9.7016318496336709</v>
      </c>
      <c r="BG151" s="20">
        <f t="shared" si="115"/>
        <v>71.671728804778567</v>
      </c>
      <c r="BH151" s="59">
        <f t="shared" si="116"/>
        <v>365.0050621381119</v>
      </c>
      <c r="BI151" s="59">
        <f ca="1">AVERAGE(OFFSET($BH$3,0,0,'Données projet'!$E$11+1,1))-AVERAGE(OFFSET($H$3,0,0,'Données projet'!$E$11+1,1))</f>
        <v>247.43282553724879</v>
      </c>
      <c r="BJ151" s="59">
        <f t="shared" si="146"/>
        <v>637.29471578895527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4.7724073915995741E-16</v>
      </c>
      <c r="BS151" s="22">
        <f t="shared" si="117"/>
        <v>4.7724073915995741E-16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4.6111381379887463E-14</v>
      </c>
      <c r="CA151" s="13">
        <f t="shared" si="147"/>
        <v>7.5804141040779151E-13</v>
      </c>
      <c r="CB151" s="20">
        <f t="shared" si="118"/>
        <v>1.4005661123635408E-12</v>
      </c>
      <c r="CC151" s="59">
        <f t="shared" si="119"/>
        <v>293.33333333333474</v>
      </c>
      <c r="CD151" s="59">
        <f ca="1">AVERAGE(OFFSET($CC$3,0,0,'Données projet'!$E$12+1,1))-AVERAGE(OFFSET($H$3,0,0,'Données projet'!$E$12+1,1))</f>
        <v>230.68538392491388</v>
      </c>
      <c r="CE151" s="59">
        <f t="shared" si="148"/>
        <v>267.97457956620724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0.32276245934436704</v>
      </c>
      <c r="CM151" s="21">
        <f>EXP(-LN(2)/2)*CM150+(1-EXP(-LN(2)/2))/(LN(2)/2)*CG151*CJ151*VLOOKUP('Données projet'!$B$12,Paramètres!$A$1:$I$89,3,0)*0.475*44/12</f>
        <v>1.9034373629536262E-17</v>
      </c>
      <c r="CN151" s="22">
        <f t="shared" si="120"/>
        <v>0.32276245934436704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3.2366642699344085E-14</v>
      </c>
      <c r="CV151" s="13">
        <f t="shared" si="149"/>
        <v>5.5446527398450045E-13</v>
      </c>
      <c r="CW151" s="20">
        <f t="shared" si="121"/>
        <v>1.0220655882243624E-12</v>
      </c>
      <c r="CX151" s="59">
        <f t="shared" si="122"/>
        <v>293.33333333333434</v>
      </c>
      <c r="CY151" s="59">
        <f ca="1">AVERAGE(OFFSET($CX$3,0,0,'Données projet'!$E$13+1,1))-AVERAGE(OFFSET($H$3,0,0,'Données projet'!$E$13+1,1))</f>
        <v>242.1473060698724</v>
      </c>
      <c r="CZ151" s="59">
        <f t="shared" si="150"/>
        <v>96.127995920458659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0</v>
      </c>
      <c r="EP151" s="59">
        <f t="shared" si="154"/>
        <v>0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179.86010141761648</v>
      </c>
      <c r="T152" s="59">
        <f t="shared" si="142"/>
        <v>367.01744242396057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6.2266638999462565</v>
      </c>
      <c r="AA152" s="21">
        <f>EXP(-LN(2)/25)*AA151+(1-EXP(-LN(2)/25))/(LN(2)/25)*Calculateur!V152*Calculateur!X152*VLOOKUP('Données projet'!$B$9,Paramètres!$A$1:$I$89,3,0)*0.475*44/12</f>
        <v>2.1725690043885408</v>
      </c>
      <c r="AB152" s="21">
        <f>EXP(-LN(2)/2)*AB151+(1-EXP(-LN(2)/2))/(LN(2)/2)*V152*Y152*VLOOKUP('Données projet'!$B$9,Paramètres!$A$1:$I$89,3,0)*0.475*44/12</f>
        <v>5.5740179998507773E-16</v>
      </c>
      <c r="AC152" s="22">
        <f t="shared" si="111"/>
        <v>8.3992329043347969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-4.758931027026848E-13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318.09371753144256</v>
      </c>
      <c r="AO152" s="59">
        <f t="shared" si="144"/>
        <v>298.61479562586919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0.76270105771043828</v>
      </c>
      <c r="AW152" s="21">
        <f>EXP(-LN(2)/2)*AW151+(1-EXP(-LN(2)/2))/(LN(2)/2)*AQ152*AT152*VLOOKUP('Données projet'!$B$10,Paramètres!$A$1:$I$89,3,0)*0.475*44/12</f>
        <v>3.7106237506345794E-17</v>
      </c>
      <c r="AX152" s="21">
        <f t="shared" si="114"/>
        <v>1.0941114666623324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35.999999999999943</v>
      </c>
      <c r="BE152" s="13">
        <f>BD152*VLOOKUP('Données projet'!$B$11,Paramètres!$A$1:$I$89,3,0)*VLOOKUP('Données projet'!$B$11,Paramètres!$A$1:$I$89,5,0)</f>
        <v>31.449599999999958</v>
      </c>
      <c r="BF152" s="13">
        <f t="shared" si="145"/>
        <v>9.7016318496336709</v>
      </c>
      <c r="BG152" s="20">
        <f t="shared" si="115"/>
        <v>71.671728804778567</v>
      </c>
      <c r="BH152" s="59">
        <f t="shared" si="116"/>
        <v>365.0050621381119</v>
      </c>
      <c r="BI152" s="59">
        <f ca="1">AVERAGE(OFFSET($BH$3,0,0,'Données projet'!$E$11+1,1))-AVERAGE(OFFSET($H$3,0,0,'Données projet'!$E$11+1,1))</f>
        <v>247.43282553724879</v>
      </c>
      <c r="BJ152" s="59">
        <f t="shared" si="146"/>
        <v>637.29471578895527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3.3746016291848621E-16</v>
      </c>
      <c r="BS152" s="22">
        <f t="shared" si="117"/>
        <v>3.3746016291848621E-16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4.6111381379887463E-14</v>
      </c>
      <c r="CA152" s="13">
        <f t="shared" si="147"/>
        <v>7.5804141040779151E-13</v>
      </c>
      <c r="CB152" s="20">
        <f t="shared" si="118"/>
        <v>1.4005661123635408E-12</v>
      </c>
      <c r="CC152" s="59">
        <f t="shared" si="119"/>
        <v>293.33333333333474</v>
      </c>
      <c r="CD152" s="59">
        <f ca="1">AVERAGE(OFFSET($CC$3,0,0,'Données projet'!$E$12+1,1))-AVERAGE(OFFSET($H$3,0,0,'Données projet'!$E$12+1,1))</f>
        <v>230.68538392491388</v>
      </c>
      <c r="CE152" s="59">
        <f t="shared" si="148"/>
        <v>267.97457956620724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0.31393650292025527</v>
      </c>
      <c r="CM152" s="21">
        <f>EXP(-LN(2)/2)*CM151+(1-EXP(-LN(2)/2))/(LN(2)/2)*CG152*CJ152*VLOOKUP('Données projet'!$B$12,Paramètres!$A$1:$I$89,3,0)*0.475*44/12</f>
        <v>1.3459334669083488E-17</v>
      </c>
      <c r="CN152" s="22">
        <f t="shared" si="120"/>
        <v>0.31393650292025527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3.2366642699344085E-14</v>
      </c>
      <c r="CV152" s="13">
        <f t="shared" si="149"/>
        <v>5.5446527398450045E-13</v>
      </c>
      <c r="CW152" s="20">
        <f t="shared" si="121"/>
        <v>1.0220655882243624E-12</v>
      </c>
      <c r="CX152" s="59">
        <f t="shared" si="122"/>
        <v>293.33333333333434</v>
      </c>
      <c r="CY152" s="59">
        <f ca="1">AVERAGE(OFFSET($CX$3,0,0,'Données projet'!$E$13+1,1))-AVERAGE(OFFSET($H$3,0,0,'Données projet'!$E$13+1,1))</f>
        <v>242.1473060698724</v>
      </c>
      <c r="CZ152" s="59">
        <f t="shared" si="150"/>
        <v>96.127995920458659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0</v>
      </c>
      <c r="EP152" s="59">
        <f t="shared" si="154"/>
        <v>0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179.86010141761648</v>
      </c>
      <c r="T153" s="59">
        <f t="shared" si="142"/>
        <v>367.01744242396057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6.1045628187582786</v>
      </c>
      <c r="AA153" s="21">
        <f>EXP(-LN(2)/25)*AA152+(1-EXP(-LN(2)/25))/(LN(2)/25)*Calculateur!V153*Calculateur!X153*VLOOKUP('Données projet'!$B$9,Paramètres!$A$1:$I$89,3,0)*0.475*44/12</f>
        <v>2.1131599907130978</v>
      </c>
      <c r="AB153" s="21">
        <f>EXP(-LN(2)/2)*AB152+(1-EXP(-LN(2)/2))/(LN(2)/2)*V153*Y153*VLOOKUP('Données projet'!$B$9,Paramètres!$A$1:$I$89,3,0)*0.475*44/12</f>
        <v>3.9414259261503609E-16</v>
      </c>
      <c r="AC153" s="22">
        <f t="shared" si="111"/>
        <v>8.2177228094713755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-4.758931027026848E-13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318.09371753144256</v>
      </c>
      <c r="AO153" s="59">
        <f t="shared" si="144"/>
        <v>298.61479562586919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0.74184495717864085</v>
      </c>
      <c r="AW153" s="21">
        <f>EXP(-LN(2)/2)*AW152+(1-EXP(-LN(2)/2))/(LN(2)/2)*AQ153*AT153*VLOOKUP('Données projet'!$B$10,Paramètres!$A$1:$I$89,3,0)*0.475*44/12</f>
        <v>2.6238072165055719E-17</v>
      </c>
      <c r="AX153" s="21">
        <f t="shared" si="114"/>
        <v>1.0667566101513781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35.999999999999943</v>
      </c>
      <c r="BE153" s="13">
        <f>BD153*VLOOKUP('Données projet'!$B$11,Paramètres!$A$1:$I$89,3,0)*VLOOKUP('Données projet'!$B$11,Paramètres!$A$1:$I$89,5,0)</f>
        <v>31.449599999999958</v>
      </c>
      <c r="BF153" s="13">
        <f t="shared" si="145"/>
        <v>9.7016318496336709</v>
      </c>
      <c r="BG153" s="20">
        <f t="shared" si="115"/>
        <v>71.671728804778567</v>
      </c>
      <c r="BH153" s="59">
        <f t="shared" si="116"/>
        <v>365.0050621381119</v>
      </c>
      <c r="BI153" s="59">
        <f ca="1">AVERAGE(OFFSET($BH$3,0,0,'Données projet'!$E$11+1,1))-AVERAGE(OFFSET($H$3,0,0,'Données projet'!$E$11+1,1))</f>
        <v>247.43282553724879</v>
      </c>
      <c r="BJ153" s="59">
        <f t="shared" si="146"/>
        <v>637.29471578895527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2.386203695799787E-16</v>
      </c>
      <c r="BS153" s="22">
        <f t="shared" si="117"/>
        <v>2.386203695799787E-16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4.6111381379887463E-14</v>
      </c>
      <c r="CA153" s="13">
        <f t="shared" si="147"/>
        <v>7.5804141040779151E-13</v>
      </c>
      <c r="CB153" s="20">
        <f t="shared" si="118"/>
        <v>1.4005661123635408E-12</v>
      </c>
      <c r="CC153" s="59">
        <f t="shared" si="119"/>
        <v>293.33333333333474</v>
      </c>
      <c r="CD153" s="59">
        <f ca="1">AVERAGE(OFFSET($CC$3,0,0,'Données projet'!$E$12+1,1))-AVERAGE(OFFSET($H$3,0,0,'Données projet'!$E$12+1,1))</f>
        <v>230.68538392491388</v>
      </c>
      <c r="CE153" s="59">
        <f t="shared" si="148"/>
        <v>267.97457956620724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0.30535189273869773</v>
      </c>
      <c r="CM153" s="21">
        <f>EXP(-LN(2)/2)*CM152+(1-EXP(-LN(2)/2))/(LN(2)/2)*CG153*CJ153*VLOOKUP('Données projet'!$B$12,Paramètres!$A$1:$I$89,3,0)*0.475*44/12</f>
        <v>9.5171868147681308E-18</v>
      </c>
      <c r="CN153" s="22">
        <f t="shared" si="120"/>
        <v>0.30535189273869773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3.2366642699344085E-14</v>
      </c>
      <c r="CV153" s="13">
        <f t="shared" si="149"/>
        <v>5.5446527398450045E-13</v>
      </c>
      <c r="CW153" s="20">
        <f t="shared" si="121"/>
        <v>1.0220655882243624E-12</v>
      </c>
      <c r="CX153" s="59">
        <f t="shared" si="122"/>
        <v>293.33333333333434</v>
      </c>
      <c r="CY153" s="59">
        <f ca="1">AVERAGE(OFFSET($CX$3,0,0,'Données projet'!$E$13+1,1))-AVERAGE(OFFSET($H$3,0,0,'Données projet'!$E$13+1,1))</f>
        <v>242.1473060698724</v>
      </c>
      <c r="CZ153" s="59">
        <f t="shared" si="150"/>
        <v>96.127995920458659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0</v>
      </c>
      <c r="EP153" s="59">
        <f t="shared" si="154"/>
        <v>0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179.86010141761648</v>
      </c>
      <c r="T154" s="59">
        <f t="shared" si="142"/>
        <v>367.01744242396057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5.9848560652980911</v>
      </c>
      <c r="AA154" s="21">
        <f>EXP(-LN(2)/25)*AA153+(1-EXP(-LN(2)/25))/(LN(2)/25)*Calculateur!V154*Calculateur!X154*VLOOKUP('Données projet'!$B$9,Paramètres!$A$1:$I$89,3,0)*0.475*44/12</f>
        <v>2.0553755196407941</v>
      </c>
      <c r="AB154" s="21">
        <f>EXP(-LN(2)/2)*AB153+(1-EXP(-LN(2)/2))/(LN(2)/2)*V154*Y154*VLOOKUP('Données projet'!$B$9,Paramètres!$A$1:$I$89,3,0)*0.475*44/12</f>
        <v>2.7870089999253886E-16</v>
      </c>
      <c r="AC154" s="22">
        <f t="shared" ref="AC154:AC203" si="163">SUM(Z154:AB154)</f>
        <v>8.0402315849388852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-4.758931027026848E-13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318.09371753144256</v>
      </c>
      <c r="AO154" s="59">
        <f t="shared" si="144"/>
        <v>298.61479562586919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0.72155916781266016</v>
      </c>
      <c r="AW154" s="21">
        <f>EXP(-LN(2)/2)*AW153+(1-EXP(-LN(2)/2))/(LN(2)/2)*AQ154*AT154*VLOOKUP('Données projet'!$B$10,Paramètres!$A$1:$I$89,3,0)*0.475*44/12</f>
        <v>1.8553118753172897E-17</v>
      </c>
      <c r="AX154" s="21">
        <f t="shared" ref="AX154:AX203" si="166">SUM(AU154:AW154)</f>
        <v>1.0400995014471419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35.999999999999943</v>
      </c>
      <c r="BE154" s="13">
        <f>BD154*VLOOKUP('Données projet'!$B$11,Paramètres!$A$1:$I$89,3,0)*VLOOKUP('Données projet'!$B$11,Paramètres!$A$1:$I$89,5,0)</f>
        <v>31.449599999999958</v>
      </c>
      <c r="BF154" s="13">
        <f t="shared" ref="BF154:BF203" si="167">EXP(-1.0587+0.8836*LN(BE154)+0.284)</f>
        <v>9.7016318496336709</v>
      </c>
      <c r="BG154" s="20">
        <f t="shared" ref="BG154:BG203" si="168">(BE154+BF154)*0.475*44/12</f>
        <v>71.671728804778567</v>
      </c>
      <c r="BH154" s="59">
        <f t="shared" si="116"/>
        <v>365.0050621381119</v>
      </c>
      <c r="BI154" s="59">
        <f ca="1">AVERAGE(OFFSET($BH$3,0,0,'Données projet'!$E$11+1,1))-AVERAGE(OFFSET($H$3,0,0,'Données projet'!$E$11+1,1))</f>
        <v>247.43282553724879</v>
      </c>
      <c r="BJ154" s="59">
        <f t="shared" si="146"/>
        <v>637.29471578895527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1.687300814592431E-16</v>
      </c>
      <c r="BS154" s="22">
        <f t="shared" ref="BS154:BS203" si="169">SUM(BP154:BR154)</f>
        <v>1.687300814592431E-16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4.6111381379887463E-14</v>
      </c>
      <c r="CA154" s="13">
        <f t="shared" ref="CA154:CA203" si="170">EXP(-1.0587+0.8836*LN(BZ154)+0.284)</f>
        <v>7.5804141040779151E-13</v>
      </c>
      <c r="CB154" s="20">
        <f t="shared" ref="CB154:CB203" si="171">(BZ154+CA154)*0.475*44/12</f>
        <v>1.4005661123635408E-12</v>
      </c>
      <c r="CC154" s="59">
        <f t="shared" si="119"/>
        <v>293.33333333333474</v>
      </c>
      <c r="CD154" s="59">
        <f ca="1">AVERAGE(OFFSET($CC$3,0,0,'Données projet'!$E$12+1,1))-AVERAGE(OFFSET($H$3,0,0,'Données projet'!$E$12+1,1))</f>
        <v>230.68538392491388</v>
      </c>
      <c r="CE154" s="59">
        <f t="shared" si="148"/>
        <v>267.97457956620724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0.29700202917399987</v>
      </c>
      <c r="CM154" s="21">
        <f>EXP(-LN(2)/2)*CM153+(1-EXP(-LN(2)/2))/(LN(2)/2)*CG154*CJ154*VLOOKUP('Données projet'!$B$12,Paramètres!$A$1:$I$89,3,0)*0.475*44/12</f>
        <v>6.7296673345417439E-18</v>
      </c>
      <c r="CN154" s="22">
        <f t="shared" ref="CN154:CN203" si="172">SUM(CK154:CM154)</f>
        <v>0.29700202917399987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3.2366642699344085E-14</v>
      </c>
      <c r="CV154" s="13">
        <f t="shared" ref="CV154:CV203" si="173">EXP(-1.0587+0.8836*LN(CU154)+0.284)</f>
        <v>5.5446527398450045E-13</v>
      </c>
      <c r="CW154" s="20">
        <f t="shared" ref="CW154:CW203" si="174">(CU154+CV154)*0.475*44/12</f>
        <v>1.0220655882243624E-12</v>
      </c>
      <c r="CX154" s="59">
        <f t="shared" si="122"/>
        <v>293.33333333333434</v>
      </c>
      <c r="CY154" s="59">
        <f ca="1">AVERAGE(OFFSET($CX$3,0,0,'Données projet'!$E$13+1,1))-AVERAGE(OFFSET($H$3,0,0,'Données projet'!$E$13+1,1))</f>
        <v>242.1473060698724</v>
      </c>
      <c r="CZ154" s="59">
        <f t="shared" si="150"/>
        <v>96.127995920458659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0</v>
      </c>
      <c r="EP154" s="59">
        <f t="shared" si="154"/>
        <v>0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179.86010141761648</v>
      </c>
      <c r="T155" s="59">
        <f t="shared" si="142"/>
        <v>367.01744242396057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5.8674966882593482</v>
      </c>
      <c r="AA155" s="21">
        <f>EXP(-LN(2)/25)*AA154+(1-EXP(-LN(2)/25))/(LN(2)/25)*Calculateur!V155*Calculateur!X155*VLOOKUP('Données projet'!$B$9,Paramètres!$A$1:$I$89,3,0)*0.475*44/12</f>
        <v>1.9991711679687156</v>
      </c>
      <c r="AB155" s="21">
        <f>EXP(-LN(2)/2)*AB154+(1-EXP(-LN(2)/2))/(LN(2)/2)*V155*Y155*VLOOKUP('Données projet'!$B$9,Paramètres!$A$1:$I$89,3,0)*0.475*44/12</f>
        <v>1.9707129630751805E-16</v>
      </c>
      <c r="AC155" s="22">
        <f t="shared" si="163"/>
        <v>7.8666678562280641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-4.758931027026848E-13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318.09371753144256</v>
      </c>
      <c r="AO155" s="59">
        <f t="shared" si="144"/>
        <v>298.61479562586919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0.70182809442367544</v>
      </c>
      <c r="AW155" s="21">
        <f>EXP(-LN(2)/2)*AW154+(1-EXP(-LN(2)/2))/(LN(2)/2)*AQ155*AT155*VLOOKUP('Données projet'!$B$10,Paramètres!$A$1:$I$89,3,0)*0.475*44/12</f>
        <v>1.3119036082527859E-17</v>
      </c>
      <c r="AX155" s="21">
        <f t="shared" si="166"/>
        <v>1.0141220464060039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35.999999999999943</v>
      </c>
      <c r="BE155" s="13">
        <f>BD155*VLOOKUP('Données projet'!$B$11,Paramètres!$A$1:$I$89,3,0)*VLOOKUP('Données projet'!$B$11,Paramètres!$A$1:$I$89,5,0)</f>
        <v>31.449599999999958</v>
      </c>
      <c r="BF155" s="13">
        <f t="shared" si="167"/>
        <v>9.7016318496336709</v>
      </c>
      <c r="BG155" s="20">
        <f t="shared" si="168"/>
        <v>71.671728804778567</v>
      </c>
      <c r="BH155" s="59">
        <f t="shared" si="116"/>
        <v>365.0050621381119</v>
      </c>
      <c r="BI155" s="59">
        <f ca="1">AVERAGE(OFFSET($BH$3,0,0,'Données projet'!$E$11+1,1))-AVERAGE(OFFSET($H$3,0,0,'Données projet'!$E$11+1,1))</f>
        <v>247.43282553724879</v>
      </c>
      <c r="BJ155" s="59">
        <f t="shared" si="146"/>
        <v>637.29471578895527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1.1931018478998935E-16</v>
      </c>
      <c r="BS155" s="22">
        <f t="shared" si="169"/>
        <v>1.1931018478998935E-16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4.6111381379887463E-14</v>
      </c>
      <c r="CA155" s="13">
        <f t="shared" si="170"/>
        <v>7.5804141040779151E-13</v>
      </c>
      <c r="CB155" s="20">
        <f t="shared" si="171"/>
        <v>1.4005661123635408E-12</v>
      </c>
      <c r="CC155" s="59">
        <f t="shared" si="119"/>
        <v>293.33333333333474</v>
      </c>
      <c r="CD155" s="59">
        <f ca="1">AVERAGE(OFFSET($CC$3,0,0,'Données projet'!$E$12+1,1))-AVERAGE(OFFSET($H$3,0,0,'Données projet'!$E$12+1,1))</f>
        <v>230.68538392491388</v>
      </c>
      <c r="CE155" s="59">
        <f t="shared" si="148"/>
        <v>267.97457956620724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0.28888049306757896</v>
      </c>
      <c r="CM155" s="21">
        <f>EXP(-LN(2)/2)*CM154+(1-EXP(-LN(2)/2))/(LN(2)/2)*CG155*CJ155*VLOOKUP('Données projet'!$B$12,Paramètres!$A$1:$I$89,3,0)*0.475*44/12</f>
        <v>4.7585934073840654E-18</v>
      </c>
      <c r="CN155" s="22">
        <f t="shared" si="172"/>
        <v>0.28888049306757896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3.2366642699344085E-14</v>
      </c>
      <c r="CV155" s="13">
        <f t="shared" si="173"/>
        <v>5.5446527398450045E-13</v>
      </c>
      <c r="CW155" s="20">
        <f t="shared" si="174"/>
        <v>1.0220655882243624E-12</v>
      </c>
      <c r="CX155" s="59">
        <f t="shared" si="122"/>
        <v>293.33333333333434</v>
      </c>
      <c r="CY155" s="59">
        <f ca="1">AVERAGE(OFFSET($CX$3,0,0,'Données projet'!$E$13+1,1))-AVERAGE(OFFSET($H$3,0,0,'Données projet'!$E$13+1,1))</f>
        <v>242.1473060698724</v>
      </c>
      <c r="CZ155" s="59">
        <f t="shared" si="150"/>
        <v>96.127995920458659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0</v>
      </c>
      <c r="EP155" s="59">
        <f t="shared" si="154"/>
        <v>0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179.86010141761648</v>
      </c>
      <c r="T156" s="59">
        <f t="shared" si="142"/>
        <v>367.01744242396057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5.752438657022183</v>
      </c>
      <c r="AA156" s="21">
        <f>EXP(-LN(2)/25)*AA155+(1-EXP(-LN(2)/25))/(LN(2)/25)*Calculateur!V156*Calculateur!X156*VLOOKUP('Données projet'!$B$9,Paramètres!$A$1:$I$89,3,0)*0.475*44/12</f>
        <v>1.9445037272487686</v>
      </c>
      <c r="AB156" s="21">
        <f>EXP(-LN(2)/2)*AB155+(1-EXP(-LN(2)/2))/(LN(2)/2)*V156*Y156*VLOOKUP('Données projet'!$B$9,Paramètres!$A$1:$I$89,3,0)*0.475*44/12</f>
        <v>1.3935044999626943E-16</v>
      </c>
      <c r="AC156" s="22">
        <f t="shared" si="163"/>
        <v>7.6969423842709519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-4.758931027026848E-13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318.09371753144256</v>
      </c>
      <c r="AO156" s="59">
        <f t="shared" si="144"/>
        <v>298.61479562586919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0.68263656827412456</v>
      </c>
      <c r="AW156" s="21">
        <f>EXP(-LN(2)/2)*AW155+(1-EXP(-LN(2)/2))/(LN(2)/2)*AQ156*AT156*VLOOKUP('Données projet'!$B$10,Paramètres!$A$1:$I$89,3,0)*0.475*44/12</f>
        <v>9.2765593765864486E-18</v>
      </c>
      <c r="AX156" s="21">
        <f t="shared" si="166"/>
        <v>0.98880662633858196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35.999999999999943</v>
      </c>
      <c r="BE156" s="13">
        <f>BD156*VLOOKUP('Données projet'!$B$11,Paramètres!$A$1:$I$89,3,0)*VLOOKUP('Données projet'!$B$11,Paramètres!$A$1:$I$89,5,0)</f>
        <v>31.449599999999958</v>
      </c>
      <c r="BF156" s="13">
        <f t="shared" si="167"/>
        <v>9.7016318496336709</v>
      </c>
      <c r="BG156" s="20">
        <f t="shared" si="168"/>
        <v>71.671728804778567</v>
      </c>
      <c r="BH156" s="59">
        <f t="shared" si="116"/>
        <v>365.0050621381119</v>
      </c>
      <c r="BI156" s="59">
        <f ca="1">AVERAGE(OFFSET($BH$3,0,0,'Données projet'!$E$11+1,1))-AVERAGE(OFFSET($H$3,0,0,'Données projet'!$E$11+1,1))</f>
        <v>247.43282553724879</v>
      </c>
      <c r="BJ156" s="59">
        <f t="shared" si="146"/>
        <v>637.29471578895527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8.4365040729621552E-17</v>
      </c>
      <c r="BS156" s="22">
        <f t="shared" si="169"/>
        <v>8.4365040729621552E-17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4.6111381379887463E-14</v>
      </c>
      <c r="CA156" s="13">
        <f t="shared" si="170"/>
        <v>7.5804141040779151E-13</v>
      </c>
      <c r="CB156" s="20">
        <f t="shared" si="171"/>
        <v>1.4005661123635408E-12</v>
      </c>
      <c r="CC156" s="59">
        <f t="shared" si="119"/>
        <v>293.33333333333474</v>
      </c>
      <c r="CD156" s="59">
        <f ca="1">AVERAGE(OFFSET($CC$3,0,0,'Données projet'!$E$12+1,1))-AVERAGE(OFFSET($H$3,0,0,'Données projet'!$E$12+1,1))</f>
        <v>230.68538392491388</v>
      </c>
      <c r="CE156" s="59">
        <f t="shared" si="148"/>
        <v>267.97457956620724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0.28098104079308112</v>
      </c>
      <c r="CM156" s="21">
        <f>EXP(-LN(2)/2)*CM155+(1-EXP(-LN(2)/2))/(LN(2)/2)*CG156*CJ156*VLOOKUP('Données projet'!$B$12,Paramètres!$A$1:$I$89,3,0)*0.475*44/12</f>
        <v>3.364833667270872E-18</v>
      </c>
      <c r="CN156" s="22">
        <f t="shared" si="172"/>
        <v>0.28098104079308112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3.2366642699344085E-14</v>
      </c>
      <c r="CV156" s="13">
        <f t="shared" si="173"/>
        <v>5.5446527398450045E-13</v>
      </c>
      <c r="CW156" s="20">
        <f t="shared" si="174"/>
        <v>1.0220655882243624E-12</v>
      </c>
      <c r="CX156" s="59">
        <f t="shared" si="122"/>
        <v>293.33333333333434</v>
      </c>
      <c r="CY156" s="59">
        <f ca="1">AVERAGE(OFFSET($CX$3,0,0,'Données projet'!$E$13+1,1))-AVERAGE(OFFSET($H$3,0,0,'Données projet'!$E$13+1,1))</f>
        <v>242.1473060698724</v>
      </c>
      <c r="CZ156" s="59">
        <f t="shared" si="150"/>
        <v>96.127995920458659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0</v>
      </c>
      <c r="EP156" s="59">
        <f t="shared" si="154"/>
        <v>0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179.86010141761648</v>
      </c>
      <c r="T157" s="59">
        <f t="shared" si="142"/>
        <v>367.01744242396057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5.6396368435991091</v>
      </c>
      <c r="AA157" s="21">
        <f>EXP(-LN(2)/25)*AA156+(1-EXP(-LN(2)/25))/(LN(2)/25)*Calculateur!V157*Calculateur!X157*VLOOKUP('Données projet'!$B$9,Paramètres!$A$1:$I$89,3,0)*0.475*44/12</f>
        <v>1.8913311705701443</v>
      </c>
      <c r="AB157" s="21">
        <f>EXP(-LN(2)/2)*AB156+(1-EXP(-LN(2)/2))/(LN(2)/2)*V157*Y157*VLOOKUP('Données projet'!$B$9,Paramètres!$A$1:$I$89,3,0)*0.475*44/12</f>
        <v>9.8535648153759023E-17</v>
      </c>
      <c r="AC157" s="22">
        <f t="shared" si="163"/>
        <v>7.5309680141692539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-4.758931027026848E-13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318.09371753144256</v>
      </c>
      <c r="AO157" s="59">
        <f t="shared" si="144"/>
        <v>298.61479562586919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0.66396983541637167</v>
      </c>
      <c r="AW157" s="21">
        <f>EXP(-LN(2)/2)*AW156+(1-EXP(-LN(2)/2))/(LN(2)/2)*AQ157*AT157*VLOOKUP('Données projet'!$B$10,Paramètres!$A$1:$I$89,3,0)*0.475*44/12</f>
        <v>6.5595180412639297E-18</v>
      </c>
      <c r="AX157" s="21">
        <f t="shared" si="166"/>
        <v>0.96413608538748097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35.999999999999943</v>
      </c>
      <c r="BE157" s="13">
        <f>BD157*VLOOKUP('Données projet'!$B$11,Paramètres!$A$1:$I$89,3,0)*VLOOKUP('Données projet'!$B$11,Paramètres!$A$1:$I$89,5,0)</f>
        <v>31.449599999999958</v>
      </c>
      <c r="BF157" s="13">
        <f t="shared" si="167"/>
        <v>9.7016318496336709</v>
      </c>
      <c r="BG157" s="20">
        <f t="shared" si="168"/>
        <v>71.671728804778567</v>
      </c>
      <c r="BH157" s="59">
        <f t="shared" si="116"/>
        <v>365.0050621381119</v>
      </c>
      <c r="BI157" s="59">
        <f ca="1">AVERAGE(OFFSET($BH$3,0,0,'Données projet'!$E$11+1,1))-AVERAGE(OFFSET($H$3,0,0,'Données projet'!$E$11+1,1))</f>
        <v>247.43282553724879</v>
      </c>
      <c r="BJ157" s="59">
        <f t="shared" si="146"/>
        <v>637.29471578895527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5.9655092394994676E-17</v>
      </c>
      <c r="BS157" s="22">
        <f t="shared" si="169"/>
        <v>5.9655092394994676E-17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4.6111381379887463E-14</v>
      </c>
      <c r="CA157" s="13">
        <f t="shared" si="170"/>
        <v>7.5804141040779151E-13</v>
      </c>
      <c r="CB157" s="20">
        <f t="shared" si="171"/>
        <v>1.4005661123635408E-12</v>
      </c>
      <c r="CC157" s="59">
        <f t="shared" si="119"/>
        <v>293.33333333333474</v>
      </c>
      <c r="CD157" s="59">
        <f ca="1">AVERAGE(OFFSET($CC$3,0,0,'Données projet'!$E$12+1,1))-AVERAGE(OFFSET($H$3,0,0,'Données projet'!$E$12+1,1))</f>
        <v>230.68538392491388</v>
      </c>
      <c r="CE157" s="59">
        <f t="shared" si="148"/>
        <v>267.97457956620724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0.27329759945644355</v>
      </c>
      <c r="CM157" s="21">
        <f>EXP(-LN(2)/2)*CM156+(1-EXP(-LN(2)/2))/(LN(2)/2)*CG157*CJ157*VLOOKUP('Données projet'!$B$12,Paramètres!$A$1:$I$89,3,0)*0.475*44/12</f>
        <v>2.3792967036920327E-18</v>
      </c>
      <c r="CN157" s="22">
        <f t="shared" si="172"/>
        <v>0.27329759945644355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3.2366642699344085E-14</v>
      </c>
      <c r="CV157" s="13">
        <f t="shared" si="173"/>
        <v>5.5446527398450045E-13</v>
      </c>
      <c r="CW157" s="20">
        <f t="shared" si="174"/>
        <v>1.0220655882243624E-12</v>
      </c>
      <c r="CX157" s="59">
        <f t="shared" si="122"/>
        <v>293.33333333333434</v>
      </c>
      <c r="CY157" s="59">
        <f ca="1">AVERAGE(OFFSET($CX$3,0,0,'Données projet'!$E$13+1,1))-AVERAGE(OFFSET($H$3,0,0,'Données projet'!$E$13+1,1))</f>
        <v>242.1473060698724</v>
      </c>
      <c r="CZ157" s="59">
        <f t="shared" si="150"/>
        <v>96.127995920458659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0</v>
      </c>
      <c r="EP157" s="59">
        <f t="shared" si="154"/>
        <v>0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179.86010141761648</v>
      </c>
      <c r="T158" s="59">
        <f t="shared" si="142"/>
        <v>367.01744242396057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5.5290470049349496</v>
      </c>
      <c r="AA158" s="21">
        <f>EXP(-LN(2)/25)*AA157+(1-EXP(-LN(2)/25))/(LN(2)/25)*Calculateur!V158*Calculateur!X158*VLOOKUP('Données projet'!$B$9,Paramètres!$A$1:$I$89,3,0)*0.475*44/12</f>
        <v>1.8396126202501202</v>
      </c>
      <c r="AB158" s="21">
        <f>EXP(-LN(2)/2)*AB157+(1-EXP(-LN(2)/2))/(LN(2)/2)*V158*Y158*VLOOKUP('Données projet'!$B$9,Paramètres!$A$1:$I$89,3,0)*0.475*44/12</f>
        <v>6.9675224998134716E-17</v>
      </c>
      <c r="AC158" s="22">
        <f t="shared" si="163"/>
        <v>7.36865962518507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-4.758931027026848E-13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318.09371753144256</v>
      </c>
      <c r="AO158" s="59">
        <f t="shared" si="144"/>
        <v>298.61479562586919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0.64581354535025481</v>
      </c>
      <c r="AW158" s="21">
        <f>EXP(-LN(2)/2)*AW157+(1-EXP(-LN(2)/2))/(LN(2)/2)*AQ158*AT158*VLOOKUP('Données projet'!$B$10,Paramètres!$A$1:$I$89,3,0)*0.475*44/12</f>
        <v>4.6382796882932243E-18</v>
      </c>
      <c r="AX158" s="21">
        <f t="shared" si="166"/>
        <v>0.94009371824276511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35.999999999999943</v>
      </c>
      <c r="BE158" s="13">
        <f>BD158*VLOOKUP('Données projet'!$B$11,Paramètres!$A$1:$I$89,3,0)*VLOOKUP('Données projet'!$B$11,Paramètres!$A$1:$I$89,5,0)</f>
        <v>31.449599999999958</v>
      </c>
      <c r="BF158" s="13">
        <f t="shared" si="167"/>
        <v>9.7016318496336709</v>
      </c>
      <c r="BG158" s="20">
        <f t="shared" si="168"/>
        <v>71.671728804778567</v>
      </c>
      <c r="BH158" s="59">
        <f t="shared" si="116"/>
        <v>365.0050621381119</v>
      </c>
      <c r="BI158" s="59">
        <f ca="1">AVERAGE(OFFSET($BH$3,0,0,'Données projet'!$E$11+1,1))-AVERAGE(OFFSET($H$3,0,0,'Données projet'!$E$11+1,1))</f>
        <v>247.43282553724879</v>
      </c>
      <c r="BJ158" s="59">
        <f t="shared" si="146"/>
        <v>637.29471578895527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4.2182520364810776E-17</v>
      </c>
      <c r="BS158" s="22">
        <f t="shared" si="169"/>
        <v>4.2182520364810776E-17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4.6111381379887463E-14</v>
      </c>
      <c r="CA158" s="13">
        <f t="shared" si="170"/>
        <v>7.5804141040779151E-13</v>
      </c>
      <c r="CB158" s="20">
        <f t="shared" si="171"/>
        <v>1.4005661123635408E-12</v>
      </c>
      <c r="CC158" s="59">
        <f t="shared" si="119"/>
        <v>293.33333333333474</v>
      </c>
      <c r="CD158" s="59">
        <f ca="1">AVERAGE(OFFSET($CC$3,0,0,'Données projet'!$E$12+1,1))-AVERAGE(OFFSET($H$3,0,0,'Données projet'!$E$12+1,1))</f>
        <v>230.68538392491388</v>
      </c>
      <c r="CE158" s="59">
        <f t="shared" si="148"/>
        <v>267.97457956620724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0.26582426222721095</v>
      </c>
      <c r="CM158" s="21">
        <f>EXP(-LN(2)/2)*CM157+(1-EXP(-LN(2)/2))/(LN(2)/2)*CG158*CJ158*VLOOKUP('Données projet'!$B$12,Paramètres!$A$1:$I$89,3,0)*0.475*44/12</f>
        <v>1.682416833635436E-18</v>
      </c>
      <c r="CN158" s="22">
        <f t="shared" si="172"/>
        <v>0.26582426222721095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3.2366642699344085E-14</v>
      </c>
      <c r="CV158" s="13">
        <f t="shared" si="173"/>
        <v>5.5446527398450045E-13</v>
      </c>
      <c r="CW158" s="20">
        <f t="shared" si="174"/>
        <v>1.0220655882243624E-12</v>
      </c>
      <c r="CX158" s="59">
        <f t="shared" si="122"/>
        <v>293.33333333333434</v>
      </c>
      <c r="CY158" s="59">
        <f ca="1">AVERAGE(OFFSET($CX$3,0,0,'Données projet'!$E$13+1,1))-AVERAGE(OFFSET($H$3,0,0,'Données projet'!$E$13+1,1))</f>
        <v>242.1473060698724</v>
      </c>
      <c r="CZ158" s="59">
        <f t="shared" si="150"/>
        <v>96.127995920458659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0</v>
      </c>
      <c r="EP158" s="59">
        <f t="shared" si="154"/>
        <v>0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179.86010141761648</v>
      </c>
      <c r="T159" s="59">
        <f t="shared" si="142"/>
        <v>367.01744242396057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5.4206257655538526</v>
      </c>
      <c r="AA159" s="21">
        <f>EXP(-LN(2)/25)*AA158+(1-EXP(-LN(2)/25))/(LN(2)/25)*Calculateur!V159*Calculateur!X159*VLOOKUP('Données projet'!$B$9,Paramètres!$A$1:$I$89,3,0)*0.475*44/12</f>
        <v>1.7893083164083574</v>
      </c>
      <c r="AB159" s="21">
        <f>EXP(-LN(2)/2)*AB158+(1-EXP(-LN(2)/2))/(LN(2)/2)*V159*Y159*VLOOKUP('Données projet'!$B$9,Paramètres!$A$1:$I$89,3,0)*0.475*44/12</f>
        <v>4.9267824076879512E-17</v>
      </c>
      <c r="AC159" s="22">
        <f t="shared" si="163"/>
        <v>7.20993408196221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-4.758931027026848E-13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318.09371753144256</v>
      </c>
      <c r="AO159" s="59">
        <f t="shared" si="144"/>
        <v>298.61479562586919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0.62815373999079382</v>
      </c>
      <c r="AW159" s="21">
        <f>EXP(-LN(2)/2)*AW158+(1-EXP(-LN(2)/2))/(LN(2)/2)*AQ159*AT159*VLOOKUP('Données projet'!$B$10,Paramètres!$A$1:$I$89,3,0)*0.475*44/12</f>
        <v>3.2797590206319648E-18</v>
      </c>
      <c r="AX159" s="21">
        <f t="shared" si="166"/>
        <v>0.91666325818606398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35.999999999999943</v>
      </c>
      <c r="BE159" s="13">
        <f>BD159*VLOOKUP('Données projet'!$B$11,Paramètres!$A$1:$I$89,3,0)*VLOOKUP('Données projet'!$B$11,Paramètres!$A$1:$I$89,5,0)</f>
        <v>31.449599999999958</v>
      </c>
      <c r="BF159" s="13">
        <f t="shared" si="167"/>
        <v>9.7016318496336709</v>
      </c>
      <c r="BG159" s="20">
        <f t="shared" si="168"/>
        <v>71.671728804778567</v>
      </c>
      <c r="BH159" s="59">
        <f t="shared" si="116"/>
        <v>365.0050621381119</v>
      </c>
      <c r="BI159" s="59">
        <f ca="1">AVERAGE(OFFSET($BH$3,0,0,'Données projet'!$E$11+1,1))-AVERAGE(OFFSET($H$3,0,0,'Données projet'!$E$11+1,1))</f>
        <v>247.43282553724879</v>
      </c>
      <c r="BJ159" s="59">
        <f t="shared" si="146"/>
        <v>637.29471578895527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2.9827546197497338E-17</v>
      </c>
      <c r="BS159" s="22">
        <f t="shared" si="169"/>
        <v>2.9827546197497338E-17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4.6111381379887463E-14</v>
      </c>
      <c r="CA159" s="13">
        <f t="shared" si="170"/>
        <v>7.5804141040779151E-13</v>
      </c>
      <c r="CB159" s="20">
        <f t="shared" si="171"/>
        <v>1.4005661123635408E-12</v>
      </c>
      <c r="CC159" s="59">
        <f t="shared" si="119"/>
        <v>293.33333333333474</v>
      </c>
      <c r="CD159" s="59">
        <f ca="1">AVERAGE(OFFSET($CC$3,0,0,'Données projet'!$E$12+1,1))-AVERAGE(OFFSET($H$3,0,0,'Données projet'!$E$12+1,1))</f>
        <v>230.68538392491388</v>
      </c>
      <c r="CE159" s="59">
        <f t="shared" si="148"/>
        <v>267.97457956620724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0.25855528379751747</v>
      </c>
      <c r="CM159" s="21">
        <f>EXP(-LN(2)/2)*CM158+(1-EXP(-LN(2)/2))/(LN(2)/2)*CG159*CJ159*VLOOKUP('Données projet'!$B$12,Paramètres!$A$1:$I$89,3,0)*0.475*44/12</f>
        <v>1.1896483518460163E-18</v>
      </c>
      <c r="CN159" s="22">
        <f t="shared" si="172"/>
        <v>0.25855528379751747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3.2366642699344085E-14</v>
      </c>
      <c r="CV159" s="13">
        <f t="shared" si="173"/>
        <v>5.5446527398450045E-13</v>
      </c>
      <c r="CW159" s="20">
        <f t="shared" si="174"/>
        <v>1.0220655882243624E-12</v>
      </c>
      <c r="CX159" s="59">
        <f t="shared" si="122"/>
        <v>293.33333333333434</v>
      </c>
      <c r="CY159" s="59">
        <f ca="1">AVERAGE(OFFSET($CX$3,0,0,'Données projet'!$E$13+1,1))-AVERAGE(OFFSET($H$3,0,0,'Données projet'!$E$13+1,1))</f>
        <v>242.1473060698724</v>
      </c>
      <c r="CZ159" s="59">
        <f t="shared" si="150"/>
        <v>96.127995920458659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0</v>
      </c>
      <c r="EP159" s="59">
        <f t="shared" si="154"/>
        <v>0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179.86010141761648</v>
      </c>
      <c r="T160" s="59">
        <f t="shared" si="142"/>
        <v>367.01744242396057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5.3143306005465929</v>
      </c>
      <c r="AA160" s="21">
        <f>EXP(-LN(2)/25)*AA159+(1-EXP(-LN(2)/25))/(LN(2)/25)*Calculateur!V160*Calculateur!X160*VLOOKUP('Données projet'!$B$9,Paramètres!$A$1:$I$89,3,0)*0.475*44/12</f>
        <v>1.740379586400536</v>
      </c>
      <c r="AB160" s="21">
        <f>EXP(-LN(2)/2)*AB159+(1-EXP(-LN(2)/2))/(LN(2)/2)*V160*Y160*VLOOKUP('Données projet'!$B$9,Paramètres!$A$1:$I$89,3,0)*0.475*44/12</f>
        <v>3.4837612499067358E-17</v>
      </c>
      <c r="AC160" s="22">
        <f t="shared" si="163"/>
        <v>7.0547101869471289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-4.758931027026848E-13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318.09371753144256</v>
      </c>
      <c r="AO160" s="59">
        <f t="shared" si="144"/>
        <v>298.61479562586919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0.61097684293757604</v>
      </c>
      <c r="AW160" s="21">
        <f>EXP(-LN(2)/2)*AW159+(1-EXP(-LN(2)/2))/(LN(2)/2)*AQ160*AT160*VLOOKUP('Données projet'!$B$10,Paramètres!$A$1:$I$89,3,0)*0.475*44/12</f>
        <v>2.3191398441466121E-18</v>
      </c>
      <c r="AX160" s="21">
        <f t="shared" si="166"/>
        <v>0.89382886545446705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35.999999999999943</v>
      </c>
      <c r="BE160" s="13">
        <f>BD160*VLOOKUP('Données projet'!$B$11,Paramètres!$A$1:$I$89,3,0)*VLOOKUP('Données projet'!$B$11,Paramètres!$A$1:$I$89,5,0)</f>
        <v>31.449599999999958</v>
      </c>
      <c r="BF160" s="13">
        <f t="shared" si="167"/>
        <v>9.7016318496336709</v>
      </c>
      <c r="BG160" s="20">
        <f t="shared" si="168"/>
        <v>71.671728804778567</v>
      </c>
      <c r="BH160" s="59">
        <f t="shared" si="116"/>
        <v>365.0050621381119</v>
      </c>
      <c r="BI160" s="59">
        <f ca="1">AVERAGE(OFFSET($BH$3,0,0,'Données projet'!$E$11+1,1))-AVERAGE(OFFSET($H$3,0,0,'Données projet'!$E$11+1,1))</f>
        <v>247.43282553724879</v>
      </c>
      <c r="BJ160" s="59">
        <f t="shared" si="146"/>
        <v>637.29471578895527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2.1091260182405388E-17</v>
      </c>
      <c r="BS160" s="22">
        <f t="shared" si="169"/>
        <v>2.1091260182405388E-17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4.6111381379887463E-14</v>
      </c>
      <c r="CA160" s="13">
        <f t="shared" si="170"/>
        <v>7.5804141040779151E-13</v>
      </c>
      <c r="CB160" s="20">
        <f t="shared" si="171"/>
        <v>1.4005661123635408E-12</v>
      </c>
      <c r="CC160" s="59">
        <f t="shared" si="119"/>
        <v>293.33333333333474</v>
      </c>
      <c r="CD160" s="59">
        <f ca="1">AVERAGE(OFFSET($CC$3,0,0,'Données projet'!$E$12+1,1))-AVERAGE(OFFSET($H$3,0,0,'Données projet'!$E$12+1,1))</f>
        <v>230.68538392491388</v>
      </c>
      <c r="CE160" s="59">
        <f t="shared" si="148"/>
        <v>267.97457956620724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0.25148507596524289</v>
      </c>
      <c r="CM160" s="21">
        <f>EXP(-LN(2)/2)*CM159+(1-EXP(-LN(2)/2))/(LN(2)/2)*CG160*CJ160*VLOOKUP('Données projet'!$B$12,Paramètres!$A$1:$I$89,3,0)*0.475*44/12</f>
        <v>8.4120841681771799E-19</v>
      </c>
      <c r="CN160" s="22">
        <f t="shared" si="172"/>
        <v>0.25148507596524289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3.2366642699344085E-14</v>
      </c>
      <c r="CV160" s="13">
        <f t="shared" si="173"/>
        <v>5.5446527398450045E-13</v>
      </c>
      <c r="CW160" s="20">
        <f t="shared" si="174"/>
        <v>1.0220655882243624E-12</v>
      </c>
      <c r="CX160" s="59">
        <f t="shared" si="122"/>
        <v>293.33333333333434</v>
      </c>
      <c r="CY160" s="59">
        <f ca="1">AVERAGE(OFFSET($CX$3,0,0,'Données projet'!$E$13+1,1))-AVERAGE(OFFSET($H$3,0,0,'Données projet'!$E$13+1,1))</f>
        <v>242.1473060698724</v>
      </c>
      <c r="CZ160" s="59">
        <f t="shared" si="150"/>
        <v>96.127995920458659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0</v>
      </c>
      <c r="EP160" s="59">
        <f t="shared" si="154"/>
        <v>0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179.86010141761648</v>
      </c>
      <c r="T161" s="59">
        <f t="shared" si="142"/>
        <v>367.01744242396057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5.210119818891477</v>
      </c>
      <c r="AA161" s="21">
        <f>EXP(-LN(2)/25)*AA160+(1-EXP(-LN(2)/25))/(LN(2)/25)*Calculateur!V161*Calculateur!X161*VLOOKUP('Données projet'!$B$9,Paramètres!$A$1:$I$89,3,0)*0.475*44/12</f>
        <v>1.6927888150878285</v>
      </c>
      <c r="AB161" s="21">
        <f>EXP(-LN(2)/2)*AB160+(1-EXP(-LN(2)/2))/(LN(2)/2)*V161*Y161*VLOOKUP('Données projet'!$B$9,Paramètres!$A$1:$I$89,3,0)*0.475*44/12</f>
        <v>2.4633912038439756E-17</v>
      </c>
      <c r="AC161" s="22">
        <f t="shared" si="163"/>
        <v>6.9029086339793055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-4.758931027026848E-13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318.09371753144256</v>
      </c>
      <c r="AO161" s="59">
        <f t="shared" si="144"/>
        <v>298.61479562586919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0.59426964903757229</v>
      </c>
      <c r="AW161" s="21">
        <f>EXP(-LN(2)/2)*AW160+(1-EXP(-LN(2)/2))/(LN(2)/2)*AQ161*AT161*VLOOKUP('Données projet'!$B$10,Paramètres!$A$1:$I$89,3,0)*0.475*44/12</f>
        <v>1.6398795103159824E-18</v>
      </c>
      <c r="AX161" s="21">
        <f t="shared" si="166"/>
        <v>0.87157511591560566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35.999999999999943</v>
      </c>
      <c r="BE161" s="13">
        <f>BD161*VLOOKUP('Données projet'!$B$11,Paramètres!$A$1:$I$89,3,0)*VLOOKUP('Données projet'!$B$11,Paramètres!$A$1:$I$89,5,0)</f>
        <v>31.449599999999958</v>
      </c>
      <c r="BF161" s="13">
        <f t="shared" si="167"/>
        <v>9.7016318496336709</v>
      </c>
      <c r="BG161" s="20">
        <f t="shared" si="168"/>
        <v>71.671728804778567</v>
      </c>
      <c r="BH161" s="59">
        <f t="shared" si="116"/>
        <v>365.0050621381119</v>
      </c>
      <c r="BI161" s="59">
        <f ca="1">AVERAGE(OFFSET($BH$3,0,0,'Données projet'!$E$11+1,1))-AVERAGE(OFFSET($H$3,0,0,'Données projet'!$E$11+1,1))</f>
        <v>247.43282553724879</v>
      </c>
      <c r="BJ161" s="59">
        <f t="shared" si="146"/>
        <v>637.29471578895527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1.4913773098748669E-17</v>
      </c>
      <c r="BS161" s="22">
        <f t="shared" si="169"/>
        <v>1.4913773098748669E-17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4.6111381379887463E-14</v>
      </c>
      <c r="CA161" s="13">
        <f t="shared" si="170"/>
        <v>7.5804141040779151E-13</v>
      </c>
      <c r="CB161" s="20">
        <f t="shared" si="171"/>
        <v>1.4005661123635408E-12</v>
      </c>
      <c r="CC161" s="59">
        <f t="shared" si="119"/>
        <v>293.33333333333474</v>
      </c>
      <c r="CD161" s="59">
        <f ca="1">AVERAGE(OFFSET($CC$3,0,0,'Données projet'!$E$12+1,1))-AVERAGE(OFFSET($H$3,0,0,'Données projet'!$E$12+1,1))</f>
        <v>230.68538392491388</v>
      </c>
      <c r="CE161" s="59">
        <f t="shared" si="148"/>
        <v>267.97457956620724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0.24460820333794794</v>
      </c>
      <c r="CM161" s="21">
        <f>EXP(-LN(2)/2)*CM160+(1-EXP(-LN(2)/2))/(LN(2)/2)*CG161*CJ161*VLOOKUP('Données projet'!$B$12,Paramètres!$A$1:$I$89,3,0)*0.475*44/12</f>
        <v>5.9482417592300817E-19</v>
      </c>
      <c r="CN161" s="22">
        <f t="shared" si="172"/>
        <v>0.24460820333794794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3.2366642699344085E-14</v>
      </c>
      <c r="CV161" s="13">
        <f t="shared" si="173"/>
        <v>5.5446527398450045E-13</v>
      </c>
      <c r="CW161" s="20">
        <f t="shared" si="174"/>
        <v>1.0220655882243624E-12</v>
      </c>
      <c r="CX161" s="59">
        <f t="shared" si="122"/>
        <v>293.33333333333434</v>
      </c>
      <c r="CY161" s="59">
        <f ca="1">AVERAGE(OFFSET($CX$3,0,0,'Données projet'!$E$13+1,1))-AVERAGE(OFFSET($H$3,0,0,'Données projet'!$E$13+1,1))</f>
        <v>242.1473060698724</v>
      </c>
      <c r="CZ161" s="59">
        <f t="shared" si="150"/>
        <v>96.127995920458659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0</v>
      </c>
      <c r="EP161" s="59">
        <f t="shared" si="154"/>
        <v>0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179.86010141761648</v>
      </c>
      <c r="T162" s="59">
        <f t="shared" si="142"/>
        <v>367.01744242396057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5.1079525471023173</v>
      </c>
      <c r="AA162" s="21">
        <f>EXP(-LN(2)/25)*AA161+(1-EXP(-LN(2)/25))/(LN(2)/25)*Calculateur!V162*Calculateur!X162*VLOOKUP('Données projet'!$B$9,Paramètres!$A$1:$I$89,3,0)*0.475*44/12</f>
        <v>1.6464994159193569</v>
      </c>
      <c r="AB162" s="21">
        <f>EXP(-LN(2)/2)*AB161+(1-EXP(-LN(2)/2))/(LN(2)/2)*V162*Y162*VLOOKUP('Données projet'!$B$9,Paramètres!$A$1:$I$89,3,0)*0.475*44/12</f>
        <v>1.7418806249533679E-17</v>
      </c>
      <c r="AC162" s="22">
        <f t="shared" si="163"/>
        <v>6.7544519630216744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-4.758931027026848E-13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318.09371753144256</v>
      </c>
      <c r="AO162" s="59">
        <f t="shared" si="144"/>
        <v>298.61479562586919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0.57801931423335728</v>
      </c>
      <c r="AW162" s="21">
        <f>EXP(-LN(2)/2)*AW161+(1-EXP(-LN(2)/2))/(LN(2)/2)*AQ162*AT162*VLOOKUP('Données projet'!$B$10,Paramètres!$A$1:$I$89,3,0)*0.475*44/12</f>
        <v>1.1595699220733061E-18</v>
      </c>
      <c r="AX162" s="21">
        <f t="shared" si="166"/>
        <v>0.84988699004554613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35.999999999999943</v>
      </c>
      <c r="BE162" s="13">
        <f>BD162*VLOOKUP('Données projet'!$B$11,Paramètres!$A$1:$I$89,3,0)*VLOOKUP('Données projet'!$B$11,Paramètres!$A$1:$I$89,5,0)</f>
        <v>31.449599999999958</v>
      </c>
      <c r="BF162" s="13">
        <f t="shared" si="167"/>
        <v>9.7016318496336709</v>
      </c>
      <c r="BG162" s="20">
        <f t="shared" si="168"/>
        <v>71.671728804778567</v>
      </c>
      <c r="BH162" s="59">
        <f t="shared" si="116"/>
        <v>365.0050621381119</v>
      </c>
      <c r="BI162" s="59">
        <f ca="1">AVERAGE(OFFSET($BH$3,0,0,'Données projet'!$E$11+1,1))-AVERAGE(OFFSET($H$3,0,0,'Données projet'!$E$11+1,1))</f>
        <v>247.43282553724879</v>
      </c>
      <c r="BJ162" s="59">
        <f t="shared" si="146"/>
        <v>637.29471578895527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1.0545630091202694E-17</v>
      </c>
      <c r="BS162" s="22">
        <f t="shared" si="169"/>
        <v>1.0545630091202694E-17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4.6111381379887463E-14</v>
      </c>
      <c r="CA162" s="13">
        <f t="shared" si="170"/>
        <v>7.5804141040779151E-13</v>
      </c>
      <c r="CB162" s="20">
        <f t="shared" si="171"/>
        <v>1.4005661123635408E-12</v>
      </c>
      <c r="CC162" s="59">
        <f t="shared" si="119"/>
        <v>293.33333333333474</v>
      </c>
      <c r="CD162" s="59">
        <f ca="1">AVERAGE(OFFSET($CC$3,0,0,'Données projet'!$E$12+1,1))-AVERAGE(OFFSET($H$3,0,0,'Données projet'!$E$12+1,1))</f>
        <v>230.68538392491388</v>
      </c>
      <c r="CE162" s="59">
        <f t="shared" si="148"/>
        <v>267.97457956620724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0.2379193791542854</v>
      </c>
      <c r="CM162" s="21">
        <f>EXP(-LN(2)/2)*CM161+(1-EXP(-LN(2)/2))/(LN(2)/2)*CG162*CJ162*VLOOKUP('Données projet'!$B$12,Paramètres!$A$1:$I$89,3,0)*0.475*44/12</f>
        <v>4.20604208408859E-19</v>
      </c>
      <c r="CN162" s="22">
        <f t="shared" si="172"/>
        <v>0.2379193791542854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3.2366642699344085E-14</v>
      </c>
      <c r="CV162" s="13">
        <f t="shared" si="173"/>
        <v>5.5446527398450045E-13</v>
      </c>
      <c r="CW162" s="20">
        <f t="shared" si="174"/>
        <v>1.0220655882243624E-12</v>
      </c>
      <c r="CX162" s="59">
        <f t="shared" si="122"/>
        <v>293.33333333333434</v>
      </c>
      <c r="CY162" s="59">
        <f ca="1">AVERAGE(OFFSET($CX$3,0,0,'Données projet'!$E$13+1,1))-AVERAGE(OFFSET($H$3,0,0,'Données projet'!$E$13+1,1))</f>
        <v>242.1473060698724</v>
      </c>
      <c r="CZ162" s="59">
        <f t="shared" si="150"/>
        <v>96.127995920458659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0</v>
      </c>
      <c r="EP162" s="59">
        <f t="shared" si="154"/>
        <v>0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179.86010141761648</v>
      </c>
      <c r="T163" s="59">
        <f t="shared" si="142"/>
        <v>367.01744242396057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5.0077887131970602</v>
      </c>
      <c r="AA163" s="21">
        <f>EXP(-LN(2)/25)*AA162+(1-EXP(-LN(2)/25))/(LN(2)/25)*Calculateur!V163*Calculateur!X163*VLOOKUP('Données projet'!$B$9,Paramètres!$A$1:$I$89,3,0)*0.475*44/12</f>
        <v>1.601475802805401</v>
      </c>
      <c r="AB163" s="21">
        <f>EXP(-LN(2)/2)*AB162+(1-EXP(-LN(2)/2))/(LN(2)/2)*V163*Y163*VLOOKUP('Données projet'!$B$9,Paramètres!$A$1:$I$89,3,0)*0.475*44/12</f>
        <v>1.2316956019219878E-17</v>
      </c>
      <c r="AC163" s="22">
        <f t="shared" si="163"/>
        <v>6.6092645160024617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-4.758931027026848E-13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318.09371753144256</v>
      </c>
      <c r="AO163" s="59">
        <f t="shared" si="144"/>
        <v>298.61479562586919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0.56221334568893144</v>
      </c>
      <c r="AW163" s="21">
        <f>EXP(-LN(2)/2)*AW162+(1-EXP(-LN(2)/2))/(LN(2)/2)*AQ163*AT163*VLOOKUP('Données projet'!$B$10,Paramètres!$A$1:$I$89,3,0)*0.475*44/12</f>
        <v>8.1993975515799121E-19</v>
      </c>
      <c r="AX163" s="21">
        <f t="shared" si="166"/>
        <v>0.82874986220135183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35.999999999999943</v>
      </c>
      <c r="BE163" s="13">
        <f>BD163*VLOOKUP('Données projet'!$B$11,Paramètres!$A$1:$I$89,3,0)*VLOOKUP('Données projet'!$B$11,Paramètres!$A$1:$I$89,5,0)</f>
        <v>31.449599999999958</v>
      </c>
      <c r="BF163" s="13">
        <f t="shared" si="167"/>
        <v>9.7016318496336709</v>
      </c>
      <c r="BG163" s="20">
        <f t="shared" si="168"/>
        <v>71.671728804778567</v>
      </c>
      <c r="BH163" s="59">
        <f t="shared" si="116"/>
        <v>365.0050621381119</v>
      </c>
      <c r="BI163" s="59">
        <f ca="1">AVERAGE(OFFSET($BH$3,0,0,'Données projet'!$E$11+1,1))-AVERAGE(OFFSET($H$3,0,0,'Données projet'!$E$11+1,1))</f>
        <v>247.43282553724879</v>
      </c>
      <c r="BJ163" s="59">
        <f t="shared" si="146"/>
        <v>637.29471578895527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7.4568865493743345E-18</v>
      </c>
      <c r="BS163" s="22">
        <f t="shared" si="169"/>
        <v>7.4568865493743345E-18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4.6111381379887463E-14</v>
      </c>
      <c r="CA163" s="13">
        <f t="shared" si="170"/>
        <v>7.5804141040779151E-13</v>
      </c>
      <c r="CB163" s="20">
        <f t="shared" si="171"/>
        <v>1.4005661123635408E-12</v>
      </c>
      <c r="CC163" s="59">
        <f t="shared" si="119"/>
        <v>293.33333333333474</v>
      </c>
      <c r="CD163" s="59">
        <f ca="1">AVERAGE(OFFSET($CC$3,0,0,'Données projet'!$E$12+1,1))-AVERAGE(OFFSET($H$3,0,0,'Données projet'!$E$12+1,1))</f>
        <v>230.68538392491388</v>
      </c>
      <c r="CE163" s="59">
        <f t="shared" si="148"/>
        <v>267.97457956620724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0.2314134612196751</v>
      </c>
      <c r="CM163" s="21">
        <f>EXP(-LN(2)/2)*CM162+(1-EXP(-LN(2)/2))/(LN(2)/2)*CG163*CJ163*VLOOKUP('Données projet'!$B$12,Paramètres!$A$1:$I$89,3,0)*0.475*44/12</f>
        <v>2.9741208796150409E-19</v>
      </c>
      <c r="CN163" s="22">
        <f t="shared" si="172"/>
        <v>0.2314134612196751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3.2366642699344085E-14</v>
      </c>
      <c r="CV163" s="13">
        <f t="shared" si="173"/>
        <v>5.5446527398450045E-13</v>
      </c>
      <c r="CW163" s="20">
        <f t="shared" si="174"/>
        <v>1.0220655882243624E-12</v>
      </c>
      <c r="CX163" s="59">
        <f t="shared" si="122"/>
        <v>293.33333333333434</v>
      </c>
      <c r="CY163" s="59">
        <f ca="1">AVERAGE(OFFSET($CX$3,0,0,'Données projet'!$E$13+1,1))-AVERAGE(OFFSET($H$3,0,0,'Données projet'!$E$13+1,1))</f>
        <v>242.1473060698724</v>
      </c>
      <c r="CZ163" s="59">
        <f t="shared" si="150"/>
        <v>96.127995920458659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0</v>
      </c>
      <c r="EP163" s="59">
        <f t="shared" si="154"/>
        <v>0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179.86010141761648</v>
      </c>
      <c r="T164" s="59">
        <f t="shared" si="142"/>
        <v>367.01744242396057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4.9095890309807793</v>
      </c>
      <c r="AA164" s="21">
        <f>EXP(-LN(2)/25)*AA163+(1-EXP(-LN(2)/25))/(LN(2)/25)*Calculateur!V164*Calculateur!X164*VLOOKUP('Données projet'!$B$9,Paramètres!$A$1:$I$89,3,0)*0.475*44/12</f>
        <v>1.5576833627597351</v>
      </c>
      <c r="AB164" s="21">
        <f>EXP(-LN(2)/2)*AB163+(1-EXP(-LN(2)/2))/(LN(2)/2)*V164*Y164*VLOOKUP('Données projet'!$B$9,Paramètres!$A$1:$I$89,3,0)*0.475*44/12</f>
        <v>8.7094031247668395E-18</v>
      </c>
      <c r="AC164" s="22">
        <f t="shared" si="163"/>
        <v>6.4672723937405143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-4.758931027026848E-13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318.09371753144256</v>
      </c>
      <c r="AO164" s="59">
        <f t="shared" si="144"/>
        <v>298.61479562586919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0.54683959218555267</v>
      </c>
      <c r="AW164" s="21">
        <f>EXP(-LN(2)/2)*AW163+(1-EXP(-LN(2)/2))/(LN(2)/2)*AQ164*AT164*VLOOKUP('Données projet'!$B$10,Paramètres!$A$1:$I$89,3,0)*0.475*44/12</f>
        <v>5.7978496103665304E-19</v>
      </c>
      <c r="AX164" s="21">
        <f t="shared" si="166"/>
        <v>0.80814949018038695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35.999999999999943</v>
      </c>
      <c r="BE164" s="13">
        <f>BD164*VLOOKUP('Données projet'!$B$11,Paramètres!$A$1:$I$89,3,0)*VLOOKUP('Données projet'!$B$11,Paramètres!$A$1:$I$89,5,0)</f>
        <v>31.449599999999958</v>
      </c>
      <c r="BF164" s="13">
        <f t="shared" si="167"/>
        <v>9.7016318496336709</v>
      </c>
      <c r="BG164" s="20">
        <f t="shared" si="168"/>
        <v>71.671728804778567</v>
      </c>
      <c r="BH164" s="59">
        <f t="shared" si="116"/>
        <v>365.0050621381119</v>
      </c>
      <c r="BI164" s="59">
        <f ca="1">AVERAGE(OFFSET($BH$3,0,0,'Données projet'!$E$11+1,1))-AVERAGE(OFFSET($H$3,0,0,'Données projet'!$E$11+1,1))</f>
        <v>247.43282553724879</v>
      </c>
      <c r="BJ164" s="59">
        <f t="shared" si="146"/>
        <v>637.29471578895527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5.272815045601347E-18</v>
      </c>
      <c r="BS164" s="22">
        <f t="shared" si="169"/>
        <v>5.272815045601347E-18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4.6111381379887463E-14</v>
      </c>
      <c r="CA164" s="13">
        <f t="shared" si="170"/>
        <v>7.5804141040779151E-13</v>
      </c>
      <c r="CB164" s="20">
        <f t="shared" si="171"/>
        <v>1.4005661123635408E-12</v>
      </c>
      <c r="CC164" s="59">
        <f t="shared" si="119"/>
        <v>293.33333333333474</v>
      </c>
      <c r="CD164" s="59">
        <f ca="1">AVERAGE(OFFSET($CC$3,0,0,'Données projet'!$E$12+1,1))-AVERAGE(OFFSET($H$3,0,0,'Données projet'!$E$12+1,1))</f>
        <v>230.68538392491388</v>
      </c>
      <c r="CE164" s="59">
        <f t="shared" si="148"/>
        <v>267.97457956620724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0.22508544795311805</v>
      </c>
      <c r="CM164" s="21">
        <f>EXP(-LN(2)/2)*CM163+(1-EXP(-LN(2)/2))/(LN(2)/2)*CG164*CJ164*VLOOKUP('Données projet'!$B$12,Paramètres!$A$1:$I$89,3,0)*0.475*44/12</f>
        <v>2.103021042044295E-19</v>
      </c>
      <c r="CN164" s="22">
        <f t="shared" si="172"/>
        <v>0.22508544795311805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3.2366642699344085E-14</v>
      </c>
      <c r="CV164" s="13">
        <f t="shared" si="173"/>
        <v>5.5446527398450045E-13</v>
      </c>
      <c r="CW164" s="20">
        <f t="shared" si="174"/>
        <v>1.0220655882243624E-12</v>
      </c>
      <c r="CX164" s="59">
        <f t="shared" si="122"/>
        <v>293.33333333333434</v>
      </c>
      <c r="CY164" s="59">
        <f ca="1">AVERAGE(OFFSET($CX$3,0,0,'Données projet'!$E$13+1,1))-AVERAGE(OFFSET($H$3,0,0,'Données projet'!$E$13+1,1))</f>
        <v>242.1473060698724</v>
      </c>
      <c r="CZ164" s="59">
        <f t="shared" si="150"/>
        <v>96.127995920458659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0</v>
      </c>
      <c r="EP164" s="59">
        <f t="shared" si="154"/>
        <v>0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179.86010141761648</v>
      </c>
      <c r="T165" s="59">
        <f t="shared" si="142"/>
        <v>367.01744242396057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4.8133149846368672</v>
      </c>
      <c r="AA165" s="21">
        <f>EXP(-LN(2)/25)*AA164+(1-EXP(-LN(2)/25))/(LN(2)/25)*Calculateur!V165*Calculateur!X165*VLOOKUP('Données projet'!$B$9,Paramètres!$A$1:$I$89,3,0)*0.475*44/12</f>
        <v>1.5150884292900622</v>
      </c>
      <c r="AB165" s="21">
        <f>EXP(-LN(2)/2)*AB164+(1-EXP(-LN(2)/2))/(LN(2)/2)*V165*Y165*VLOOKUP('Données projet'!$B$9,Paramètres!$A$1:$I$89,3,0)*0.475*44/12</f>
        <v>6.1584780096099389E-18</v>
      </c>
      <c r="AC165" s="22">
        <f t="shared" si="163"/>
        <v>6.3284034139269298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-4.758931027026848E-13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318.09371753144256</v>
      </c>
      <c r="AO165" s="59">
        <f t="shared" si="144"/>
        <v>298.61479562586919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0.53188623478019437</v>
      </c>
      <c r="AW165" s="21">
        <f>EXP(-LN(2)/2)*AW164+(1-EXP(-LN(2)/2))/(LN(2)/2)*AQ165*AT165*VLOOKUP('Données projet'!$B$10,Paramètres!$A$1:$I$89,3,0)*0.475*44/12</f>
        <v>4.0996987757899561E-19</v>
      </c>
      <c r="AX165" s="21">
        <f t="shared" si="166"/>
        <v>0.78807200505865005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35.999999999999943</v>
      </c>
      <c r="BE165" s="13">
        <f>BD165*VLOOKUP('Données projet'!$B$11,Paramètres!$A$1:$I$89,3,0)*VLOOKUP('Données projet'!$B$11,Paramètres!$A$1:$I$89,5,0)</f>
        <v>31.449599999999958</v>
      </c>
      <c r="BF165" s="13">
        <f t="shared" si="167"/>
        <v>9.7016318496336709</v>
      </c>
      <c r="BG165" s="20">
        <f t="shared" si="168"/>
        <v>71.671728804778567</v>
      </c>
      <c r="BH165" s="59">
        <f t="shared" si="116"/>
        <v>365.0050621381119</v>
      </c>
      <c r="BI165" s="59">
        <f ca="1">AVERAGE(OFFSET($BH$3,0,0,'Données projet'!$E$11+1,1))-AVERAGE(OFFSET($H$3,0,0,'Données projet'!$E$11+1,1))</f>
        <v>247.43282553724879</v>
      </c>
      <c r="BJ165" s="59">
        <f t="shared" si="146"/>
        <v>637.29471578895527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3.7284432746871673E-18</v>
      </c>
      <c r="BS165" s="22">
        <f t="shared" si="169"/>
        <v>3.7284432746871673E-18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4.6111381379887463E-14</v>
      </c>
      <c r="CA165" s="13">
        <f t="shared" si="170"/>
        <v>7.5804141040779151E-13</v>
      </c>
      <c r="CB165" s="20">
        <f t="shared" si="171"/>
        <v>1.4005661123635408E-12</v>
      </c>
      <c r="CC165" s="59">
        <f t="shared" si="119"/>
        <v>293.33333333333474</v>
      </c>
      <c r="CD165" s="59">
        <f ca="1">AVERAGE(OFFSET($CC$3,0,0,'Données projet'!$E$12+1,1))-AVERAGE(OFFSET($H$3,0,0,'Données projet'!$E$12+1,1))</f>
        <v>230.68538392491388</v>
      </c>
      <c r="CE165" s="59">
        <f t="shared" si="148"/>
        <v>267.97457956620724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0.21893047454211076</v>
      </c>
      <c r="CM165" s="21">
        <f>EXP(-LN(2)/2)*CM164+(1-EXP(-LN(2)/2))/(LN(2)/2)*CG165*CJ165*VLOOKUP('Données projet'!$B$12,Paramètres!$A$1:$I$89,3,0)*0.475*44/12</f>
        <v>1.4870604398075204E-19</v>
      </c>
      <c r="CN165" s="22">
        <f t="shared" si="172"/>
        <v>0.21893047454211076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3.2366642699344085E-14</v>
      </c>
      <c r="CV165" s="13">
        <f t="shared" si="173"/>
        <v>5.5446527398450045E-13</v>
      </c>
      <c r="CW165" s="20">
        <f t="shared" si="174"/>
        <v>1.0220655882243624E-12</v>
      </c>
      <c r="CX165" s="59">
        <f t="shared" si="122"/>
        <v>293.33333333333434</v>
      </c>
      <c r="CY165" s="59">
        <f ca="1">AVERAGE(OFFSET($CX$3,0,0,'Données projet'!$E$13+1,1))-AVERAGE(OFFSET($H$3,0,0,'Données projet'!$E$13+1,1))</f>
        <v>242.1473060698724</v>
      </c>
      <c r="CZ165" s="59">
        <f t="shared" si="150"/>
        <v>96.127995920458659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0</v>
      </c>
      <c r="EP165" s="59">
        <f t="shared" si="154"/>
        <v>0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179.86010141761648</v>
      </c>
      <c r="T166" s="59">
        <f t="shared" si="142"/>
        <v>367.01744242396057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4.7189288136203897</v>
      </c>
      <c r="AA166" s="21">
        <f>EXP(-LN(2)/25)*AA165+(1-EXP(-LN(2)/25))/(LN(2)/25)*Calculateur!V166*Calculateur!X166*VLOOKUP('Données projet'!$B$9,Paramètres!$A$1:$I$89,3,0)*0.475*44/12</f>
        <v>1.4736582565160876</v>
      </c>
      <c r="AB166" s="21">
        <f>EXP(-LN(2)/2)*AB165+(1-EXP(-LN(2)/2))/(LN(2)/2)*V166*Y166*VLOOKUP('Données projet'!$B$9,Paramètres!$A$1:$I$89,3,0)*0.475*44/12</f>
        <v>4.3547015623834197E-18</v>
      </c>
      <c r="AC166" s="22">
        <f t="shared" si="163"/>
        <v>6.1925870701364776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-4.758931027026848E-13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318.09371753144256</v>
      </c>
      <c r="AO166" s="59">
        <f t="shared" si="144"/>
        <v>298.61479562586919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0.51734177771944856</v>
      </c>
      <c r="AW166" s="21">
        <f>EXP(-LN(2)/2)*AW165+(1-EXP(-LN(2)/2))/(LN(2)/2)*AQ166*AT166*VLOOKUP('Données projet'!$B$10,Paramètres!$A$1:$I$89,3,0)*0.475*44/12</f>
        <v>2.8989248051832652E-19</v>
      </c>
      <c r="AX166" s="21">
        <f t="shared" si="166"/>
        <v>0.76850390130063428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35.999999999999943</v>
      </c>
      <c r="BE166" s="13">
        <f>BD166*VLOOKUP('Données projet'!$B$11,Paramètres!$A$1:$I$89,3,0)*VLOOKUP('Données projet'!$B$11,Paramètres!$A$1:$I$89,5,0)</f>
        <v>31.449599999999958</v>
      </c>
      <c r="BF166" s="13">
        <f t="shared" si="167"/>
        <v>9.7016318496336709</v>
      </c>
      <c r="BG166" s="20">
        <f t="shared" si="168"/>
        <v>71.671728804778567</v>
      </c>
      <c r="BH166" s="59">
        <f t="shared" si="116"/>
        <v>365.0050621381119</v>
      </c>
      <c r="BI166" s="59">
        <f ca="1">AVERAGE(OFFSET($BH$3,0,0,'Données projet'!$E$11+1,1))-AVERAGE(OFFSET($H$3,0,0,'Données projet'!$E$11+1,1))</f>
        <v>247.43282553724879</v>
      </c>
      <c r="BJ166" s="59">
        <f t="shared" si="146"/>
        <v>637.29471578895527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2.6364075228006735E-18</v>
      </c>
      <c r="BS166" s="22">
        <f t="shared" si="169"/>
        <v>2.6364075228006735E-18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4.6111381379887463E-14</v>
      </c>
      <c r="CA166" s="13">
        <f t="shared" si="170"/>
        <v>7.5804141040779151E-13</v>
      </c>
      <c r="CB166" s="20">
        <f t="shared" si="171"/>
        <v>1.4005661123635408E-12</v>
      </c>
      <c r="CC166" s="59">
        <f t="shared" si="119"/>
        <v>293.33333333333474</v>
      </c>
      <c r="CD166" s="59">
        <f ca="1">AVERAGE(OFFSET($CC$3,0,0,'Données projet'!$E$12+1,1))-AVERAGE(OFFSET($H$3,0,0,'Données projet'!$E$12+1,1))</f>
        <v>230.68538392491388</v>
      </c>
      <c r="CE166" s="59">
        <f t="shared" si="148"/>
        <v>267.97457956620724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0.21294380920270345</v>
      </c>
      <c r="CM166" s="21">
        <f>EXP(-LN(2)/2)*CM165+(1-EXP(-LN(2)/2))/(LN(2)/2)*CG166*CJ166*VLOOKUP('Données projet'!$B$12,Paramètres!$A$1:$I$89,3,0)*0.475*44/12</f>
        <v>1.0515105210221475E-19</v>
      </c>
      <c r="CN166" s="22">
        <f t="shared" si="172"/>
        <v>0.21294380920270345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3.2366642699344085E-14</v>
      </c>
      <c r="CV166" s="13">
        <f t="shared" si="173"/>
        <v>5.5446527398450045E-13</v>
      </c>
      <c r="CW166" s="20">
        <f t="shared" si="174"/>
        <v>1.0220655882243624E-12</v>
      </c>
      <c r="CX166" s="59">
        <f t="shared" si="122"/>
        <v>293.33333333333434</v>
      </c>
      <c r="CY166" s="59">
        <f ca="1">AVERAGE(OFFSET($CX$3,0,0,'Données projet'!$E$13+1,1))-AVERAGE(OFFSET($H$3,0,0,'Données projet'!$E$13+1,1))</f>
        <v>242.1473060698724</v>
      </c>
      <c r="CZ166" s="59">
        <f t="shared" si="150"/>
        <v>96.127995920458659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0</v>
      </c>
      <c r="EP166" s="59">
        <f t="shared" si="154"/>
        <v>0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179.86010141761648</v>
      </c>
      <c r="T167" s="59">
        <f t="shared" si="142"/>
        <v>367.01744242396057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4.6263934978476655</v>
      </c>
      <c r="AA167" s="21">
        <f>EXP(-LN(2)/25)*AA166+(1-EXP(-LN(2)/25))/(LN(2)/25)*Calculateur!V167*Calculateur!X167*VLOOKUP('Données projet'!$B$9,Paramètres!$A$1:$I$89,3,0)*0.475*44/12</f>
        <v>1.4333609939953356</v>
      </c>
      <c r="AB167" s="21">
        <f>EXP(-LN(2)/2)*AB166+(1-EXP(-LN(2)/2))/(LN(2)/2)*V167*Y167*VLOOKUP('Données projet'!$B$9,Paramètres!$A$1:$I$89,3,0)*0.475*44/12</f>
        <v>3.0792390048049695E-18</v>
      </c>
      <c r="AC167" s="22">
        <f t="shared" si="163"/>
        <v>6.0597544918430009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-4.758931027026848E-13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318.09371753144256</v>
      </c>
      <c r="AO167" s="59">
        <f t="shared" si="144"/>
        <v>298.61479562586919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0.50319503960188849</v>
      </c>
      <c r="AW167" s="21">
        <f>EXP(-LN(2)/2)*AW166+(1-EXP(-LN(2)/2))/(LN(2)/2)*AQ167*AT167*VLOOKUP('Données projet'!$B$10,Paramètres!$A$1:$I$89,3,0)*0.475*44/12</f>
        <v>2.049849387894978E-19</v>
      </c>
      <c r="AX167" s="21">
        <f t="shared" si="166"/>
        <v>0.74943202713341595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35.999999999999943</v>
      </c>
      <c r="BE167" s="13">
        <f>BD167*VLOOKUP('Données projet'!$B$11,Paramètres!$A$1:$I$89,3,0)*VLOOKUP('Données projet'!$B$11,Paramètres!$A$1:$I$89,5,0)</f>
        <v>31.449599999999958</v>
      </c>
      <c r="BF167" s="13">
        <f t="shared" si="167"/>
        <v>9.7016318496336709</v>
      </c>
      <c r="BG167" s="20">
        <f t="shared" si="168"/>
        <v>71.671728804778567</v>
      </c>
      <c r="BH167" s="59">
        <f t="shared" si="116"/>
        <v>365.0050621381119</v>
      </c>
      <c r="BI167" s="59">
        <f ca="1">AVERAGE(OFFSET($BH$3,0,0,'Données projet'!$E$11+1,1))-AVERAGE(OFFSET($H$3,0,0,'Données projet'!$E$11+1,1))</f>
        <v>247.43282553724879</v>
      </c>
      <c r="BJ167" s="59">
        <f t="shared" si="146"/>
        <v>637.29471578895527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1.8642216373435836E-18</v>
      </c>
      <c r="BS167" s="22">
        <f t="shared" si="169"/>
        <v>1.8642216373435836E-18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4.6111381379887463E-14</v>
      </c>
      <c r="CA167" s="13">
        <f t="shared" si="170"/>
        <v>7.5804141040779151E-13</v>
      </c>
      <c r="CB167" s="20">
        <f t="shared" si="171"/>
        <v>1.4005661123635408E-12</v>
      </c>
      <c r="CC167" s="59">
        <f t="shared" si="119"/>
        <v>293.33333333333474</v>
      </c>
      <c r="CD167" s="59">
        <f ca="1">AVERAGE(OFFSET($CC$3,0,0,'Données projet'!$E$12+1,1))-AVERAGE(OFFSET($H$3,0,0,'Données projet'!$E$12+1,1))</f>
        <v>230.68538392491388</v>
      </c>
      <c r="CE167" s="59">
        <f t="shared" si="148"/>
        <v>267.97457956620724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0.20712084954182727</v>
      </c>
      <c r="CM167" s="21">
        <f>EXP(-LN(2)/2)*CM166+(1-EXP(-LN(2)/2))/(LN(2)/2)*CG167*CJ167*VLOOKUP('Données projet'!$B$12,Paramètres!$A$1:$I$89,3,0)*0.475*44/12</f>
        <v>7.4353021990376022E-20</v>
      </c>
      <c r="CN167" s="22">
        <f t="shared" si="172"/>
        <v>0.20712084954182727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3.2366642699344085E-14</v>
      </c>
      <c r="CV167" s="13">
        <f t="shared" si="173"/>
        <v>5.5446527398450045E-13</v>
      </c>
      <c r="CW167" s="20">
        <f t="shared" si="174"/>
        <v>1.0220655882243624E-12</v>
      </c>
      <c r="CX167" s="59">
        <f t="shared" si="122"/>
        <v>293.33333333333434</v>
      </c>
      <c r="CY167" s="59">
        <f ca="1">AVERAGE(OFFSET($CX$3,0,0,'Données projet'!$E$13+1,1))-AVERAGE(OFFSET($H$3,0,0,'Données projet'!$E$13+1,1))</f>
        <v>242.1473060698724</v>
      </c>
      <c r="CZ167" s="59">
        <f t="shared" si="150"/>
        <v>96.127995920458659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0</v>
      </c>
      <c r="EP167" s="59">
        <f t="shared" si="154"/>
        <v>0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179.86010141761648</v>
      </c>
      <c r="T168" s="59">
        <f t="shared" si="142"/>
        <v>367.01744242396057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4.5356727431762751</v>
      </c>
      <c r="AA168" s="21">
        <f>EXP(-LN(2)/25)*AA167+(1-EXP(-LN(2)/25))/(LN(2)/25)*Calculateur!V168*Calculateur!X168*VLOOKUP('Données projet'!$B$9,Paramètres!$A$1:$I$89,3,0)*0.475*44/12</f>
        <v>1.3941656622373544</v>
      </c>
      <c r="AB168" s="21">
        <f>EXP(-LN(2)/2)*AB167+(1-EXP(-LN(2)/2))/(LN(2)/2)*V168*Y168*VLOOKUP('Données projet'!$B$9,Paramètres!$A$1:$I$89,3,0)*0.475*44/12</f>
        <v>2.1773507811917099E-18</v>
      </c>
      <c r="AC168" s="22">
        <f t="shared" si="163"/>
        <v>5.9298384054136299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-4.758931027026848E-13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318.09371753144256</v>
      </c>
      <c r="AO168" s="59">
        <f t="shared" si="144"/>
        <v>298.61479562586919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0.48943514478209776</v>
      </c>
      <c r="AW168" s="21">
        <f>EXP(-LN(2)/2)*AW167+(1-EXP(-LN(2)/2))/(LN(2)/2)*AQ168*AT168*VLOOKUP('Données projet'!$B$10,Paramètres!$A$1:$I$89,3,0)*0.475*44/12</f>
        <v>1.4494624025916326E-19</v>
      </c>
      <c r="AX168" s="21">
        <f t="shared" si="166"/>
        <v>0.73084357517786436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35.999999999999943</v>
      </c>
      <c r="BE168" s="13">
        <f>BD168*VLOOKUP('Données projet'!$B$11,Paramètres!$A$1:$I$89,3,0)*VLOOKUP('Données projet'!$B$11,Paramètres!$A$1:$I$89,5,0)</f>
        <v>31.449599999999958</v>
      </c>
      <c r="BF168" s="13">
        <f t="shared" si="167"/>
        <v>9.7016318496336709</v>
      </c>
      <c r="BG168" s="20">
        <f t="shared" si="168"/>
        <v>71.671728804778567</v>
      </c>
      <c r="BH168" s="59">
        <f t="shared" si="116"/>
        <v>365.0050621381119</v>
      </c>
      <c r="BI168" s="59">
        <f ca="1">AVERAGE(OFFSET($BH$3,0,0,'Données projet'!$E$11+1,1))-AVERAGE(OFFSET($H$3,0,0,'Données projet'!$E$11+1,1))</f>
        <v>247.43282553724879</v>
      </c>
      <c r="BJ168" s="59">
        <f t="shared" si="146"/>
        <v>637.29471578895527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1.3182037614003368E-18</v>
      </c>
      <c r="BS168" s="22">
        <f t="shared" si="169"/>
        <v>1.3182037614003368E-18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4.6111381379887463E-14</v>
      </c>
      <c r="CA168" s="13">
        <f t="shared" si="170"/>
        <v>7.5804141040779151E-13</v>
      </c>
      <c r="CB168" s="20">
        <f t="shared" si="171"/>
        <v>1.4005661123635408E-12</v>
      </c>
      <c r="CC168" s="59">
        <f t="shared" si="119"/>
        <v>293.33333333333474</v>
      </c>
      <c r="CD168" s="59">
        <f ca="1">AVERAGE(OFFSET($CC$3,0,0,'Données projet'!$E$12+1,1))-AVERAGE(OFFSET($H$3,0,0,'Données projet'!$E$12+1,1))</f>
        <v>230.68538392491388</v>
      </c>
      <c r="CE168" s="59">
        <f t="shared" si="148"/>
        <v>267.97457956620724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0.20145711901909391</v>
      </c>
      <c r="CM168" s="21">
        <f>EXP(-LN(2)/2)*CM167+(1-EXP(-LN(2)/2))/(LN(2)/2)*CG168*CJ168*VLOOKUP('Données projet'!$B$12,Paramètres!$A$1:$I$89,3,0)*0.475*44/12</f>
        <v>5.2575526051107375E-20</v>
      </c>
      <c r="CN168" s="22">
        <f t="shared" si="172"/>
        <v>0.20145711901909391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3.2366642699344085E-14</v>
      </c>
      <c r="CV168" s="13">
        <f t="shared" si="173"/>
        <v>5.5446527398450045E-13</v>
      </c>
      <c r="CW168" s="20">
        <f t="shared" si="174"/>
        <v>1.0220655882243624E-12</v>
      </c>
      <c r="CX168" s="59">
        <f t="shared" si="122"/>
        <v>293.33333333333434</v>
      </c>
      <c r="CY168" s="59">
        <f ca="1">AVERAGE(OFFSET($CX$3,0,0,'Données projet'!$E$13+1,1))-AVERAGE(OFFSET($H$3,0,0,'Données projet'!$E$13+1,1))</f>
        <v>242.1473060698724</v>
      </c>
      <c r="CZ168" s="59">
        <f t="shared" si="150"/>
        <v>96.127995920458659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0</v>
      </c>
      <c r="EP168" s="59">
        <f t="shared" si="154"/>
        <v>0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179.86010141761648</v>
      </c>
      <c r="T169" s="59">
        <f t="shared" si="142"/>
        <v>367.01744242396057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4.4467309671697937</v>
      </c>
      <c r="AA169" s="21">
        <f>EXP(-LN(2)/25)*AA168+(1-EXP(-LN(2)/25))/(LN(2)/25)*Calculateur!V169*Calculateur!X169*VLOOKUP('Données projet'!$B$9,Paramètres!$A$1:$I$89,3,0)*0.475*44/12</f>
        <v>1.3560421288874882</v>
      </c>
      <c r="AB169" s="21">
        <f>EXP(-LN(2)/2)*AB168+(1-EXP(-LN(2)/2))/(LN(2)/2)*V169*Y169*VLOOKUP('Données projet'!$B$9,Paramètres!$A$1:$I$89,3,0)*0.475*44/12</f>
        <v>1.5396195024024847E-18</v>
      </c>
      <c r="AC169" s="22">
        <f t="shared" si="163"/>
        <v>5.8027730960572814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-4.758931027026848E-13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318.09371753144256</v>
      </c>
      <c r="AO169" s="59">
        <f t="shared" si="144"/>
        <v>298.61479562586919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0.47605151500975568</v>
      </c>
      <c r="AW169" s="21">
        <f>EXP(-LN(2)/2)*AW168+(1-EXP(-LN(2)/2))/(LN(2)/2)*AQ169*AT169*VLOOKUP('Données projet'!$B$10,Paramètres!$A$1:$I$89,3,0)*0.475*44/12</f>
        <v>1.024924693947489E-19</v>
      </c>
      <c r="AX169" s="21">
        <f t="shared" si="166"/>
        <v>0.71272607333006466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35.999999999999943</v>
      </c>
      <c r="BE169" s="13">
        <f>BD169*VLOOKUP('Données projet'!$B$11,Paramètres!$A$1:$I$89,3,0)*VLOOKUP('Données projet'!$B$11,Paramètres!$A$1:$I$89,5,0)</f>
        <v>31.449599999999958</v>
      </c>
      <c r="BF169" s="13">
        <f t="shared" si="167"/>
        <v>9.7016318496336709</v>
      </c>
      <c r="BG169" s="20">
        <f t="shared" si="168"/>
        <v>71.671728804778567</v>
      </c>
      <c r="BH169" s="59">
        <f t="shared" si="116"/>
        <v>365.0050621381119</v>
      </c>
      <c r="BI169" s="59">
        <f ca="1">AVERAGE(OFFSET($BH$3,0,0,'Données projet'!$E$11+1,1))-AVERAGE(OFFSET($H$3,0,0,'Données projet'!$E$11+1,1))</f>
        <v>247.43282553724879</v>
      </c>
      <c r="BJ169" s="59">
        <f t="shared" si="146"/>
        <v>637.29471578895527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9.3211081867179182E-19</v>
      </c>
      <c r="BS169" s="22">
        <f t="shared" si="169"/>
        <v>9.3211081867179182E-19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4.6111381379887463E-14</v>
      </c>
      <c r="CA169" s="13">
        <f t="shared" si="170"/>
        <v>7.5804141040779151E-13</v>
      </c>
      <c r="CB169" s="20">
        <f t="shared" si="171"/>
        <v>1.4005661123635408E-12</v>
      </c>
      <c r="CC169" s="59">
        <f t="shared" si="119"/>
        <v>293.33333333333474</v>
      </c>
      <c r="CD169" s="59">
        <f ca="1">AVERAGE(OFFSET($CC$3,0,0,'Données projet'!$E$12+1,1))-AVERAGE(OFFSET($H$3,0,0,'Données projet'!$E$12+1,1))</f>
        <v>230.68538392491388</v>
      </c>
      <c r="CE169" s="59">
        <f t="shared" si="148"/>
        <v>267.97457956620724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0.19594826350534733</v>
      </c>
      <c r="CM169" s="21">
        <f>EXP(-LN(2)/2)*CM168+(1-EXP(-LN(2)/2))/(LN(2)/2)*CG169*CJ169*VLOOKUP('Données projet'!$B$12,Paramètres!$A$1:$I$89,3,0)*0.475*44/12</f>
        <v>3.7176510995188011E-20</v>
      </c>
      <c r="CN169" s="22">
        <f t="shared" si="172"/>
        <v>0.19594826350534733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3.2366642699344085E-14</v>
      </c>
      <c r="CV169" s="13">
        <f t="shared" si="173"/>
        <v>5.5446527398450045E-13</v>
      </c>
      <c r="CW169" s="20">
        <f t="shared" si="174"/>
        <v>1.0220655882243624E-12</v>
      </c>
      <c r="CX169" s="59">
        <f t="shared" si="122"/>
        <v>293.33333333333434</v>
      </c>
      <c r="CY169" s="59">
        <f ca="1">AVERAGE(OFFSET($CX$3,0,0,'Données projet'!$E$13+1,1))-AVERAGE(OFFSET($H$3,0,0,'Données projet'!$E$13+1,1))</f>
        <v>242.1473060698724</v>
      </c>
      <c r="CZ169" s="59">
        <f t="shared" si="150"/>
        <v>96.127995920458659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0</v>
      </c>
      <c r="EP169" s="59">
        <f t="shared" si="154"/>
        <v>0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179.86010141761648</v>
      </c>
      <c r="T170" s="59">
        <f t="shared" si="142"/>
        <v>367.01744242396057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4.3595332851416728</v>
      </c>
      <c r="AA170" s="21">
        <f>EXP(-LN(2)/25)*AA169+(1-EXP(-LN(2)/25))/(LN(2)/25)*Calculateur!V170*Calculateur!X170*VLOOKUP('Données projet'!$B$9,Paramètres!$A$1:$I$89,3,0)*0.475*44/12</f>
        <v>1.3189610855619036</v>
      </c>
      <c r="AB170" s="21">
        <f>EXP(-LN(2)/2)*AB169+(1-EXP(-LN(2)/2))/(LN(2)/2)*V170*Y170*VLOOKUP('Données projet'!$B$9,Paramètres!$A$1:$I$89,3,0)*0.475*44/12</f>
        <v>1.0886753905958549E-18</v>
      </c>
      <c r="AC170" s="22">
        <f t="shared" si="163"/>
        <v>5.6784943707035769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-4.758931027026848E-13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318.09371753144256</v>
      </c>
      <c r="AO170" s="59">
        <f t="shared" si="144"/>
        <v>298.61479562586919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0.46303386129735274</v>
      </c>
      <c r="AW170" s="21">
        <f>EXP(-LN(2)/2)*AW169+(1-EXP(-LN(2)/2))/(LN(2)/2)*AQ170*AT170*VLOOKUP('Données projet'!$B$10,Paramètres!$A$1:$I$89,3,0)*0.475*44/12</f>
        <v>7.247312012958163E-20</v>
      </c>
      <c r="AX170" s="21">
        <f t="shared" si="166"/>
        <v>0.69506737588622691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35.999999999999943</v>
      </c>
      <c r="BE170" s="13">
        <f>BD170*VLOOKUP('Données projet'!$B$11,Paramètres!$A$1:$I$89,3,0)*VLOOKUP('Données projet'!$B$11,Paramètres!$A$1:$I$89,5,0)</f>
        <v>31.449599999999958</v>
      </c>
      <c r="BF170" s="13">
        <f t="shared" si="167"/>
        <v>9.7016318496336709</v>
      </c>
      <c r="BG170" s="20">
        <f t="shared" si="168"/>
        <v>71.671728804778567</v>
      </c>
      <c r="BH170" s="59">
        <f t="shared" si="116"/>
        <v>365.0050621381119</v>
      </c>
      <c r="BI170" s="59">
        <f ca="1">AVERAGE(OFFSET($BH$3,0,0,'Données projet'!$E$11+1,1))-AVERAGE(OFFSET($H$3,0,0,'Données projet'!$E$11+1,1))</f>
        <v>247.43282553724879</v>
      </c>
      <c r="BJ170" s="59">
        <f t="shared" si="146"/>
        <v>637.29471578895527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6.5910188070016838E-19</v>
      </c>
      <c r="BS170" s="22">
        <f t="shared" si="169"/>
        <v>6.5910188070016838E-19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4.6111381379887463E-14</v>
      </c>
      <c r="CA170" s="13">
        <f t="shared" si="170"/>
        <v>7.5804141040779151E-13</v>
      </c>
      <c r="CB170" s="20">
        <f t="shared" si="171"/>
        <v>1.4005661123635408E-12</v>
      </c>
      <c r="CC170" s="59">
        <f t="shared" si="119"/>
        <v>293.33333333333474</v>
      </c>
      <c r="CD170" s="59">
        <f ca="1">AVERAGE(OFFSET($CC$3,0,0,'Données projet'!$E$12+1,1))-AVERAGE(OFFSET($H$3,0,0,'Données projet'!$E$12+1,1))</f>
        <v>230.68538392491388</v>
      </c>
      <c r="CE170" s="59">
        <f t="shared" si="148"/>
        <v>267.97457956620724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0.19059004793532228</v>
      </c>
      <c r="CM170" s="21">
        <f>EXP(-LN(2)/2)*CM169+(1-EXP(-LN(2)/2))/(LN(2)/2)*CG170*CJ170*VLOOKUP('Données projet'!$B$12,Paramètres!$A$1:$I$89,3,0)*0.475*44/12</f>
        <v>2.6287763025553687E-20</v>
      </c>
      <c r="CN170" s="22">
        <f t="shared" si="172"/>
        <v>0.19059004793532228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3.2366642699344085E-14</v>
      </c>
      <c r="CV170" s="13">
        <f t="shared" si="173"/>
        <v>5.5446527398450045E-13</v>
      </c>
      <c r="CW170" s="20">
        <f t="shared" si="174"/>
        <v>1.0220655882243624E-12</v>
      </c>
      <c r="CX170" s="59">
        <f t="shared" si="122"/>
        <v>293.33333333333434</v>
      </c>
      <c r="CY170" s="59">
        <f ca="1">AVERAGE(OFFSET($CX$3,0,0,'Données projet'!$E$13+1,1))-AVERAGE(OFFSET($H$3,0,0,'Données projet'!$E$13+1,1))</f>
        <v>242.1473060698724</v>
      </c>
      <c r="CZ170" s="59">
        <f t="shared" si="150"/>
        <v>96.127995920458659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0</v>
      </c>
      <c r="EP170" s="59">
        <f t="shared" si="154"/>
        <v>0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179.86010141761648</v>
      </c>
      <c r="T171" s="59">
        <f t="shared" si="142"/>
        <v>367.01744242396057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4.2740454964727892</v>
      </c>
      <c r="AA171" s="21">
        <f>EXP(-LN(2)/25)*AA170+(1-EXP(-LN(2)/25))/(LN(2)/25)*Calculateur!V171*Calculateur!X171*VLOOKUP('Données projet'!$B$9,Paramètres!$A$1:$I$89,3,0)*0.475*44/12</f>
        <v>1.2828940253160643</v>
      </c>
      <c r="AB171" s="21">
        <f>EXP(-LN(2)/2)*AB170+(1-EXP(-LN(2)/2))/(LN(2)/2)*V171*Y171*VLOOKUP('Données projet'!$B$9,Paramètres!$A$1:$I$89,3,0)*0.475*44/12</f>
        <v>7.6980975120124237E-19</v>
      </c>
      <c r="AC171" s="22">
        <f t="shared" si="163"/>
        <v>5.5569395217888538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-4.758931027026848E-13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318.09371753144256</v>
      </c>
      <c r="AO171" s="59">
        <f t="shared" si="144"/>
        <v>298.61479562586919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0.45037217601028412</v>
      </c>
      <c r="AW171" s="21">
        <f>EXP(-LN(2)/2)*AW170+(1-EXP(-LN(2)/2))/(LN(2)/2)*AQ171*AT171*VLOOKUP('Données projet'!$B$10,Paramètres!$A$1:$I$89,3,0)*0.475*44/12</f>
        <v>5.1246234697374451E-20</v>
      </c>
      <c r="AX171" s="21">
        <f t="shared" si="166"/>
        <v>0.67785565490453981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35.999999999999943</v>
      </c>
      <c r="BE171" s="13">
        <f>BD171*VLOOKUP('Données projet'!$B$11,Paramètres!$A$1:$I$89,3,0)*VLOOKUP('Données projet'!$B$11,Paramètres!$A$1:$I$89,5,0)</f>
        <v>31.449599999999958</v>
      </c>
      <c r="BF171" s="13">
        <f t="shared" si="167"/>
        <v>9.7016318496336709</v>
      </c>
      <c r="BG171" s="20">
        <f t="shared" si="168"/>
        <v>71.671728804778567</v>
      </c>
      <c r="BH171" s="59">
        <f t="shared" si="116"/>
        <v>365.0050621381119</v>
      </c>
      <c r="BI171" s="59">
        <f ca="1">AVERAGE(OFFSET($BH$3,0,0,'Données projet'!$E$11+1,1))-AVERAGE(OFFSET($H$3,0,0,'Données projet'!$E$11+1,1))</f>
        <v>247.43282553724879</v>
      </c>
      <c r="BJ171" s="59">
        <f t="shared" si="146"/>
        <v>637.29471578895527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4.6605540933589591E-19</v>
      </c>
      <c r="BS171" s="22">
        <f t="shared" si="169"/>
        <v>4.6605540933589591E-19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4.6111381379887463E-14</v>
      </c>
      <c r="CA171" s="13">
        <f t="shared" si="170"/>
        <v>7.5804141040779151E-13</v>
      </c>
      <c r="CB171" s="20">
        <f t="shared" si="171"/>
        <v>1.4005661123635408E-12</v>
      </c>
      <c r="CC171" s="59">
        <f t="shared" si="119"/>
        <v>293.33333333333474</v>
      </c>
      <c r="CD171" s="59">
        <f ca="1">AVERAGE(OFFSET($CC$3,0,0,'Données projet'!$E$12+1,1))-AVERAGE(OFFSET($H$3,0,0,'Données projet'!$E$12+1,1))</f>
        <v>230.68538392491388</v>
      </c>
      <c r="CE171" s="59">
        <f t="shared" si="148"/>
        <v>267.97457956620724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0.18537835305183586</v>
      </c>
      <c r="CM171" s="21">
        <f>EXP(-LN(2)/2)*CM170+(1-EXP(-LN(2)/2))/(LN(2)/2)*CG171*CJ171*VLOOKUP('Données projet'!$B$12,Paramètres!$A$1:$I$89,3,0)*0.475*44/12</f>
        <v>1.8588255497594005E-20</v>
      </c>
      <c r="CN171" s="22">
        <f t="shared" si="172"/>
        <v>0.18537835305183586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3.2366642699344085E-14</v>
      </c>
      <c r="CV171" s="13">
        <f t="shared" si="173"/>
        <v>5.5446527398450045E-13</v>
      </c>
      <c r="CW171" s="20">
        <f t="shared" si="174"/>
        <v>1.0220655882243624E-12</v>
      </c>
      <c r="CX171" s="59">
        <f t="shared" si="122"/>
        <v>293.33333333333434</v>
      </c>
      <c r="CY171" s="59">
        <f ca="1">AVERAGE(OFFSET($CX$3,0,0,'Données projet'!$E$13+1,1))-AVERAGE(OFFSET($H$3,0,0,'Données projet'!$E$13+1,1))</f>
        <v>242.1473060698724</v>
      </c>
      <c r="CZ171" s="59">
        <f t="shared" si="150"/>
        <v>96.127995920458659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0</v>
      </c>
      <c r="EP171" s="59">
        <f t="shared" si="154"/>
        <v>0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179.86010141761648</v>
      </c>
      <c r="T172" s="59">
        <f t="shared" si="142"/>
        <v>367.01744242396057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4.1902340711972998</v>
      </c>
      <c r="AA172" s="21">
        <f>EXP(-LN(2)/25)*AA171+(1-EXP(-LN(2)/25))/(LN(2)/25)*Calculateur!V172*Calculateur!X172*VLOOKUP('Données projet'!$B$9,Paramètres!$A$1:$I$89,3,0)*0.475*44/12</f>
        <v>1.2478132207293318</v>
      </c>
      <c r="AB172" s="21">
        <f>EXP(-LN(2)/2)*AB171+(1-EXP(-LN(2)/2))/(LN(2)/2)*V172*Y172*VLOOKUP('Données projet'!$B$9,Paramètres!$A$1:$I$89,3,0)*0.475*44/12</f>
        <v>5.4433769529792747E-19</v>
      </c>
      <c r="AC172" s="22">
        <f t="shared" si="163"/>
        <v>5.4380472919266314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-4.758931027026848E-13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318.09371753144256</v>
      </c>
      <c r="AO172" s="59">
        <f t="shared" si="144"/>
        <v>298.61479562586919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0.43805672517323951</v>
      </c>
      <c r="AW172" s="21">
        <f>EXP(-LN(2)/2)*AW171+(1-EXP(-LN(2)/2))/(LN(2)/2)*AQ172*AT172*VLOOKUP('Données projet'!$B$10,Paramètres!$A$1:$I$89,3,0)*0.475*44/12</f>
        <v>3.6236560064790815E-20</v>
      </c>
      <c r="AX172" s="21">
        <f t="shared" si="166"/>
        <v>0.66107939179760045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35.999999999999943</v>
      </c>
      <c r="BE172" s="13">
        <f>BD172*VLOOKUP('Données projet'!$B$11,Paramètres!$A$1:$I$89,3,0)*VLOOKUP('Données projet'!$B$11,Paramètres!$A$1:$I$89,5,0)</f>
        <v>31.449599999999958</v>
      </c>
      <c r="BF172" s="13">
        <f t="shared" si="167"/>
        <v>9.7016318496336709</v>
      </c>
      <c r="BG172" s="20">
        <f t="shared" si="168"/>
        <v>71.671728804778567</v>
      </c>
      <c r="BH172" s="59">
        <f t="shared" si="116"/>
        <v>365.0050621381119</v>
      </c>
      <c r="BI172" s="59">
        <f ca="1">AVERAGE(OFFSET($BH$3,0,0,'Données projet'!$E$11+1,1))-AVERAGE(OFFSET($H$3,0,0,'Données projet'!$E$11+1,1))</f>
        <v>247.43282553724879</v>
      </c>
      <c r="BJ172" s="59">
        <f t="shared" si="146"/>
        <v>637.29471578895527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3.2955094035008419E-19</v>
      </c>
      <c r="BS172" s="22">
        <f t="shared" si="169"/>
        <v>3.2955094035008419E-19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4.6111381379887463E-14</v>
      </c>
      <c r="CA172" s="13">
        <f t="shared" si="170"/>
        <v>7.5804141040779151E-13</v>
      </c>
      <c r="CB172" s="20">
        <f t="shared" si="171"/>
        <v>1.4005661123635408E-12</v>
      </c>
      <c r="CC172" s="59">
        <f t="shared" si="119"/>
        <v>293.33333333333474</v>
      </c>
      <c r="CD172" s="59">
        <f ca="1">AVERAGE(OFFSET($CC$3,0,0,'Données projet'!$E$12+1,1))-AVERAGE(OFFSET($H$3,0,0,'Données projet'!$E$12+1,1))</f>
        <v>230.68538392491388</v>
      </c>
      <c r="CE172" s="59">
        <f t="shared" si="148"/>
        <v>267.97457956620724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0.18030917223900952</v>
      </c>
      <c r="CM172" s="21">
        <f>EXP(-LN(2)/2)*CM171+(1-EXP(-LN(2)/2))/(LN(2)/2)*CG172*CJ172*VLOOKUP('Données projet'!$B$12,Paramètres!$A$1:$I$89,3,0)*0.475*44/12</f>
        <v>1.3143881512776844E-20</v>
      </c>
      <c r="CN172" s="22">
        <f t="shared" si="172"/>
        <v>0.18030917223900952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3.2366642699344085E-14</v>
      </c>
      <c r="CV172" s="13">
        <f t="shared" si="173"/>
        <v>5.5446527398450045E-13</v>
      </c>
      <c r="CW172" s="20">
        <f t="shared" si="174"/>
        <v>1.0220655882243624E-12</v>
      </c>
      <c r="CX172" s="59">
        <f t="shared" si="122"/>
        <v>293.33333333333434</v>
      </c>
      <c r="CY172" s="59">
        <f ca="1">AVERAGE(OFFSET($CX$3,0,0,'Données projet'!$E$13+1,1))-AVERAGE(OFFSET($H$3,0,0,'Données projet'!$E$13+1,1))</f>
        <v>242.1473060698724</v>
      </c>
      <c r="CZ172" s="59">
        <f t="shared" si="150"/>
        <v>96.127995920458659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0</v>
      </c>
      <c r="EP172" s="59">
        <f t="shared" si="154"/>
        <v>0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179.86010141761648</v>
      </c>
      <c r="T173" s="59">
        <f t="shared" si="142"/>
        <v>367.01744242396057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4.1080661368515408</v>
      </c>
      <c r="AA173" s="21">
        <f>EXP(-LN(2)/25)*AA172+(1-EXP(-LN(2)/25))/(LN(2)/25)*Calculateur!V173*Calculateur!X173*VLOOKUP('Données projet'!$B$9,Paramètres!$A$1:$I$89,3,0)*0.475*44/12</f>
        <v>1.2136917025888427</v>
      </c>
      <c r="AB173" s="21">
        <f>EXP(-LN(2)/2)*AB172+(1-EXP(-LN(2)/2))/(LN(2)/2)*V173*Y173*VLOOKUP('Données projet'!$B$9,Paramètres!$A$1:$I$89,3,0)*0.475*44/12</f>
        <v>3.8490487560062118E-19</v>
      </c>
      <c r="AC173" s="22">
        <f t="shared" si="163"/>
        <v>5.3217578394403837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-4.758931027026848E-13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318.09371753144256</v>
      </c>
      <c r="AO173" s="59">
        <f t="shared" si="144"/>
        <v>298.61479562586919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0.42607804098697527</v>
      </c>
      <c r="AW173" s="21">
        <f>EXP(-LN(2)/2)*AW172+(1-EXP(-LN(2)/2))/(LN(2)/2)*AQ173*AT173*VLOOKUP('Données projet'!$B$10,Paramètres!$A$1:$I$89,3,0)*0.475*44/12</f>
        <v>2.5623117348687225E-20</v>
      </c>
      <c r="AX173" s="21">
        <f t="shared" si="166"/>
        <v>0.64472736914922724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35.999999999999943</v>
      </c>
      <c r="BE173" s="13">
        <f>BD173*VLOOKUP('Données projet'!$B$11,Paramètres!$A$1:$I$89,3,0)*VLOOKUP('Données projet'!$B$11,Paramètres!$A$1:$I$89,5,0)</f>
        <v>31.449599999999958</v>
      </c>
      <c r="BF173" s="13">
        <f t="shared" si="167"/>
        <v>9.7016318496336709</v>
      </c>
      <c r="BG173" s="20">
        <f t="shared" si="168"/>
        <v>71.671728804778567</v>
      </c>
      <c r="BH173" s="59">
        <f t="shared" si="116"/>
        <v>365.0050621381119</v>
      </c>
      <c r="BI173" s="59">
        <f ca="1">AVERAGE(OFFSET($BH$3,0,0,'Données projet'!$E$11+1,1))-AVERAGE(OFFSET($H$3,0,0,'Données projet'!$E$11+1,1))</f>
        <v>247.43282553724879</v>
      </c>
      <c r="BJ173" s="59">
        <f t="shared" si="146"/>
        <v>637.29471578895527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2.3302770466794795E-19</v>
      </c>
      <c r="BS173" s="22">
        <f t="shared" si="169"/>
        <v>2.3302770466794795E-19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4.6111381379887463E-14</v>
      </c>
      <c r="CA173" s="13">
        <f t="shared" si="170"/>
        <v>7.5804141040779151E-13</v>
      </c>
      <c r="CB173" s="20">
        <f t="shared" si="171"/>
        <v>1.4005661123635408E-12</v>
      </c>
      <c r="CC173" s="59">
        <f t="shared" si="119"/>
        <v>293.33333333333474</v>
      </c>
      <c r="CD173" s="59">
        <f ca="1">AVERAGE(OFFSET($CC$3,0,0,'Données projet'!$E$12+1,1))-AVERAGE(OFFSET($H$3,0,0,'Données projet'!$E$12+1,1))</f>
        <v>230.68538392491388</v>
      </c>
      <c r="CE173" s="59">
        <f t="shared" si="148"/>
        <v>267.97457956620724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0.17537860844208655</v>
      </c>
      <c r="CM173" s="21">
        <f>EXP(-LN(2)/2)*CM172+(1-EXP(-LN(2)/2))/(LN(2)/2)*CG173*CJ173*VLOOKUP('Données projet'!$B$12,Paramètres!$A$1:$I$89,3,0)*0.475*44/12</f>
        <v>9.2941277487970027E-21</v>
      </c>
      <c r="CN173" s="22">
        <f t="shared" si="172"/>
        <v>0.17537860844208655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3.2366642699344085E-14</v>
      </c>
      <c r="CV173" s="13">
        <f t="shared" si="173"/>
        <v>5.5446527398450045E-13</v>
      </c>
      <c r="CW173" s="20">
        <f t="shared" si="174"/>
        <v>1.0220655882243624E-12</v>
      </c>
      <c r="CX173" s="59">
        <f t="shared" si="122"/>
        <v>293.33333333333434</v>
      </c>
      <c r="CY173" s="59">
        <f ca="1">AVERAGE(OFFSET($CX$3,0,0,'Données projet'!$E$13+1,1))-AVERAGE(OFFSET($H$3,0,0,'Données projet'!$E$13+1,1))</f>
        <v>242.1473060698724</v>
      </c>
      <c r="CZ173" s="59">
        <f t="shared" si="150"/>
        <v>96.127995920458659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0</v>
      </c>
      <c r="EP173" s="59">
        <f t="shared" si="154"/>
        <v>0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179.86010141761648</v>
      </c>
      <c r="T174" s="59">
        <f t="shared" si="142"/>
        <v>367.01744242396057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4.0275094655808106</v>
      </c>
      <c r="AA174" s="21">
        <f>EXP(-LN(2)/25)*AA173+(1-EXP(-LN(2)/25))/(LN(2)/25)*Calculateur!V174*Calculateur!X174*VLOOKUP('Données projet'!$B$9,Paramètres!$A$1:$I$89,3,0)*0.475*44/12</f>
        <v>1.1805032391562782</v>
      </c>
      <c r="AB174" s="21">
        <f>EXP(-LN(2)/2)*AB173+(1-EXP(-LN(2)/2))/(LN(2)/2)*V174*Y174*VLOOKUP('Données projet'!$B$9,Paramètres!$A$1:$I$89,3,0)*0.475*44/12</f>
        <v>2.7216884764896373E-19</v>
      </c>
      <c r="AC174" s="22">
        <f t="shared" si="163"/>
        <v>5.2080127047370883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-4.758931027026848E-13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318.09371753144256</v>
      </c>
      <c r="AO174" s="59">
        <f t="shared" si="144"/>
        <v>298.61479562586919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0.41442691454971609</v>
      </c>
      <c r="AW174" s="21">
        <f>EXP(-LN(2)/2)*AW173+(1-EXP(-LN(2)/2))/(LN(2)/2)*AQ174*AT174*VLOOKUP('Données projet'!$B$10,Paramètres!$A$1:$I$89,3,0)*0.475*44/12</f>
        <v>1.8118280032395407E-20</v>
      </c>
      <c r="AX174" s="21">
        <f t="shared" si="166"/>
        <v>0.62878866274962797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35.999999999999943</v>
      </c>
      <c r="BE174" s="13">
        <f>BD174*VLOOKUP('Données projet'!$B$11,Paramètres!$A$1:$I$89,3,0)*VLOOKUP('Données projet'!$B$11,Paramètres!$A$1:$I$89,5,0)</f>
        <v>31.449599999999958</v>
      </c>
      <c r="BF174" s="13">
        <f t="shared" si="167"/>
        <v>9.7016318496336709</v>
      </c>
      <c r="BG174" s="20">
        <f t="shared" si="168"/>
        <v>71.671728804778567</v>
      </c>
      <c r="BH174" s="59">
        <f t="shared" si="116"/>
        <v>365.0050621381119</v>
      </c>
      <c r="BI174" s="59">
        <f ca="1">AVERAGE(OFFSET($BH$3,0,0,'Données projet'!$E$11+1,1))-AVERAGE(OFFSET($H$3,0,0,'Données projet'!$E$11+1,1))</f>
        <v>247.43282553724879</v>
      </c>
      <c r="BJ174" s="59">
        <f t="shared" si="146"/>
        <v>637.29471578895527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1.6477547017504209E-19</v>
      </c>
      <c r="BS174" s="22">
        <f t="shared" si="169"/>
        <v>1.6477547017504209E-19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4.6111381379887463E-14</v>
      </c>
      <c r="CA174" s="13">
        <f t="shared" si="170"/>
        <v>7.5804141040779151E-13</v>
      </c>
      <c r="CB174" s="20">
        <f t="shared" si="171"/>
        <v>1.4005661123635408E-12</v>
      </c>
      <c r="CC174" s="59">
        <f t="shared" si="119"/>
        <v>293.33333333333474</v>
      </c>
      <c r="CD174" s="59">
        <f ca="1">AVERAGE(OFFSET($CC$3,0,0,'Données projet'!$E$12+1,1))-AVERAGE(OFFSET($H$3,0,0,'Données projet'!$E$12+1,1))</f>
        <v>230.68538392491388</v>
      </c>
      <c r="CE174" s="59">
        <f t="shared" si="148"/>
        <v>267.97457956620724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0.17058287117147752</v>
      </c>
      <c r="CM174" s="21">
        <f>EXP(-LN(2)/2)*CM173+(1-EXP(-LN(2)/2))/(LN(2)/2)*CG174*CJ174*VLOOKUP('Données projet'!$B$12,Paramètres!$A$1:$I$89,3,0)*0.475*44/12</f>
        <v>6.5719407563884218E-21</v>
      </c>
      <c r="CN174" s="22">
        <f t="shared" si="172"/>
        <v>0.17058287117147752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3.2366642699344085E-14</v>
      </c>
      <c r="CV174" s="13">
        <f t="shared" si="173"/>
        <v>5.5446527398450045E-13</v>
      </c>
      <c r="CW174" s="20">
        <f t="shared" si="174"/>
        <v>1.0220655882243624E-12</v>
      </c>
      <c r="CX174" s="59">
        <f t="shared" si="122"/>
        <v>293.33333333333434</v>
      </c>
      <c r="CY174" s="59">
        <f ca="1">AVERAGE(OFFSET($CX$3,0,0,'Données projet'!$E$13+1,1))-AVERAGE(OFFSET($H$3,0,0,'Données projet'!$E$13+1,1))</f>
        <v>242.1473060698724</v>
      </c>
      <c r="CZ174" s="59">
        <f t="shared" si="150"/>
        <v>96.127995920458659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0</v>
      </c>
      <c r="EP174" s="59">
        <f t="shared" si="154"/>
        <v>0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179.86010141761648</v>
      </c>
      <c r="T175" s="59">
        <f t="shared" si="142"/>
        <v>367.01744242396057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3.9485324614989818</v>
      </c>
      <c r="AA175" s="21">
        <f>EXP(-LN(2)/25)*AA174+(1-EXP(-LN(2)/25))/(LN(2)/25)*Calculateur!V175*Calculateur!X175*VLOOKUP('Données projet'!$B$9,Paramètres!$A$1:$I$89,3,0)*0.475*44/12</f>
        <v>1.1482223160015825</v>
      </c>
      <c r="AB175" s="21">
        <f>EXP(-LN(2)/2)*AB174+(1-EXP(-LN(2)/2))/(LN(2)/2)*V175*Y175*VLOOKUP('Données projet'!$B$9,Paramètres!$A$1:$I$89,3,0)*0.475*44/12</f>
        <v>1.9245243780031059E-19</v>
      </c>
      <c r="AC175" s="22">
        <f t="shared" si="163"/>
        <v>5.0967547775005642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-4.758931027026848E-13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318.09371753144256</v>
      </c>
      <c r="AO175" s="59">
        <f t="shared" si="144"/>
        <v>298.61479562586919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0.40309438877758985</v>
      </c>
      <c r="AW175" s="21">
        <f>EXP(-LN(2)/2)*AW174+(1-EXP(-LN(2)/2))/(LN(2)/2)*AQ175*AT175*VLOOKUP('Données projet'!$B$10,Paramètres!$A$1:$I$89,3,0)*0.475*44/12</f>
        <v>1.2811558674343613E-20</v>
      </c>
      <c r="AX175" s="21">
        <f t="shared" si="166"/>
        <v>0.6132526338430575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35.999999999999943</v>
      </c>
      <c r="BE175" s="13">
        <f>BD175*VLOOKUP('Données projet'!$B$11,Paramètres!$A$1:$I$89,3,0)*VLOOKUP('Données projet'!$B$11,Paramètres!$A$1:$I$89,5,0)</f>
        <v>31.449599999999958</v>
      </c>
      <c r="BF175" s="13">
        <f t="shared" si="167"/>
        <v>9.7016318496336709</v>
      </c>
      <c r="BG175" s="20">
        <f t="shared" si="168"/>
        <v>71.671728804778567</v>
      </c>
      <c r="BH175" s="59">
        <f t="shared" si="116"/>
        <v>365.0050621381119</v>
      </c>
      <c r="BI175" s="59">
        <f ca="1">AVERAGE(OFFSET($BH$3,0,0,'Données projet'!$E$11+1,1))-AVERAGE(OFFSET($H$3,0,0,'Données projet'!$E$11+1,1))</f>
        <v>247.43282553724879</v>
      </c>
      <c r="BJ175" s="59">
        <f t="shared" si="146"/>
        <v>637.29471578895527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1.1651385233397398E-19</v>
      </c>
      <c r="BS175" s="22">
        <f t="shared" si="169"/>
        <v>1.1651385233397398E-19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4.6111381379887463E-14</v>
      </c>
      <c r="CA175" s="13">
        <f t="shared" si="170"/>
        <v>7.5804141040779151E-13</v>
      </c>
      <c r="CB175" s="20">
        <f t="shared" si="171"/>
        <v>1.4005661123635408E-12</v>
      </c>
      <c r="CC175" s="59">
        <f t="shared" si="119"/>
        <v>293.33333333333474</v>
      </c>
      <c r="CD175" s="59">
        <f ca="1">AVERAGE(OFFSET($CC$3,0,0,'Données projet'!$E$12+1,1))-AVERAGE(OFFSET($H$3,0,0,'Données projet'!$E$12+1,1))</f>
        <v>230.68538392491388</v>
      </c>
      <c r="CE175" s="59">
        <f t="shared" si="148"/>
        <v>267.97457956620724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0.16591827358873015</v>
      </c>
      <c r="CM175" s="21">
        <f>EXP(-LN(2)/2)*CM174+(1-EXP(-LN(2)/2))/(LN(2)/2)*CG175*CJ175*VLOOKUP('Données projet'!$B$12,Paramètres!$A$1:$I$89,3,0)*0.475*44/12</f>
        <v>4.6470638743985014E-21</v>
      </c>
      <c r="CN175" s="22">
        <f t="shared" si="172"/>
        <v>0.16591827358873015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3.2366642699344085E-14</v>
      </c>
      <c r="CV175" s="13">
        <f t="shared" si="173"/>
        <v>5.5446527398450045E-13</v>
      </c>
      <c r="CW175" s="20">
        <f t="shared" si="174"/>
        <v>1.0220655882243624E-12</v>
      </c>
      <c r="CX175" s="59">
        <f t="shared" si="122"/>
        <v>293.33333333333434</v>
      </c>
      <c r="CY175" s="59">
        <f ca="1">AVERAGE(OFFSET($CX$3,0,0,'Données projet'!$E$13+1,1))-AVERAGE(OFFSET($H$3,0,0,'Données projet'!$E$13+1,1))</f>
        <v>242.1473060698724</v>
      </c>
      <c r="CZ175" s="59">
        <f t="shared" si="150"/>
        <v>96.127995920458659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0</v>
      </c>
      <c r="EP175" s="59">
        <f t="shared" si="154"/>
        <v>0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179.86010141761648</v>
      </c>
      <c r="T176" s="59">
        <f t="shared" si="142"/>
        <v>367.01744242396057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3.871104148295982</v>
      </c>
      <c r="AA176" s="21">
        <f>EXP(-LN(2)/25)*AA175+(1-EXP(-LN(2)/25))/(LN(2)/25)*Calculateur!V176*Calculateur!X176*VLOOKUP('Données projet'!$B$9,Paramètres!$A$1:$I$89,3,0)*0.475*44/12</f>
        <v>1.1168241163881321</v>
      </c>
      <c r="AB176" s="21">
        <f>EXP(-LN(2)/2)*AB175+(1-EXP(-LN(2)/2))/(LN(2)/2)*V176*Y176*VLOOKUP('Données projet'!$B$9,Paramètres!$A$1:$I$89,3,0)*0.475*44/12</f>
        <v>1.3608442382448187E-19</v>
      </c>
      <c r="AC176" s="22">
        <f t="shared" si="163"/>
        <v>4.9879282646841139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-4.758931027026848E-13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318.09371753144256</v>
      </c>
      <c r="AO176" s="59">
        <f t="shared" si="144"/>
        <v>298.61479562586919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0.39207175151865403</v>
      </c>
      <c r="AW176" s="21">
        <f>EXP(-LN(2)/2)*AW175+(1-EXP(-LN(2)/2))/(LN(2)/2)*AQ176*AT176*VLOOKUP('Données projet'!$B$10,Paramètres!$A$1:$I$89,3,0)*0.475*44/12</f>
        <v>9.0591400161977037E-21</v>
      </c>
      <c r="AX176" s="21">
        <f t="shared" si="166"/>
        <v>0.59810892158226037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35.999999999999943</v>
      </c>
      <c r="BE176" s="13">
        <f>BD176*VLOOKUP('Données projet'!$B$11,Paramètres!$A$1:$I$89,3,0)*VLOOKUP('Données projet'!$B$11,Paramètres!$A$1:$I$89,5,0)</f>
        <v>31.449599999999958</v>
      </c>
      <c r="BF176" s="13">
        <f t="shared" si="167"/>
        <v>9.7016318496336709</v>
      </c>
      <c r="BG176" s="20">
        <f t="shared" si="168"/>
        <v>71.671728804778567</v>
      </c>
      <c r="BH176" s="59">
        <f t="shared" si="116"/>
        <v>365.0050621381119</v>
      </c>
      <c r="BI176" s="59">
        <f ca="1">AVERAGE(OFFSET($BH$3,0,0,'Données projet'!$E$11+1,1))-AVERAGE(OFFSET($H$3,0,0,'Données projet'!$E$11+1,1))</f>
        <v>247.43282553724879</v>
      </c>
      <c r="BJ176" s="59">
        <f t="shared" si="146"/>
        <v>637.29471578895527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8.2387735087521047E-20</v>
      </c>
      <c r="BS176" s="22">
        <f t="shared" si="169"/>
        <v>8.2387735087521047E-20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4.6111381379887463E-14</v>
      </c>
      <c r="CA176" s="13">
        <f t="shared" si="170"/>
        <v>7.5804141040779151E-13</v>
      </c>
      <c r="CB176" s="20">
        <f t="shared" si="171"/>
        <v>1.4005661123635408E-12</v>
      </c>
      <c r="CC176" s="59">
        <f t="shared" si="119"/>
        <v>293.33333333333474</v>
      </c>
      <c r="CD176" s="59">
        <f ca="1">AVERAGE(OFFSET($CC$3,0,0,'Données projet'!$E$12+1,1))-AVERAGE(OFFSET($H$3,0,0,'Données projet'!$E$12+1,1))</f>
        <v>230.68538392491388</v>
      </c>
      <c r="CE176" s="59">
        <f t="shared" si="148"/>
        <v>267.97457956620724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0.16138122967218352</v>
      </c>
      <c r="CM176" s="21">
        <f>EXP(-LN(2)/2)*CM175+(1-EXP(-LN(2)/2))/(LN(2)/2)*CG176*CJ176*VLOOKUP('Données projet'!$B$12,Paramètres!$A$1:$I$89,3,0)*0.475*44/12</f>
        <v>3.2859703781942109E-21</v>
      </c>
      <c r="CN176" s="22">
        <f t="shared" si="172"/>
        <v>0.16138122967218352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3.2366642699344085E-14</v>
      </c>
      <c r="CV176" s="13">
        <f t="shared" si="173"/>
        <v>5.5446527398450045E-13</v>
      </c>
      <c r="CW176" s="20">
        <f t="shared" si="174"/>
        <v>1.0220655882243624E-12</v>
      </c>
      <c r="CX176" s="59">
        <f t="shared" si="122"/>
        <v>293.33333333333434</v>
      </c>
      <c r="CY176" s="59">
        <f ca="1">AVERAGE(OFFSET($CX$3,0,0,'Données projet'!$E$13+1,1))-AVERAGE(OFFSET($H$3,0,0,'Données projet'!$E$13+1,1))</f>
        <v>242.1473060698724</v>
      </c>
      <c r="CZ176" s="59">
        <f t="shared" si="150"/>
        <v>96.127995920458659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0</v>
      </c>
      <c r="EP176" s="59">
        <f t="shared" si="154"/>
        <v>0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179.86010141761648</v>
      </c>
      <c r="T177" s="59">
        <f t="shared" si="142"/>
        <v>367.01744242396057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3.795194157088285</v>
      </c>
      <c r="AA177" s="21">
        <f>EXP(-LN(2)/25)*AA176+(1-EXP(-LN(2)/25))/(LN(2)/25)*Calculateur!V177*Calculateur!X177*VLOOKUP('Données projet'!$B$9,Paramètres!$A$1:$I$89,3,0)*0.475*44/12</f>
        <v>1.0862845021942709</v>
      </c>
      <c r="AB177" s="21">
        <f>EXP(-LN(2)/2)*AB176+(1-EXP(-LN(2)/2))/(LN(2)/2)*V177*Y177*VLOOKUP('Données projet'!$B$9,Paramètres!$A$1:$I$89,3,0)*0.475*44/12</f>
        <v>9.6226218900155296E-20</v>
      </c>
      <c r="AC177" s="22">
        <f t="shared" si="163"/>
        <v>4.8814786592825561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-4.758931027026848E-13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318.09371753144256</v>
      </c>
      <c r="AO177" s="59">
        <f t="shared" si="144"/>
        <v>298.61479562586919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0.38135052885521914</v>
      </c>
      <c r="AW177" s="21">
        <f>EXP(-LN(2)/2)*AW176+(1-EXP(-LN(2)/2))/(LN(2)/2)*AQ177*AT177*VLOOKUP('Données projet'!$B$10,Paramètres!$A$1:$I$89,3,0)*0.475*44/12</f>
        <v>6.4057793371718063E-21</v>
      </c>
      <c r="AX177" s="21">
        <f t="shared" si="166"/>
        <v>0.58334743568414293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35.999999999999943</v>
      </c>
      <c r="BE177" s="13">
        <f>BD177*VLOOKUP('Données projet'!$B$11,Paramètres!$A$1:$I$89,3,0)*VLOOKUP('Données projet'!$B$11,Paramètres!$A$1:$I$89,5,0)</f>
        <v>31.449599999999958</v>
      </c>
      <c r="BF177" s="13">
        <f t="shared" si="167"/>
        <v>9.7016318496336709</v>
      </c>
      <c r="BG177" s="20">
        <f t="shared" si="168"/>
        <v>71.671728804778567</v>
      </c>
      <c r="BH177" s="59">
        <f t="shared" si="116"/>
        <v>365.0050621381119</v>
      </c>
      <c r="BI177" s="59">
        <f ca="1">AVERAGE(OFFSET($BH$3,0,0,'Données projet'!$E$11+1,1))-AVERAGE(OFFSET($H$3,0,0,'Données projet'!$E$11+1,1))</f>
        <v>247.43282553724879</v>
      </c>
      <c r="BJ177" s="59">
        <f t="shared" si="146"/>
        <v>637.29471578895527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5.8256926166986989E-20</v>
      </c>
      <c r="BS177" s="22">
        <f t="shared" si="169"/>
        <v>5.8256926166986989E-20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4.6111381379887463E-14</v>
      </c>
      <c r="CA177" s="13">
        <f t="shared" si="170"/>
        <v>7.5804141040779151E-13</v>
      </c>
      <c r="CB177" s="20">
        <f t="shared" si="171"/>
        <v>1.4005661123635408E-12</v>
      </c>
      <c r="CC177" s="59">
        <f t="shared" si="119"/>
        <v>293.33333333333474</v>
      </c>
      <c r="CD177" s="59">
        <f ca="1">AVERAGE(OFFSET($CC$3,0,0,'Données projet'!$E$12+1,1))-AVERAGE(OFFSET($H$3,0,0,'Données projet'!$E$12+1,1))</f>
        <v>230.68538392491388</v>
      </c>
      <c r="CE177" s="59">
        <f t="shared" si="148"/>
        <v>267.97457956620724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0.15696825146012763</v>
      </c>
      <c r="CM177" s="21">
        <f>EXP(-LN(2)/2)*CM176+(1-EXP(-LN(2)/2))/(LN(2)/2)*CG177*CJ177*VLOOKUP('Données projet'!$B$12,Paramètres!$A$1:$I$89,3,0)*0.475*44/12</f>
        <v>2.3235319371992507E-21</v>
      </c>
      <c r="CN177" s="22">
        <f t="shared" si="172"/>
        <v>0.15696825146012763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3.2366642699344085E-14</v>
      </c>
      <c r="CV177" s="13">
        <f t="shared" si="173"/>
        <v>5.5446527398450045E-13</v>
      </c>
      <c r="CW177" s="20">
        <f t="shared" si="174"/>
        <v>1.0220655882243624E-12</v>
      </c>
      <c r="CX177" s="59">
        <f t="shared" si="122"/>
        <v>293.33333333333434</v>
      </c>
      <c r="CY177" s="59">
        <f ca="1">AVERAGE(OFFSET($CX$3,0,0,'Données projet'!$E$13+1,1))-AVERAGE(OFFSET($H$3,0,0,'Données projet'!$E$13+1,1))</f>
        <v>242.1473060698724</v>
      </c>
      <c r="CZ177" s="59">
        <f t="shared" si="150"/>
        <v>96.127995920458659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0</v>
      </c>
      <c r="EP177" s="59">
        <f t="shared" si="154"/>
        <v>0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179.86010141761648</v>
      </c>
      <c r="T178" s="59">
        <f t="shared" si="142"/>
        <v>367.01744242396057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3.7207727145076479</v>
      </c>
      <c r="AA178" s="21">
        <f>EXP(-LN(2)/25)*AA177+(1-EXP(-LN(2)/25))/(LN(2)/25)*Calculateur!V178*Calculateur!X178*VLOOKUP('Données projet'!$B$9,Paramètres!$A$1:$I$89,3,0)*0.475*44/12</f>
        <v>1.0565799953565493</v>
      </c>
      <c r="AB178" s="21">
        <f>EXP(-LN(2)/2)*AB177+(1-EXP(-LN(2)/2))/(LN(2)/2)*V178*Y178*VLOOKUP('Données projet'!$B$9,Paramètres!$A$1:$I$89,3,0)*0.475*44/12</f>
        <v>6.8042211912240933E-20</v>
      </c>
      <c r="AC178" s="22">
        <f t="shared" si="163"/>
        <v>4.7773527098641972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-4.758931027026848E-13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318.09371753144256</v>
      </c>
      <c r="AO178" s="59">
        <f t="shared" si="144"/>
        <v>298.61479562586919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0.37092247858932043</v>
      </c>
      <c r="AW178" s="21">
        <f>EXP(-LN(2)/2)*AW177+(1-EXP(-LN(2)/2))/(LN(2)/2)*AQ178*AT178*VLOOKUP('Données projet'!$B$10,Paramètres!$A$1:$I$89,3,0)*0.475*44/12</f>
        <v>4.5295700080988518E-21</v>
      </c>
      <c r="AX178" s="21">
        <f t="shared" si="166"/>
        <v>0.56895834928127664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35.999999999999943</v>
      </c>
      <c r="BE178" s="13">
        <f>BD178*VLOOKUP('Données projet'!$B$11,Paramètres!$A$1:$I$89,3,0)*VLOOKUP('Données projet'!$B$11,Paramètres!$A$1:$I$89,5,0)</f>
        <v>31.449599999999958</v>
      </c>
      <c r="BF178" s="13">
        <f t="shared" si="167"/>
        <v>9.7016318496336709</v>
      </c>
      <c r="BG178" s="20">
        <f t="shared" si="168"/>
        <v>71.671728804778567</v>
      </c>
      <c r="BH178" s="59">
        <f t="shared" si="116"/>
        <v>365.0050621381119</v>
      </c>
      <c r="BI178" s="59">
        <f ca="1">AVERAGE(OFFSET($BH$3,0,0,'Données projet'!$E$11+1,1))-AVERAGE(OFFSET($H$3,0,0,'Données projet'!$E$11+1,1))</f>
        <v>247.43282553724879</v>
      </c>
      <c r="BJ178" s="59">
        <f t="shared" si="146"/>
        <v>637.29471578895527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4.1193867543760524E-20</v>
      </c>
      <c r="BS178" s="22">
        <f t="shared" si="169"/>
        <v>4.1193867543760524E-20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4.6111381379887463E-14</v>
      </c>
      <c r="CA178" s="13">
        <f t="shared" si="170"/>
        <v>7.5804141040779151E-13</v>
      </c>
      <c r="CB178" s="20">
        <f t="shared" si="171"/>
        <v>1.4005661123635408E-12</v>
      </c>
      <c r="CC178" s="59">
        <f t="shared" si="119"/>
        <v>293.33333333333474</v>
      </c>
      <c r="CD178" s="59">
        <f ca="1">AVERAGE(OFFSET($CC$3,0,0,'Données projet'!$E$12+1,1))-AVERAGE(OFFSET($H$3,0,0,'Données projet'!$E$12+1,1))</f>
        <v>230.68538392491388</v>
      </c>
      <c r="CE178" s="59">
        <f t="shared" si="148"/>
        <v>267.97457956620724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0.15267594636934886</v>
      </c>
      <c r="CM178" s="21">
        <f>EXP(-LN(2)/2)*CM177+(1-EXP(-LN(2)/2))/(LN(2)/2)*CG178*CJ178*VLOOKUP('Données projet'!$B$12,Paramètres!$A$1:$I$89,3,0)*0.475*44/12</f>
        <v>1.6429851890971055E-21</v>
      </c>
      <c r="CN178" s="22">
        <f t="shared" si="172"/>
        <v>0.15267594636934886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3.2366642699344085E-14</v>
      </c>
      <c r="CV178" s="13">
        <f t="shared" si="173"/>
        <v>5.5446527398450045E-13</v>
      </c>
      <c r="CW178" s="20">
        <f t="shared" si="174"/>
        <v>1.0220655882243624E-12</v>
      </c>
      <c r="CX178" s="59">
        <f t="shared" si="122"/>
        <v>293.33333333333434</v>
      </c>
      <c r="CY178" s="59">
        <f ca="1">AVERAGE(OFFSET($CX$3,0,0,'Données projet'!$E$13+1,1))-AVERAGE(OFFSET($H$3,0,0,'Données projet'!$E$13+1,1))</f>
        <v>242.1473060698724</v>
      </c>
      <c r="CZ178" s="59">
        <f t="shared" si="150"/>
        <v>96.127995920458659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0</v>
      </c>
      <c r="EP178" s="59">
        <f t="shared" si="154"/>
        <v>0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179.86010141761648</v>
      </c>
      <c r="T179" s="59">
        <f t="shared" si="142"/>
        <v>367.01744242396057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3.6478106310234195</v>
      </c>
      <c r="AA179" s="21">
        <f>EXP(-LN(2)/25)*AA178+(1-EXP(-LN(2)/25))/(LN(2)/25)*Calculateur!V179*Calculateur!X179*VLOOKUP('Données projet'!$B$9,Paramètres!$A$1:$I$89,3,0)*0.475*44/12</f>
        <v>1.0276877598203973</v>
      </c>
      <c r="AB179" s="21">
        <f>EXP(-LN(2)/2)*AB178+(1-EXP(-LN(2)/2))/(LN(2)/2)*V179*Y179*VLOOKUP('Données projet'!$B$9,Paramètres!$A$1:$I$89,3,0)*0.475*44/12</f>
        <v>4.8113109450077648E-20</v>
      </c>
      <c r="AC179" s="22">
        <f t="shared" si="163"/>
        <v>4.675498390843817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-4.758931027026848E-13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318.09371753144256</v>
      </c>
      <c r="AO179" s="59">
        <f t="shared" si="144"/>
        <v>298.61479562586919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0.36077958390633008</v>
      </c>
      <c r="AW179" s="21">
        <f>EXP(-LN(2)/2)*AW178+(1-EXP(-LN(2)/2))/(LN(2)/2)*AQ179*AT179*VLOOKUP('Données projet'!$B$10,Paramètres!$A$1:$I$89,3,0)*0.475*44/12</f>
        <v>3.2028896685859032E-21</v>
      </c>
      <c r="AX179" s="21">
        <f t="shared" si="166"/>
        <v>0.55493209196397109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35.999999999999943</v>
      </c>
      <c r="BE179" s="13">
        <f>BD179*VLOOKUP('Données projet'!$B$11,Paramètres!$A$1:$I$89,3,0)*VLOOKUP('Données projet'!$B$11,Paramètres!$A$1:$I$89,5,0)</f>
        <v>31.449599999999958</v>
      </c>
      <c r="BF179" s="13">
        <f t="shared" si="167"/>
        <v>9.7016318496336709</v>
      </c>
      <c r="BG179" s="20">
        <f t="shared" si="168"/>
        <v>71.671728804778567</v>
      </c>
      <c r="BH179" s="59">
        <f t="shared" si="116"/>
        <v>365.0050621381119</v>
      </c>
      <c r="BI179" s="59">
        <f ca="1">AVERAGE(OFFSET($BH$3,0,0,'Données projet'!$E$11+1,1))-AVERAGE(OFFSET($H$3,0,0,'Données projet'!$E$11+1,1))</f>
        <v>247.43282553724879</v>
      </c>
      <c r="BJ179" s="59">
        <f t="shared" si="146"/>
        <v>637.29471578895527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2.9128463083493494E-20</v>
      </c>
      <c r="BS179" s="22">
        <f t="shared" si="169"/>
        <v>2.9128463083493494E-20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4.6111381379887463E-14</v>
      </c>
      <c r="CA179" s="13">
        <f t="shared" si="170"/>
        <v>7.5804141040779151E-13</v>
      </c>
      <c r="CB179" s="20">
        <f t="shared" si="171"/>
        <v>1.4005661123635408E-12</v>
      </c>
      <c r="CC179" s="59">
        <f t="shared" si="119"/>
        <v>293.33333333333474</v>
      </c>
      <c r="CD179" s="59">
        <f ca="1">AVERAGE(OFFSET($CC$3,0,0,'Données projet'!$E$12+1,1))-AVERAGE(OFFSET($H$3,0,0,'Données projet'!$E$12+1,1))</f>
        <v>230.68538392491388</v>
      </c>
      <c r="CE179" s="59">
        <f t="shared" si="148"/>
        <v>267.97457956620724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0.14850101458699994</v>
      </c>
      <c r="CM179" s="21">
        <f>EXP(-LN(2)/2)*CM178+(1-EXP(-LN(2)/2))/(LN(2)/2)*CG179*CJ179*VLOOKUP('Données projet'!$B$12,Paramètres!$A$1:$I$89,3,0)*0.475*44/12</f>
        <v>1.1617659685996253E-21</v>
      </c>
      <c r="CN179" s="22">
        <f t="shared" si="172"/>
        <v>0.14850101458699994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3.2366642699344085E-14</v>
      </c>
      <c r="CV179" s="13">
        <f t="shared" si="173"/>
        <v>5.5446527398450045E-13</v>
      </c>
      <c r="CW179" s="20">
        <f t="shared" si="174"/>
        <v>1.0220655882243624E-12</v>
      </c>
      <c r="CX179" s="59">
        <f t="shared" si="122"/>
        <v>293.33333333333434</v>
      </c>
      <c r="CY179" s="59">
        <f ca="1">AVERAGE(OFFSET($CX$3,0,0,'Données projet'!$E$13+1,1))-AVERAGE(OFFSET($H$3,0,0,'Données projet'!$E$13+1,1))</f>
        <v>242.1473060698724</v>
      </c>
      <c r="CZ179" s="59">
        <f t="shared" si="150"/>
        <v>96.127995920458659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0</v>
      </c>
      <c r="EP179" s="59">
        <f t="shared" si="154"/>
        <v>0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179.86010141761648</v>
      </c>
      <c r="T180" s="59">
        <f t="shared" si="142"/>
        <v>367.01744242396057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3.57627928949384</v>
      </c>
      <c r="AA180" s="21">
        <f>EXP(-LN(2)/25)*AA179+(1-EXP(-LN(2)/25))/(LN(2)/25)*Calculateur!V180*Calculateur!X180*VLOOKUP('Données projet'!$B$9,Paramètres!$A$1:$I$89,3,0)*0.475*44/12</f>
        <v>0.99958558398435804</v>
      </c>
      <c r="AB180" s="21">
        <f>EXP(-LN(2)/2)*AB179+(1-EXP(-LN(2)/2))/(LN(2)/2)*V180*Y180*VLOOKUP('Données projet'!$B$9,Paramètres!$A$1:$I$89,3,0)*0.475*44/12</f>
        <v>3.4021105956120467E-20</v>
      </c>
      <c r="AC180" s="22">
        <f t="shared" si="163"/>
        <v>4.5758648734781984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-4.758931027026848E-13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318.09371753144256</v>
      </c>
      <c r="AO180" s="59">
        <f t="shared" si="144"/>
        <v>298.61479562586919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0.35091404721183772</v>
      </c>
      <c r="AW180" s="21">
        <f>EXP(-LN(2)/2)*AW179+(1-EXP(-LN(2)/2))/(LN(2)/2)*AQ180*AT180*VLOOKUP('Données projet'!$B$10,Paramètres!$A$1:$I$89,3,0)*0.475*44/12</f>
        <v>2.2647850040494259E-21</v>
      </c>
      <c r="AX180" s="21">
        <f t="shared" si="166"/>
        <v>0.5412593430078052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35.999999999999943</v>
      </c>
      <c r="BE180" s="13">
        <f>BD180*VLOOKUP('Données projet'!$B$11,Paramètres!$A$1:$I$89,3,0)*VLOOKUP('Données projet'!$B$11,Paramètres!$A$1:$I$89,5,0)</f>
        <v>31.449599999999958</v>
      </c>
      <c r="BF180" s="13">
        <f t="shared" si="167"/>
        <v>9.7016318496336709</v>
      </c>
      <c r="BG180" s="20">
        <f t="shared" si="168"/>
        <v>71.671728804778567</v>
      </c>
      <c r="BH180" s="59">
        <f t="shared" si="116"/>
        <v>365.0050621381119</v>
      </c>
      <c r="BI180" s="59">
        <f ca="1">AVERAGE(OFFSET($BH$3,0,0,'Données projet'!$E$11+1,1))-AVERAGE(OFFSET($H$3,0,0,'Données projet'!$E$11+1,1))</f>
        <v>247.43282553724879</v>
      </c>
      <c r="BJ180" s="59">
        <f t="shared" si="146"/>
        <v>637.29471578895527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2.0596933771880262E-20</v>
      </c>
      <c r="BS180" s="22">
        <f t="shared" si="169"/>
        <v>2.0596933771880262E-20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4.6111381379887463E-14</v>
      </c>
      <c r="CA180" s="13">
        <f t="shared" si="170"/>
        <v>7.5804141040779151E-13</v>
      </c>
      <c r="CB180" s="20">
        <f t="shared" si="171"/>
        <v>1.4005661123635408E-12</v>
      </c>
      <c r="CC180" s="59">
        <f t="shared" si="119"/>
        <v>293.33333333333474</v>
      </c>
      <c r="CD180" s="59">
        <f ca="1">AVERAGE(OFFSET($CC$3,0,0,'Données projet'!$E$12+1,1))-AVERAGE(OFFSET($H$3,0,0,'Données projet'!$E$12+1,1))</f>
        <v>230.68538392491388</v>
      </c>
      <c r="CE180" s="59">
        <f t="shared" si="148"/>
        <v>267.97457956620724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0.14444024653378948</v>
      </c>
      <c r="CM180" s="21">
        <f>EXP(-LN(2)/2)*CM179+(1-EXP(-LN(2)/2))/(LN(2)/2)*CG180*CJ180*VLOOKUP('Données projet'!$B$12,Paramètres!$A$1:$I$89,3,0)*0.475*44/12</f>
        <v>8.2149259454855273E-22</v>
      </c>
      <c r="CN180" s="22">
        <f t="shared" si="172"/>
        <v>0.14444024653378948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3.2366642699344085E-14</v>
      </c>
      <c r="CV180" s="13">
        <f t="shared" si="173"/>
        <v>5.5446527398450045E-13</v>
      </c>
      <c r="CW180" s="20">
        <f t="shared" si="174"/>
        <v>1.0220655882243624E-12</v>
      </c>
      <c r="CX180" s="59">
        <f t="shared" si="122"/>
        <v>293.33333333333434</v>
      </c>
      <c r="CY180" s="59">
        <f ca="1">AVERAGE(OFFSET($CX$3,0,0,'Données projet'!$E$13+1,1))-AVERAGE(OFFSET($H$3,0,0,'Données projet'!$E$13+1,1))</f>
        <v>242.1473060698724</v>
      </c>
      <c r="CZ180" s="59">
        <f t="shared" si="150"/>
        <v>96.127995920458659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0</v>
      </c>
      <c r="EP180" s="59">
        <f t="shared" si="154"/>
        <v>0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179.86010141761648</v>
      </c>
      <c r="T181" s="59">
        <f t="shared" si="142"/>
        <v>367.01744242396057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3.5061506339418456</v>
      </c>
      <c r="AA181" s="21">
        <f>EXP(-LN(2)/25)*AA180+(1-EXP(-LN(2)/25))/(LN(2)/25)*Calculateur!V181*Calculateur!X181*VLOOKUP('Données projet'!$B$9,Paramètres!$A$1:$I$89,3,0)*0.475*44/12</f>
        <v>0.97225186362438454</v>
      </c>
      <c r="AB181" s="21">
        <f>EXP(-LN(2)/2)*AB180+(1-EXP(-LN(2)/2))/(LN(2)/2)*V181*Y181*VLOOKUP('Données projet'!$B$9,Paramètres!$A$1:$I$89,3,0)*0.475*44/12</f>
        <v>2.4056554725038824E-20</v>
      </c>
      <c r="AC181" s="22">
        <f t="shared" si="163"/>
        <v>4.47840249756623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-4.758931027026848E-13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318.09371753144256</v>
      </c>
      <c r="AO181" s="59">
        <f t="shared" si="144"/>
        <v>298.61479562586919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0.34131828413706228</v>
      </c>
      <c r="AW181" s="21">
        <f>EXP(-LN(2)/2)*AW180+(1-EXP(-LN(2)/2))/(LN(2)/2)*AQ181*AT181*VLOOKUP('Données projet'!$B$10,Paramètres!$A$1:$I$89,3,0)*0.475*44/12</f>
        <v>1.6014448342929516E-21</v>
      </c>
      <c r="AX181" s="21">
        <f t="shared" si="166"/>
        <v>0.52793102478163745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35.999999999999943</v>
      </c>
      <c r="BE181" s="13">
        <f>BD181*VLOOKUP('Données projet'!$B$11,Paramètres!$A$1:$I$89,3,0)*VLOOKUP('Données projet'!$B$11,Paramètres!$A$1:$I$89,5,0)</f>
        <v>31.449599999999958</v>
      </c>
      <c r="BF181" s="13">
        <f t="shared" si="167"/>
        <v>9.7016318496336709</v>
      </c>
      <c r="BG181" s="20">
        <f t="shared" si="168"/>
        <v>71.671728804778567</v>
      </c>
      <c r="BH181" s="59">
        <f t="shared" si="116"/>
        <v>365.0050621381119</v>
      </c>
      <c r="BI181" s="59">
        <f ca="1">AVERAGE(OFFSET($BH$3,0,0,'Données projet'!$E$11+1,1))-AVERAGE(OFFSET($H$3,0,0,'Données projet'!$E$11+1,1))</f>
        <v>247.43282553724879</v>
      </c>
      <c r="BJ181" s="59">
        <f t="shared" si="146"/>
        <v>637.29471578895527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1.4564231541746747E-20</v>
      </c>
      <c r="BS181" s="22">
        <f t="shared" si="169"/>
        <v>1.4564231541746747E-20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4.6111381379887463E-14</v>
      </c>
      <c r="CA181" s="13">
        <f t="shared" si="170"/>
        <v>7.5804141040779151E-13</v>
      </c>
      <c r="CB181" s="20">
        <f t="shared" si="171"/>
        <v>1.4005661123635408E-12</v>
      </c>
      <c r="CC181" s="59">
        <f t="shared" si="119"/>
        <v>293.33333333333474</v>
      </c>
      <c r="CD181" s="59">
        <f ca="1">AVERAGE(OFFSET($CC$3,0,0,'Données projet'!$E$12+1,1))-AVERAGE(OFFSET($H$3,0,0,'Données projet'!$E$12+1,1))</f>
        <v>230.68538392491388</v>
      </c>
      <c r="CE181" s="59">
        <f t="shared" si="148"/>
        <v>267.97457956620724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0.14049052039654056</v>
      </c>
      <c r="CM181" s="21">
        <f>EXP(-LN(2)/2)*CM180+(1-EXP(-LN(2)/2))/(LN(2)/2)*CG181*CJ181*VLOOKUP('Données projet'!$B$12,Paramètres!$A$1:$I$89,3,0)*0.475*44/12</f>
        <v>5.8088298429981267E-22</v>
      </c>
      <c r="CN181" s="22">
        <f t="shared" si="172"/>
        <v>0.14049052039654056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3.2366642699344085E-14</v>
      </c>
      <c r="CV181" s="13">
        <f t="shared" si="173"/>
        <v>5.5446527398450045E-13</v>
      </c>
      <c r="CW181" s="20">
        <f t="shared" si="174"/>
        <v>1.0220655882243624E-12</v>
      </c>
      <c r="CX181" s="59">
        <f t="shared" si="122"/>
        <v>293.33333333333434</v>
      </c>
      <c r="CY181" s="59">
        <f ca="1">AVERAGE(OFFSET($CX$3,0,0,'Données projet'!$E$13+1,1))-AVERAGE(OFFSET($H$3,0,0,'Données projet'!$E$13+1,1))</f>
        <v>242.1473060698724</v>
      </c>
      <c r="CZ181" s="59">
        <f t="shared" si="150"/>
        <v>96.127995920458659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0</v>
      </c>
      <c r="EP181" s="59">
        <f t="shared" si="154"/>
        <v>0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179.86010141761648</v>
      </c>
      <c r="T182" s="59">
        <f t="shared" si="142"/>
        <v>367.01744242396057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3.4373971585509695</v>
      </c>
      <c r="AA182" s="21">
        <f>EXP(-LN(2)/25)*AA181+(1-EXP(-LN(2)/25))/(LN(2)/25)*Calculateur!V182*Calculateur!X182*VLOOKUP('Données projet'!$B$9,Paramètres!$A$1:$I$89,3,0)*0.475*44/12</f>
        <v>0.94566558528507239</v>
      </c>
      <c r="AB182" s="21">
        <f>EXP(-LN(2)/2)*AB181+(1-EXP(-LN(2)/2))/(LN(2)/2)*V182*Y182*VLOOKUP('Données projet'!$B$9,Paramètres!$A$1:$I$89,3,0)*0.475*44/12</f>
        <v>1.7010552978060233E-20</v>
      </c>
      <c r="AC182" s="22">
        <f t="shared" si="163"/>
        <v>4.3830627438360423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-4.758931027026848E-13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318.09371753144256</v>
      </c>
      <c r="AO182" s="59">
        <f t="shared" si="144"/>
        <v>298.61479562586919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0.33198491770818583</v>
      </c>
      <c r="AW182" s="21">
        <f>EXP(-LN(2)/2)*AW181+(1-EXP(-LN(2)/2))/(LN(2)/2)*AQ182*AT182*VLOOKUP('Données projet'!$B$10,Paramètres!$A$1:$I$89,3,0)*0.475*44/12</f>
        <v>1.132392502024713E-21</v>
      </c>
      <c r="AX182" s="21">
        <f t="shared" si="166"/>
        <v>0.51493829633125365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35.999999999999943</v>
      </c>
      <c r="BE182" s="13">
        <f>BD182*VLOOKUP('Données projet'!$B$11,Paramètres!$A$1:$I$89,3,0)*VLOOKUP('Données projet'!$B$11,Paramètres!$A$1:$I$89,5,0)</f>
        <v>31.449599999999958</v>
      </c>
      <c r="BF182" s="13">
        <f t="shared" si="167"/>
        <v>9.7016318496336709</v>
      </c>
      <c r="BG182" s="20">
        <f t="shared" si="168"/>
        <v>71.671728804778567</v>
      </c>
      <c r="BH182" s="59">
        <f t="shared" si="116"/>
        <v>365.0050621381119</v>
      </c>
      <c r="BI182" s="59">
        <f ca="1">AVERAGE(OFFSET($BH$3,0,0,'Données projet'!$E$11+1,1))-AVERAGE(OFFSET($H$3,0,0,'Données projet'!$E$11+1,1))</f>
        <v>247.43282553724879</v>
      </c>
      <c r="BJ182" s="59">
        <f t="shared" si="146"/>
        <v>637.29471578895527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1.0298466885940131E-20</v>
      </c>
      <c r="BS182" s="22">
        <f t="shared" si="169"/>
        <v>1.0298466885940131E-20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4.6111381379887463E-14</v>
      </c>
      <c r="CA182" s="13">
        <f t="shared" si="170"/>
        <v>7.5804141040779151E-13</v>
      </c>
      <c r="CB182" s="20">
        <f t="shared" si="171"/>
        <v>1.4005661123635408E-12</v>
      </c>
      <c r="CC182" s="59">
        <f t="shared" si="119"/>
        <v>293.33333333333474</v>
      </c>
      <c r="CD182" s="59">
        <f ca="1">AVERAGE(OFFSET($CC$3,0,0,'Données projet'!$E$12+1,1))-AVERAGE(OFFSET($H$3,0,0,'Données projet'!$E$12+1,1))</f>
        <v>230.68538392491388</v>
      </c>
      <c r="CE182" s="59">
        <f t="shared" si="148"/>
        <v>267.97457956620724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0.13664879972822178</v>
      </c>
      <c r="CM182" s="21">
        <f>EXP(-LN(2)/2)*CM181+(1-EXP(-LN(2)/2))/(LN(2)/2)*CG182*CJ182*VLOOKUP('Données projet'!$B$12,Paramètres!$A$1:$I$89,3,0)*0.475*44/12</f>
        <v>4.1074629727427636E-22</v>
      </c>
      <c r="CN182" s="22">
        <f t="shared" si="172"/>
        <v>0.13664879972822178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3.2366642699344085E-14</v>
      </c>
      <c r="CV182" s="13">
        <f t="shared" si="173"/>
        <v>5.5446527398450045E-13</v>
      </c>
      <c r="CW182" s="20">
        <f t="shared" si="174"/>
        <v>1.0220655882243624E-12</v>
      </c>
      <c r="CX182" s="59">
        <f t="shared" si="122"/>
        <v>293.33333333333434</v>
      </c>
      <c r="CY182" s="59">
        <f ca="1">AVERAGE(OFFSET($CX$3,0,0,'Données projet'!$E$13+1,1))-AVERAGE(OFFSET($H$3,0,0,'Données projet'!$E$13+1,1))</f>
        <v>242.1473060698724</v>
      </c>
      <c r="CZ182" s="59">
        <f t="shared" si="150"/>
        <v>96.127995920458659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0</v>
      </c>
      <c r="EP182" s="59">
        <f t="shared" si="154"/>
        <v>0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179.86010141761648</v>
      </c>
      <c r="T183" s="59">
        <f t="shared" si="142"/>
        <v>367.01744242396057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3.3699918968770293</v>
      </c>
      <c r="AA183" s="21">
        <f>EXP(-LN(2)/25)*AA182+(1-EXP(-LN(2)/25))/(LN(2)/25)*Calculateur!V183*Calculateur!X183*VLOOKUP('Données projet'!$B$9,Paramètres!$A$1:$I$89,3,0)*0.475*44/12</f>
        <v>0.91980631012506031</v>
      </c>
      <c r="AB183" s="21">
        <f>EXP(-LN(2)/2)*AB182+(1-EXP(-LN(2)/2))/(LN(2)/2)*V183*Y183*VLOOKUP('Données projet'!$B$9,Paramètres!$A$1:$I$89,3,0)*0.475*44/12</f>
        <v>1.2028277362519412E-20</v>
      </c>
      <c r="AC183" s="22">
        <f t="shared" si="163"/>
        <v>4.2897982070020895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-4.758931027026848E-13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318.09371753144256</v>
      </c>
      <c r="AO183" s="59">
        <f t="shared" si="144"/>
        <v>298.61479562586919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0.32290677267512741</v>
      </c>
      <c r="AW183" s="21">
        <f>EXP(-LN(2)/2)*AW182+(1-EXP(-LN(2)/2))/(LN(2)/2)*AQ183*AT183*VLOOKUP('Données projet'!$B$10,Paramètres!$A$1:$I$89,3,0)*0.475*44/12</f>
        <v>8.0072241714647579E-22</v>
      </c>
      <c r="AX183" s="21">
        <f t="shared" si="166"/>
        <v>0.5022725471339391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35.999999999999943</v>
      </c>
      <c r="BE183" s="13">
        <f>BD183*VLOOKUP('Données projet'!$B$11,Paramètres!$A$1:$I$89,3,0)*VLOOKUP('Données projet'!$B$11,Paramètres!$A$1:$I$89,5,0)</f>
        <v>31.449599999999958</v>
      </c>
      <c r="BF183" s="13">
        <f t="shared" si="167"/>
        <v>9.7016318496336709</v>
      </c>
      <c r="BG183" s="20">
        <f t="shared" si="168"/>
        <v>71.671728804778567</v>
      </c>
      <c r="BH183" s="59">
        <f t="shared" si="116"/>
        <v>365.0050621381119</v>
      </c>
      <c r="BI183" s="59">
        <f ca="1">AVERAGE(OFFSET($BH$3,0,0,'Données projet'!$E$11+1,1))-AVERAGE(OFFSET($H$3,0,0,'Données projet'!$E$11+1,1))</f>
        <v>247.43282553724879</v>
      </c>
      <c r="BJ183" s="59">
        <f t="shared" si="146"/>
        <v>637.29471578895527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7.2821157708733736E-21</v>
      </c>
      <c r="BS183" s="22">
        <f t="shared" si="169"/>
        <v>7.2821157708733736E-21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4.6111381379887463E-14</v>
      </c>
      <c r="CA183" s="13">
        <f t="shared" si="170"/>
        <v>7.5804141040779151E-13</v>
      </c>
      <c r="CB183" s="20">
        <f t="shared" si="171"/>
        <v>1.4005661123635408E-12</v>
      </c>
      <c r="CC183" s="59">
        <f t="shared" si="119"/>
        <v>293.33333333333474</v>
      </c>
      <c r="CD183" s="59">
        <f ca="1">AVERAGE(OFFSET($CC$3,0,0,'Données projet'!$E$12+1,1))-AVERAGE(OFFSET($H$3,0,0,'Données projet'!$E$12+1,1))</f>
        <v>230.68538392491388</v>
      </c>
      <c r="CE183" s="59">
        <f t="shared" si="148"/>
        <v>267.97457956620724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0.13291213111360548</v>
      </c>
      <c r="CM183" s="21">
        <f>EXP(-LN(2)/2)*CM182+(1-EXP(-LN(2)/2))/(LN(2)/2)*CG183*CJ183*VLOOKUP('Données projet'!$B$12,Paramètres!$A$1:$I$89,3,0)*0.475*44/12</f>
        <v>2.9044149214990634E-22</v>
      </c>
      <c r="CN183" s="22">
        <f t="shared" si="172"/>
        <v>0.13291213111360548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3.2366642699344085E-14</v>
      </c>
      <c r="CV183" s="13">
        <f t="shared" si="173"/>
        <v>5.5446527398450045E-13</v>
      </c>
      <c r="CW183" s="20">
        <f t="shared" si="174"/>
        <v>1.0220655882243624E-12</v>
      </c>
      <c r="CX183" s="59">
        <f t="shared" si="122"/>
        <v>293.33333333333434</v>
      </c>
      <c r="CY183" s="59">
        <f ca="1">AVERAGE(OFFSET($CX$3,0,0,'Données projet'!$E$13+1,1))-AVERAGE(OFFSET($H$3,0,0,'Données projet'!$E$13+1,1))</f>
        <v>242.1473060698724</v>
      </c>
      <c r="CZ183" s="59">
        <f t="shared" si="150"/>
        <v>96.127995920458659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0</v>
      </c>
      <c r="EP183" s="59">
        <f t="shared" si="154"/>
        <v>0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179.86010141761648</v>
      </c>
      <c r="T184" s="59">
        <f t="shared" si="142"/>
        <v>367.01744242396057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3.3039084112713648</v>
      </c>
      <c r="AA184" s="21">
        <f>EXP(-LN(2)/25)*AA183+(1-EXP(-LN(2)/25))/(LN(2)/25)*Calculateur!V184*Calculateur!X184*VLOOKUP('Données projet'!$B$9,Paramètres!$A$1:$I$89,3,0)*0.475*44/12</f>
        <v>0.89465415820417893</v>
      </c>
      <c r="AB184" s="21">
        <f>EXP(-LN(2)/2)*AB183+(1-EXP(-LN(2)/2))/(LN(2)/2)*V184*Y184*VLOOKUP('Données projet'!$B$9,Paramètres!$A$1:$I$89,3,0)*0.475*44/12</f>
        <v>8.5052764890301167E-21</v>
      </c>
      <c r="AC184" s="22">
        <f t="shared" si="163"/>
        <v>4.198562569475544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-4.758931027026848E-13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318.09371753144256</v>
      </c>
      <c r="AO184" s="59">
        <f t="shared" si="144"/>
        <v>298.61479562586919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0.31407686999539691</v>
      </c>
      <c r="AW184" s="21">
        <f>EXP(-LN(2)/2)*AW183+(1-EXP(-LN(2)/2))/(LN(2)/2)*AQ184*AT184*VLOOKUP('Données projet'!$B$10,Paramètres!$A$1:$I$89,3,0)*0.475*44/12</f>
        <v>5.6619625101235648E-22</v>
      </c>
      <c r="AX184" s="21">
        <f t="shared" si="166"/>
        <v>0.4899253910193912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35.999999999999943</v>
      </c>
      <c r="BE184" s="13">
        <f>BD184*VLOOKUP('Données projet'!$B$11,Paramètres!$A$1:$I$89,3,0)*VLOOKUP('Données projet'!$B$11,Paramètres!$A$1:$I$89,5,0)</f>
        <v>31.449599999999958</v>
      </c>
      <c r="BF184" s="13">
        <f t="shared" si="167"/>
        <v>9.7016318496336709</v>
      </c>
      <c r="BG184" s="20">
        <f t="shared" si="168"/>
        <v>71.671728804778567</v>
      </c>
      <c r="BH184" s="59">
        <f t="shared" si="116"/>
        <v>365.0050621381119</v>
      </c>
      <c r="BI184" s="59">
        <f ca="1">AVERAGE(OFFSET($BH$3,0,0,'Données projet'!$E$11+1,1))-AVERAGE(OFFSET($H$3,0,0,'Données projet'!$E$11+1,1))</f>
        <v>247.43282553724879</v>
      </c>
      <c r="BJ184" s="59">
        <f t="shared" si="146"/>
        <v>637.29471578895527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5.1492334429700654E-21</v>
      </c>
      <c r="BS184" s="22">
        <f t="shared" si="169"/>
        <v>5.1492334429700654E-21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4.6111381379887463E-14</v>
      </c>
      <c r="CA184" s="13">
        <f t="shared" si="170"/>
        <v>7.5804141040779151E-13</v>
      </c>
      <c r="CB184" s="20">
        <f t="shared" si="171"/>
        <v>1.4005661123635408E-12</v>
      </c>
      <c r="CC184" s="59">
        <f t="shared" si="119"/>
        <v>293.33333333333474</v>
      </c>
      <c r="CD184" s="59">
        <f ca="1">AVERAGE(OFFSET($CC$3,0,0,'Données projet'!$E$12+1,1))-AVERAGE(OFFSET($H$3,0,0,'Données projet'!$E$12+1,1))</f>
        <v>230.68538392491388</v>
      </c>
      <c r="CE184" s="59">
        <f t="shared" si="148"/>
        <v>267.97457956620724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0.12927764189875873</v>
      </c>
      <c r="CM184" s="21">
        <f>EXP(-LN(2)/2)*CM183+(1-EXP(-LN(2)/2))/(LN(2)/2)*CG184*CJ184*VLOOKUP('Données projet'!$B$12,Paramètres!$A$1:$I$89,3,0)*0.475*44/12</f>
        <v>2.0537314863713818E-22</v>
      </c>
      <c r="CN184" s="22">
        <f t="shared" si="172"/>
        <v>0.12927764189875873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3.2366642699344085E-14</v>
      </c>
      <c r="CV184" s="13">
        <f t="shared" si="173"/>
        <v>5.5446527398450045E-13</v>
      </c>
      <c r="CW184" s="20">
        <f t="shared" si="174"/>
        <v>1.0220655882243624E-12</v>
      </c>
      <c r="CX184" s="59">
        <f t="shared" si="122"/>
        <v>293.33333333333434</v>
      </c>
      <c r="CY184" s="59">
        <f ca="1">AVERAGE(OFFSET($CX$3,0,0,'Données projet'!$E$13+1,1))-AVERAGE(OFFSET($H$3,0,0,'Données projet'!$E$13+1,1))</f>
        <v>242.1473060698724</v>
      </c>
      <c r="CZ184" s="59">
        <f t="shared" si="150"/>
        <v>96.127995920458659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0</v>
      </c>
      <c r="EP184" s="59">
        <f t="shared" si="154"/>
        <v>0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179.86010141761648</v>
      </c>
      <c r="T185" s="59">
        <f t="shared" si="142"/>
        <v>367.01744242396057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3.2391207825114812</v>
      </c>
      <c r="AA185" s="21">
        <f>EXP(-LN(2)/25)*AA184+(1-EXP(-LN(2)/25))/(LN(2)/25)*Calculateur!V185*Calculateur!X185*VLOOKUP('Données projet'!$B$9,Paramètres!$A$1:$I$89,3,0)*0.475*44/12</f>
        <v>0.87018979320026824</v>
      </c>
      <c r="AB185" s="21">
        <f>EXP(-LN(2)/2)*AB184+(1-EXP(-LN(2)/2))/(LN(2)/2)*V185*Y185*VLOOKUP('Données projet'!$B$9,Paramètres!$A$1:$I$89,3,0)*0.475*44/12</f>
        <v>6.014138681259706E-21</v>
      </c>
      <c r="AC185" s="22">
        <f t="shared" si="163"/>
        <v>4.1093105757117492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-4.758931027026848E-13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318.09371753144256</v>
      </c>
      <c r="AO185" s="59">
        <f t="shared" si="144"/>
        <v>298.61479562586919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0.30548842146878802</v>
      </c>
      <c r="AW185" s="21">
        <f>EXP(-LN(2)/2)*AW184+(1-EXP(-LN(2)/2))/(LN(2)/2)*AQ185*AT185*VLOOKUP('Données projet'!$B$10,Paramètres!$A$1:$I$89,3,0)*0.475*44/12</f>
        <v>4.003612085732379E-22</v>
      </c>
      <c r="AX185" s="21">
        <f t="shared" si="166"/>
        <v>0.47788866025250887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35.999999999999943</v>
      </c>
      <c r="BE185" s="13">
        <f>BD185*VLOOKUP('Données projet'!$B$11,Paramètres!$A$1:$I$89,3,0)*VLOOKUP('Données projet'!$B$11,Paramètres!$A$1:$I$89,5,0)</f>
        <v>31.449599999999958</v>
      </c>
      <c r="BF185" s="13">
        <f t="shared" si="167"/>
        <v>9.7016318496336709</v>
      </c>
      <c r="BG185" s="20">
        <f t="shared" si="168"/>
        <v>71.671728804778567</v>
      </c>
      <c r="BH185" s="59">
        <f t="shared" si="116"/>
        <v>365.0050621381119</v>
      </c>
      <c r="BI185" s="59">
        <f ca="1">AVERAGE(OFFSET($BH$3,0,0,'Données projet'!$E$11+1,1))-AVERAGE(OFFSET($H$3,0,0,'Données projet'!$E$11+1,1))</f>
        <v>247.43282553724879</v>
      </c>
      <c r="BJ185" s="59">
        <f t="shared" si="146"/>
        <v>637.29471578895527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3.6410578854366868E-21</v>
      </c>
      <c r="BS185" s="22">
        <f t="shared" si="169"/>
        <v>3.6410578854366868E-21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4.6111381379887463E-14</v>
      </c>
      <c r="CA185" s="13">
        <f t="shared" si="170"/>
        <v>7.5804141040779151E-13</v>
      </c>
      <c r="CB185" s="20">
        <f t="shared" si="171"/>
        <v>1.4005661123635408E-12</v>
      </c>
      <c r="CC185" s="59">
        <f t="shared" si="119"/>
        <v>293.33333333333474</v>
      </c>
      <c r="CD185" s="59">
        <f ca="1">AVERAGE(OFFSET($CC$3,0,0,'Données projet'!$E$12+1,1))-AVERAGE(OFFSET($H$3,0,0,'Données projet'!$E$12+1,1))</f>
        <v>230.68538392491388</v>
      </c>
      <c r="CE185" s="59">
        <f t="shared" si="148"/>
        <v>267.97457956620724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0.12574253798262144</v>
      </c>
      <c r="CM185" s="21">
        <f>EXP(-LN(2)/2)*CM184+(1-EXP(-LN(2)/2))/(LN(2)/2)*CG185*CJ185*VLOOKUP('Données projet'!$B$12,Paramètres!$A$1:$I$89,3,0)*0.475*44/12</f>
        <v>1.4522074607495317E-22</v>
      </c>
      <c r="CN185" s="22">
        <f t="shared" si="172"/>
        <v>0.12574253798262144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3.2366642699344085E-14</v>
      </c>
      <c r="CV185" s="13">
        <f t="shared" si="173"/>
        <v>5.5446527398450045E-13</v>
      </c>
      <c r="CW185" s="20">
        <f t="shared" si="174"/>
        <v>1.0220655882243624E-12</v>
      </c>
      <c r="CX185" s="59">
        <f t="shared" si="122"/>
        <v>293.33333333333434</v>
      </c>
      <c r="CY185" s="59">
        <f ca="1">AVERAGE(OFFSET($CX$3,0,0,'Données projet'!$E$13+1,1))-AVERAGE(OFFSET($H$3,0,0,'Données projet'!$E$13+1,1))</f>
        <v>242.1473060698724</v>
      </c>
      <c r="CZ185" s="59">
        <f t="shared" si="150"/>
        <v>96.127995920458659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0</v>
      </c>
      <c r="EP185" s="59">
        <f t="shared" si="154"/>
        <v>0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179.86010141761648</v>
      </c>
      <c r="T186" s="59">
        <f t="shared" si="142"/>
        <v>367.01744242396057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3.1756035996350271</v>
      </c>
      <c r="AA186" s="21">
        <f>EXP(-LN(2)/25)*AA185+(1-EXP(-LN(2)/25))/(LN(2)/25)*Calculateur!V186*Calculateur!X186*VLOOKUP('Données projet'!$B$9,Paramètres!$A$1:$I$89,3,0)*0.475*44/12</f>
        <v>0.84639440754391448</v>
      </c>
      <c r="AB186" s="21">
        <f>EXP(-LN(2)/2)*AB185+(1-EXP(-LN(2)/2))/(LN(2)/2)*V186*Y186*VLOOKUP('Données projet'!$B$9,Paramètres!$A$1:$I$89,3,0)*0.475*44/12</f>
        <v>4.2526382445150583E-21</v>
      </c>
      <c r="AC186" s="22">
        <f t="shared" si="163"/>
        <v>4.0219980071789418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-4.758931027026848E-13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318.09371753144256</v>
      </c>
      <c r="AO186" s="59">
        <f t="shared" si="144"/>
        <v>298.61479562586919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0.29713482451878614</v>
      </c>
      <c r="AW186" s="21">
        <f>EXP(-LN(2)/2)*AW185+(1-EXP(-LN(2)/2))/(LN(2)/2)*AQ186*AT186*VLOOKUP('Données projet'!$B$10,Paramètres!$A$1:$I$89,3,0)*0.475*44/12</f>
        <v>2.8309812550617824E-22</v>
      </c>
      <c r="AX186" s="21">
        <f t="shared" si="166"/>
        <v>0.46615439977372075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35.999999999999943</v>
      </c>
      <c r="BE186" s="13">
        <f>BD186*VLOOKUP('Données projet'!$B$11,Paramètres!$A$1:$I$89,3,0)*VLOOKUP('Données projet'!$B$11,Paramètres!$A$1:$I$89,5,0)</f>
        <v>31.449599999999958</v>
      </c>
      <c r="BF186" s="13">
        <f t="shared" si="167"/>
        <v>9.7016318496336709</v>
      </c>
      <c r="BG186" s="20">
        <f t="shared" si="168"/>
        <v>71.671728804778567</v>
      </c>
      <c r="BH186" s="59">
        <f t="shared" si="116"/>
        <v>365.0050621381119</v>
      </c>
      <c r="BI186" s="59">
        <f ca="1">AVERAGE(OFFSET($BH$3,0,0,'Données projet'!$E$11+1,1))-AVERAGE(OFFSET($H$3,0,0,'Données projet'!$E$11+1,1))</f>
        <v>247.43282553724879</v>
      </c>
      <c r="BJ186" s="59">
        <f t="shared" si="146"/>
        <v>637.29471578895527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2.5746167214850327E-21</v>
      </c>
      <c r="BS186" s="22">
        <f t="shared" si="169"/>
        <v>2.5746167214850327E-21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4.6111381379887463E-14</v>
      </c>
      <c r="CA186" s="13">
        <f t="shared" si="170"/>
        <v>7.5804141040779151E-13</v>
      </c>
      <c r="CB186" s="20">
        <f t="shared" si="171"/>
        <v>1.4005661123635408E-12</v>
      </c>
      <c r="CC186" s="59">
        <f t="shared" si="119"/>
        <v>293.33333333333474</v>
      </c>
      <c r="CD186" s="59">
        <f ca="1">AVERAGE(OFFSET($CC$3,0,0,'Données projet'!$E$12+1,1))-AVERAGE(OFFSET($H$3,0,0,'Données projet'!$E$12+1,1))</f>
        <v>230.68538392491388</v>
      </c>
      <c r="CE186" s="59">
        <f t="shared" si="148"/>
        <v>267.97457956620724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0.12230410166897397</v>
      </c>
      <c r="CM186" s="21">
        <f>EXP(-LN(2)/2)*CM185+(1-EXP(-LN(2)/2))/(LN(2)/2)*CG186*CJ186*VLOOKUP('Données projet'!$B$12,Paramètres!$A$1:$I$89,3,0)*0.475*44/12</f>
        <v>1.0268657431856909E-22</v>
      </c>
      <c r="CN186" s="22">
        <f t="shared" si="172"/>
        <v>0.12230410166897397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3.2366642699344085E-14</v>
      </c>
      <c r="CV186" s="13">
        <f t="shared" si="173"/>
        <v>5.5446527398450045E-13</v>
      </c>
      <c r="CW186" s="20">
        <f t="shared" si="174"/>
        <v>1.0220655882243624E-12</v>
      </c>
      <c r="CX186" s="59">
        <f t="shared" si="122"/>
        <v>293.33333333333434</v>
      </c>
      <c r="CY186" s="59">
        <f ca="1">AVERAGE(OFFSET($CX$3,0,0,'Données projet'!$E$13+1,1))-AVERAGE(OFFSET($H$3,0,0,'Données projet'!$E$13+1,1))</f>
        <v>242.1473060698724</v>
      </c>
      <c r="CZ186" s="59">
        <f t="shared" si="150"/>
        <v>96.127995920458659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0</v>
      </c>
      <c r="EP186" s="59">
        <f t="shared" si="154"/>
        <v>0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179.86010141761648</v>
      </c>
      <c r="T187" s="59">
        <f t="shared" si="142"/>
        <v>367.01744242396057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3.1133319499731242</v>
      </c>
      <c r="AA187" s="21">
        <f>EXP(-LN(2)/25)*AA186+(1-EXP(-LN(2)/25))/(LN(2)/25)*Calculateur!V187*Calculateur!X187*VLOOKUP('Données projet'!$B$9,Paramètres!$A$1:$I$89,3,0)*0.475*44/12</f>
        <v>0.82324970795967867</v>
      </c>
      <c r="AB187" s="21">
        <f>EXP(-LN(2)/2)*AB186+(1-EXP(-LN(2)/2))/(LN(2)/2)*V187*Y187*VLOOKUP('Données projet'!$B$9,Paramètres!$A$1:$I$89,3,0)*0.475*44/12</f>
        <v>3.007069340629853E-21</v>
      </c>
      <c r="AC187" s="22">
        <f t="shared" si="163"/>
        <v>3.9365816579328028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-4.758931027026848E-13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318.09371753144256</v>
      </c>
      <c r="AO187" s="59">
        <f t="shared" si="144"/>
        <v>298.61479562586919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0.28900965711667864</v>
      </c>
      <c r="AW187" s="21">
        <f>EXP(-LN(2)/2)*AW186+(1-EXP(-LN(2)/2))/(LN(2)/2)*AQ187*AT187*VLOOKUP('Données projet'!$B$10,Paramètres!$A$1:$I$89,3,0)*0.475*44/12</f>
        <v>2.0018060428661895E-22</v>
      </c>
      <c r="AX187" s="21">
        <f t="shared" si="166"/>
        <v>0.45471486159262542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35.999999999999943</v>
      </c>
      <c r="BE187" s="13">
        <f>BD187*VLOOKUP('Données projet'!$B$11,Paramètres!$A$1:$I$89,3,0)*VLOOKUP('Données projet'!$B$11,Paramètres!$A$1:$I$89,5,0)</f>
        <v>31.449599999999958</v>
      </c>
      <c r="BF187" s="13">
        <f t="shared" si="167"/>
        <v>9.7016318496336709</v>
      </c>
      <c r="BG187" s="20">
        <f t="shared" si="168"/>
        <v>71.671728804778567</v>
      </c>
      <c r="BH187" s="59">
        <f t="shared" si="116"/>
        <v>365.0050621381119</v>
      </c>
      <c r="BI187" s="59">
        <f ca="1">AVERAGE(OFFSET($BH$3,0,0,'Données projet'!$E$11+1,1))-AVERAGE(OFFSET($H$3,0,0,'Données projet'!$E$11+1,1))</f>
        <v>247.43282553724879</v>
      </c>
      <c r="BJ187" s="59">
        <f t="shared" si="146"/>
        <v>637.29471578895527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1.8205289427183434E-21</v>
      </c>
      <c r="BS187" s="22">
        <f t="shared" si="169"/>
        <v>1.8205289427183434E-21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4.6111381379887463E-14</v>
      </c>
      <c r="CA187" s="13">
        <f t="shared" si="170"/>
        <v>7.5804141040779151E-13</v>
      </c>
      <c r="CB187" s="20">
        <f t="shared" si="171"/>
        <v>1.4005661123635408E-12</v>
      </c>
      <c r="CC187" s="59">
        <f t="shared" si="119"/>
        <v>293.33333333333474</v>
      </c>
      <c r="CD187" s="59">
        <f ca="1">AVERAGE(OFFSET($CC$3,0,0,'Données projet'!$E$12+1,1))-AVERAGE(OFFSET($H$3,0,0,'Données projet'!$E$12+1,1))</f>
        <v>230.68538392491388</v>
      </c>
      <c r="CE187" s="59">
        <f t="shared" si="148"/>
        <v>267.97457956620724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0.1189596895771427</v>
      </c>
      <c r="CM187" s="21">
        <f>EXP(-LN(2)/2)*CM186+(1-EXP(-LN(2)/2))/(LN(2)/2)*CG187*CJ187*VLOOKUP('Données projet'!$B$12,Paramètres!$A$1:$I$89,3,0)*0.475*44/12</f>
        <v>7.2610373037476584E-23</v>
      </c>
      <c r="CN187" s="22">
        <f t="shared" si="172"/>
        <v>0.1189596895771427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3.2366642699344085E-14</v>
      </c>
      <c r="CV187" s="13">
        <f t="shared" si="173"/>
        <v>5.5446527398450045E-13</v>
      </c>
      <c r="CW187" s="20">
        <f t="shared" si="174"/>
        <v>1.0220655882243624E-12</v>
      </c>
      <c r="CX187" s="59">
        <f t="shared" si="122"/>
        <v>293.33333333333434</v>
      </c>
      <c r="CY187" s="59">
        <f ca="1">AVERAGE(OFFSET($CX$3,0,0,'Données projet'!$E$13+1,1))-AVERAGE(OFFSET($H$3,0,0,'Données projet'!$E$13+1,1))</f>
        <v>242.1473060698724</v>
      </c>
      <c r="CZ187" s="59">
        <f t="shared" si="150"/>
        <v>96.127995920458659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0</v>
      </c>
      <c r="EP187" s="59">
        <f t="shared" si="154"/>
        <v>0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179.86010141761648</v>
      </c>
      <c r="T188" s="59">
        <f t="shared" si="142"/>
        <v>367.01744242396057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3.0522814093791357</v>
      </c>
      <c r="AA188" s="21">
        <f>EXP(-LN(2)/25)*AA187+(1-EXP(-LN(2)/25))/(LN(2)/25)*Calculateur!V188*Calculateur!X188*VLOOKUP('Données projet'!$B$9,Paramètres!$A$1:$I$89,3,0)*0.475*44/12</f>
        <v>0.80073790140270062</v>
      </c>
      <c r="AB188" s="21">
        <f>EXP(-LN(2)/2)*AB187+(1-EXP(-LN(2)/2))/(LN(2)/2)*V188*Y188*VLOOKUP('Données projet'!$B$9,Paramètres!$A$1:$I$89,3,0)*0.475*44/12</f>
        <v>2.1263191222575292E-21</v>
      </c>
      <c r="AC188" s="22">
        <f t="shared" si="163"/>
        <v>3.8530193107818365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-4.758931027026848E-13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318.09371753144256</v>
      </c>
      <c r="AO188" s="59">
        <f t="shared" si="144"/>
        <v>298.61479562586919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0.28110667284446572</v>
      </c>
      <c r="AW188" s="21">
        <f>EXP(-LN(2)/2)*AW187+(1-EXP(-LN(2)/2))/(LN(2)/2)*AQ188*AT188*VLOOKUP('Données projet'!$B$10,Paramètres!$A$1:$I$89,3,0)*0.475*44/12</f>
        <v>1.4154906275308912E-22</v>
      </c>
      <c r="AX188" s="21">
        <f t="shared" si="166"/>
        <v>0.44356249933083408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35.999999999999943</v>
      </c>
      <c r="BE188" s="13">
        <f>BD188*VLOOKUP('Données projet'!$B$11,Paramètres!$A$1:$I$89,3,0)*VLOOKUP('Données projet'!$B$11,Paramètres!$A$1:$I$89,5,0)</f>
        <v>31.449599999999958</v>
      </c>
      <c r="BF188" s="13">
        <f t="shared" si="167"/>
        <v>9.7016318496336709</v>
      </c>
      <c r="BG188" s="20">
        <f t="shared" si="168"/>
        <v>71.671728804778567</v>
      </c>
      <c r="BH188" s="59">
        <f t="shared" si="116"/>
        <v>365.0050621381119</v>
      </c>
      <c r="BI188" s="59">
        <f ca="1">AVERAGE(OFFSET($BH$3,0,0,'Données projet'!$E$11+1,1))-AVERAGE(OFFSET($H$3,0,0,'Données projet'!$E$11+1,1))</f>
        <v>247.43282553724879</v>
      </c>
      <c r="BJ188" s="59">
        <f t="shared" si="146"/>
        <v>637.29471578895527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1.2873083607425164E-21</v>
      </c>
      <c r="BS188" s="22">
        <f t="shared" si="169"/>
        <v>1.2873083607425164E-21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4.6111381379887463E-14</v>
      </c>
      <c r="CA188" s="13">
        <f t="shared" si="170"/>
        <v>7.5804141040779151E-13</v>
      </c>
      <c r="CB188" s="20">
        <f t="shared" si="171"/>
        <v>1.4005661123635408E-12</v>
      </c>
      <c r="CC188" s="59">
        <f t="shared" si="119"/>
        <v>293.33333333333474</v>
      </c>
      <c r="CD188" s="59">
        <f ca="1">AVERAGE(OFFSET($CC$3,0,0,'Données projet'!$E$12+1,1))-AVERAGE(OFFSET($H$3,0,0,'Données projet'!$E$12+1,1))</f>
        <v>230.68538392491388</v>
      </c>
      <c r="CE188" s="59">
        <f t="shared" si="148"/>
        <v>267.97457956620724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0.11570673060983755</v>
      </c>
      <c r="CM188" s="21">
        <f>EXP(-LN(2)/2)*CM187+(1-EXP(-LN(2)/2))/(LN(2)/2)*CG188*CJ188*VLOOKUP('Données projet'!$B$12,Paramètres!$A$1:$I$89,3,0)*0.475*44/12</f>
        <v>5.1343287159284546E-23</v>
      </c>
      <c r="CN188" s="22">
        <f t="shared" si="172"/>
        <v>0.11570673060983755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3.2366642699344085E-14</v>
      </c>
      <c r="CV188" s="13">
        <f t="shared" si="173"/>
        <v>5.5446527398450045E-13</v>
      </c>
      <c r="CW188" s="20">
        <f t="shared" si="174"/>
        <v>1.0220655882243624E-12</v>
      </c>
      <c r="CX188" s="59">
        <f t="shared" si="122"/>
        <v>293.33333333333434</v>
      </c>
      <c r="CY188" s="59">
        <f ca="1">AVERAGE(OFFSET($CX$3,0,0,'Données projet'!$E$13+1,1))-AVERAGE(OFFSET($H$3,0,0,'Données projet'!$E$13+1,1))</f>
        <v>242.1473060698724</v>
      </c>
      <c r="CZ188" s="59">
        <f t="shared" si="150"/>
        <v>96.127995920458659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0</v>
      </c>
      <c r="EP188" s="59">
        <f t="shared" si="154"/>
        <v>0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179.86010141761648</v>
      </c>
      <c r="T189" s="59">
        <f t="shared" si="142"/>
        <v>367.01744242396057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2.992428032649042</v>
      </c>
      <c r="AA189" s="21">
        <f>EXP(-LN(2)/25)*AA188+(1-EXP(-LN(2)/25))/(LN(2)/25)*Calculateur!V189*Calculateur!X189*VLOOKUP('Données projet'!$B$9,Paramètres!$A$1:$I$89,3,0)*0.475*44/12</f>
        <v>0.77884168137986765</v>
      </c>
      <c r="AB189" s="21">
        <f>EXP(-LN(2)/2)*AB188+(1-EXP(-LN(2)/2))/(LN(2)/2)*V189*Y189*VLOOKUP('Données projet'!$B$9,Paramètres!$A$1:$I$89,3,0)*0.475*44/12</f>
        <v>1.5035346703149265E-21</v>
      </c>
      <c r="AC189" s="22">
        <f t="shared" si="163"/>
        <v>3.7712697140289095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-4.758931027026848E-13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318.09371753144256</v>
      </c>
      <c r="AO189" s="59">
        <f t="shared" si="144"/>
        <v>298.61479562586919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0.27341979609277633</v>
      </c>
      <c r="AW189" s="21">
        <f>EXP(-LN(2)/2)*AW188+(1-EXP(-LN(2)/2))/(LN(2)/2)*AQ189*AT189*VLOOKUP('Données projet'!$B$10,Paramètres!$A$1:$I$89,3,0)*0.475*44/12</f>
        <v>1.0009030214330947E-22</v>
      </c>
      <c r="AX189" s="21">
        <f t="shared" si="166"/>
        <v>0.43268996291001705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35.999999999999943</v>
      </c>
      <c r="BE189" s="13">
        <f>BD189*VLOOKUP('Données projet'!$B$11,Paramètres!$A$1:$I$89,3,0)*VLOOKUP('Données projet'!$B$11,Paramètres!$A$1:$I$89,5,0)</f>
        <v>31.449599999999958</v>
      </c>
      <c r="BF189" s="13">
        <f t="shared" si="167"/>
        <v>9.7016318496336709</v>
      </c>
      <c r="BG189" s="20">
        <f t="shared" si="168"/>
        <v>71.671728804778567</v>
      </c>
      <c r="BH189" s="59">
        <f t="shared" si="116"/>
        <v>365.0050621381119</v>
      </c>
      <c r="BI189" s="59">
        <f ca="1">AVERAGE(OFFSET($BH$3,0,0,'Données projet'!$E$11+1,1))-AVERAGE(OFFSET($H$3,0,0,'Données projet'!$E$11+1,1))</f>
        <v>247.43282553724879</v>
      </c>
      <c r="BJ189" s="59">
        <f t="shared" si="146"/>
        <v>637.29471578895527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9.102644713591717E-22</v>
      </c>
      <c r="BS189" s="22">
        <f t="shared" si="169"/>
        <v>9.102644713591717E-22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4.6111381379887463E-14</v>
      </c>
      <c r="CA189" s="13">
        <f t="shared" si="170"/>
        <v>7.5804141040779151E-13</v>
      </c>
      <c r="CB189" s="20">
        <f t="shared" si="171"/>
        <v>1.4005661123635408E-12</v>
      </c>
      <c r="CC189" s="59">
        <f t="shared" si="119"/>
        <v>293.33333333333474</v>
      </c>
      <c r="CD189" s="59">
        <f ca="1">AVERAGE(OFFSET($CC$3,0,0,'Données projet'!$E$12+1,1))-AVERAGE(OFFSET($H$3,0,0,'Données projet'!$E$12+1,1))</f>
        <v>230.68538392491388</v>
      </c>
      <c r="CE189" s="59">
        <f t="shared" si="148"/>
        <v>267.97457956620724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0.11254272397655903</v>
      </c>
      <c r="CM189" s="21">
        <f>EXP(-LN(2)/2)*CM188+(1-EXP(-LN(2)/2))/(LN(2)/2)*CG189*CJ189*VLOOKUP('Données projet'!$B$12,Paramètres!$A$1:$I$89,3,0)*0.475*44/12</f>
        <v>3.6305186518738292E-23</v>
      </c>
      <c r="CN189" s="22">
        <f t="shared" si="172"/>
        <v>0.11254272397655903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3.2366642699344085E-14</v>
      </c>
      <c r="CV189" s="13">
        <f t="shared" si="173"/>
        <v>5.5446527398450045E-13</v>
      </c>
      <c r="CW189" s="20">
        <f t="shared" si="174"/>
        <v>1.0220655882243624E-12</v>
      </c>
      <c r="CX189" s="59">
        <f t="shared" si="122"/>
        <v>293.33333333333434</v>
      </c>
      <c r="CY189" s="59">
        <f ca="1">AVERAGE(OFFSET($CX$3,0,0,'Données projet'!$E$13+1,1))-AVERAGE(OFFSET($H$3,0,0,'Données projet'!$E$13+1,1))</f>
        <v>242.1473060698724</v>
      </c>
      <c r="CZ189" s="59">
        <f t="shared" si="150"/>
        <v>96.127995920458659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0</v>
      </c>
      <c r="EP189" s="59">
        <f t="shared" si="154"/>
        <v>0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179.86010141761648</v>
      </c>
      <c r="T190" s="59">
        <f t="shared" si="142"/>
        <v>367.01744242396057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2.9337483441296706</v>
      </c>
      <c r="AA190" s="21">
        <f>EXP(-LN(2)/25)*AA189+(1-EXP(-LN(2)/25))/(LN(2)/25)*Calculateur!V190*Calculateur!X190*VLOOKUP('Données projet'!$B$9,Paramètres!$A$1:$I$89,3,0)*0.475*44/12</f>
        <v>0.75754421464503119</v>
      </c>
      <c r="AB190" s="21">
        <f>EXP(-LN(2)/2)*AB189+(1-EXP(-LN(2)/2))/(LN(2)/2)*V190*Y190*VLOOKUP('Données projet'!$B$9,Paramètres!$A$1:$I$89,3,0)*0.475*44/12</f>
        <v>1.0631595611287646E-21</v>
      </c>
      <c r="AC190" s="22">
        <f t="shared" si="163"/>
        <v>3.6912925587747019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-4.758931027026848E-13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318.09371753144256</v>
      </c>
      <c r="AO190" s="59">
        <f t="shared" si="144"/>
        <v>298.61479562586919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0.26594311739009718</v>
      </c>
      <c r="AW190" s="21">
        <f>EXP(-LN(2)/2)*AW189+(1-EXP(-LN(2)/2))/(LN(2)/2)*AQ190*AT190*VLOOKUP('Données projet'!$B$10,Paramètres!$A$1:$I$89,3,0)*0.475*44/12</f>
        <v>7.077453137654456E-23</v>
      </c>
      <c r="AX190" s="21">
        <f t="shared" si="166"/>
        <v>0.42209009338126124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35.999999999999943</v>
      </c>
      <c r="BE190" s="13">
        <f>BD190*VLOOKUP('Données projet'!$B$11,Paramètres!$A$1:$I$89,3,0)*VLOOKUP('Données projet'!$B$11,Paramètres!$A$1:$I$89,5,0)</f>
        <v>31.449599999999958</v>
      </c>
      <c r="BF190" s="13">
        <f t="shared" si="167"/>
        <v>9.7016318496336709</v>
      </c>
      <c r="BG190" s="20">
        <f t="shared" si="168"/>
        <v>71.671728804778567</v>
      </c>
      <c r="BH190" s="59">
        <f t="shared" si="116"/>
        <v>365.0050621381119</v>
      </c>
      <c r="BI190" s="59">
        <f ca="1">AVERAGE(OFFSET($BH$3,0,0,'Données projet'!$E$11+1,1))-AVERAGE(OFFSET($H$3,0,0,'Données projet'!$E$11+1,1))</f>
        <v>247.43282553724879</v>
      </c>
      <c r="BJ190" s="59">
        <f t="shared" si="146"/>
        <v>637.29471578895527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6.4365418037125818E-22</v>
      </c>
      <c r="BS190" s="22">
        <f t="shared" si="169"/>
        <v>6.4365418037125818E-22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4.6111381379887463E-14</v>
      </c>
      <c r="CA190" s="13">
        <f t="shared" si="170"/>
        <v>7.5804141040779151E-13</v>
      </c>
      <c r="CB190" s="20">
        <f t="shared" si="171"/>
        <v>1.4005661123635408E-12</v>
      </c>
      <c r="CC190" s="59">
        <f t="shared" si="119"/>
        <v>293.33333333333474</v>
      </c>
      <c r="CD190" s="59">
        <f ca="1">AVERAGE(OFFSET($CC$3,0,0,'Données projet'!$E$12+1,1))-AVERAGE(OFFSET($H$3,0,0,'Données projet'!$E$12+1,1))</f>
        <v>230.68538392491388</v>
      </c>
      <c r="CE190" s="59">
        <f t="shared" si="148"/>
        <v>267.97457956620724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0.10946523727105538</v>
      </c>
      <c r="CM190" s="21">
        <f>EXP(-LN(2)/2)*CM189+(1-EXP(-LN(2)/2))/(LN(2)/2)*CG190*CJ190*VLOOKUP('Données projet'!$B$12,Paramètres!$A$1:$I$89,3,0)*0.475*44/12</f>
        <v>2.5671643579642273E-23</v>
      </c>
      <c r="CN190" s="22">
        <f t="shared" si="172"/>
        <v>0.10946523727105538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3.2366642699344085E-14</v>
      </c>
      <c r="CV190" s="13">
        <f t="shared" si="173"/>
        <v>5.5446527398450045E-13</v>
      </c>
      <c r="CW190" s="20">
        <f t="shared" si="174"/>
        <v>1.0220655882243624E-12</v>
      </c>
      <c r="CX190" s="59">
        <f t="shared" si="122"/>
        <v>293.33333333333434</v>
      </c>
      <c r="CY190" s="59">
        <f ca="1">AVERAGE(OFFSET($CX$3,0,0,'Données projet'!$E$13+1,1))-AVERAGE(OFFSET($H$3,0,0,'Données projet'!$E$13+1,1))</f>
        <v>242.1473060698724</v>
      </c>
      <c r="CZ190" s="59">
        <f t="shared" si="150"/>
        <v>96.127995920458659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0</v>
      </c>
      <c r="EP190" s="59">
        <f t="shared" si="154"/>
        <v>0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179.86010141761648</v>
      </c>
      <c r="T191" s="59">
        <f t="shared" si="142"/>
        <v>367.01744242396057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2.876219328511088</v>
      </c>
      <c r="AA191" s="21">
        <f>EXP(-LN(2)/25)*AA190+(1-EXP(-LN(2)/25))/(LN(2)/25)*Calculateur!V191*Calculateur!X191*VLOOKUP('Données projet'!$B$9,Paramètres!$A$1:$I$89,3,0)*0.475*44/12</f>
        <v>0.73682912825804392</v>
      </c>
      <c r="AB191" s="21">
        <f>EXP(-LN(2)/2)*AB190+(1-EXP(-LN(2)/2))/(LN(2)/2)*V191*Y191*VLOOKUP('Données projet'!$B$9,Paramètres!$A$1:$I$89,3,0)*0.475*44/12</f>
        <v>7.5176733515746325E-22</v>
      </c>
      <c r="AC191" s="22">
        <f t="shared" si="163"/>
        <v>3.6130484567691319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-4.758931027026848E-13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318.09371753144256</v>
      </c>
      <c r="AO191" s="59">
        <f t="shared" si="144"/>
        <v>298.61479562586919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0.25867088885972428</v>
      </c>
      <c r="AW191" s="21">
        <f>EXP(-LN(2)/2)*AW190+(1-EXP(-LN(2)/2))/(LN(2)/2)*AQ191*AT191*VLOOKUP('Données projet'!$B$10,Paramètres!$A$1:$I$89,3,0)*0.475*44/12</f>
        <v>5.0045151071654737E-23</v>
      </c>
      <c r="AX191" s="21">
        <f t="shared" si="166"/>
        <v>0.41175591789195276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35.999999999999943</v>
      </c>
      <c r="BE191" s="13">
        <f>BD191*VLOOKUP('Données projet'!$B$11,Paramètres!$A$1:$I$89,3,0)*VLOOKUP('Données projet'!$B$11,Paramètres!$A$1:$I$89,5,0)</f>
        <v>31.449599999999958</v>
      </c>
      <c r="BF191" s="13">
        <f t="shared" si="167"/>
        <v>9.7016318496336709</v>
      </c>
      <c r="BG191" s="20">
        <f t="shared" si="168"/>
        <v>71.671728804778567</v>
      </c>
      <c r="BH191" s="59">
        <f t="shared" si="116"/>
        <v>365.0050621381119</v>
      </c>
      <c r="BI191" s="59">
        <f ca="1">AVERAGE(OFFSET($BH$3,0,0,'Données projet'!$E$11+1,1))-AVERAGE(OFFSET($H$3,0,0,'Données projet'!$E$11+1,1))</f>
        <v>247.43282553724879</v>
      </c>
      <c r="BJ191" s="59">
        <f t="shared" si="146"/>
        <v>637.29471578895527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4.5513223567958585E-22</v>
      </c>
      <c r="BS191" s="22">
        <f t="shared" si="169"/>
        <v>4.5513223567958585E-22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4.6111381379887463E-14</v>
      </c>
      <c r="CA191" s="13">
        <f t="shared" si="170"/>
        <v>7.5804141040779151E-13</v>
      </c>
      <c r="CB191" s="20">
        <f t="shared" si="171"/>
        <v>1.4005661123635408E-12</v>
      </c>
      <c r="CC191" s="59">
        <f t="shared" si="119"/>
        <v>293.33333333333474</v>
      </c>
      <c r="CD191" s="59">
        <f ca="1">AVERAGE(OFFSET($CC$3,0,0,'Données projet'!$E$12+1,1))-AVERAGE(OFFSET($H$3,0,0,'Données projet'!$E$12+1,1))</f>
        <v>230.68538392491388</v>
      </c>
      <c r="CE191" s="59">
        <f t="shared" si="148"/>
        <v>267.97457956620724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0.10647190460135172</v>
      </c>
      <c r="CM191" s="21">
        <f>EXP(-LN(2)/2)*CM190+(1-EXP(-LN(2)/2))/(LN(2)/2)*CG191*CJ191*VLOOKUP('Données projet'!$B$12,Paramètres!$A$1:$I$89,3,0)*0.475*44/12</f>
        <v>1.8152593259369146E-23</v>
      </c>
      <c r="CN191" s="22">
        <f t="shared" si="172"/>
        <v>0.10647190460135172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3.2366642699344085E-14</v>
      </c>
      <c r="CV191" s="13">
        <f t="shared" si="173"/>
        <v>5.5446527398450045E-13</v>
      </c>
      <c r="CW191" s="20">
        <f t="shared" si="174"/>
        <v>1.0220655882243624E-12</v>
      </c>
      <c r="CX191" s="59">
        <f t="shared" si="122"/>
        <v>293.33333333333434</v>
      </c>
      <c r="CY191" s="59">
        <f ca="1">AVERAGE(OFFSET($CX$3,0,0,'Données projet'!$E$13+1,1))-AVERAGE(OFFSET($H$3,0,0,'Données projet'!$E$13+1,1))</f>
        <v>242.1473060698724</v>
      </c>
      <c r="CZ191" s="59">
        <f t="shared" si="150"/>
        <v>96.127995920458659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0</v>
      </c>
      <c r="EP191" s="59">
        <f t="shared" si="154"/>
        <v>0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179.86010141761648</v>
      </c>
      <c r="T192" s="59">
        <f t="shared" si="142"/>
        <v>367.01744242396057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2.819818421799551</v>
      </c>
      <c r="AA192" s="21">
        <f>EXP(-LN(2)/25)*AA191+(1-EXP(-LN(2)/25))/(LN(2)/25)*Calculateur!V192*Calculateur!X192*VLOOKUP('Données projet'!$B$9,Paramètres!$A$1:$I$89,3,0)*0.475*44/12</f>
        <v>0.71668049699766789</v>
      </c>
      <c r="AB192" s="21">
        <f>EXP(-LN(2)/2)*AB191+(1-EXP(-LN(2)/2))/(LN(2)/2)*V192*Y192*VLOOKUP('Données projet'!$B$9,Paramètres!$A$1:$I$89,3,0)*0.475*44/12</f>
        <v>5.3157978056438229E-22</v>
      </c>
      <c r="AC192" s="22">
        <f t="shared" si="163"/>
        <v>3.5364989187972187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-4.758931027026848E-13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318.09371753144256</v>
      </c>
      <c r="AO192" s="59">
        <f t="shared" si="144"/>
        <v>298.61479562586919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0.25159751980094425</v>
      </c>
      <c r="AW192" s="21">
        <f>EXP(-LN(2)/2)*AW191+(1-EXP(-LN(2)/2))/(LN(2)/2)*AQ192*AT192*VLOOKUP('Données projet'!$B$10,Paramètres!$A$1:$I$89,3,0)*0.475*44/12</f>
        <v>3.538726568827228E-23</v>
      </c>
      <c r="AX192" s="21">
        <f t="shared" si="166"/>
        <v>0.40168064478649868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35.999999999999943</v>
      </c>
      <c r="BE192" s="13">
        <f>BD192*VLOOKUP('Données projet'!$B$11,Paramètres!$A$1:$I$89,3,0)*VLOOKUP('Données projet'!$B$11,Paramètres!$A$1:$I$89,5,0)</f>
        <v>31.449599999999958</v>
      </c>
      <c r="BF192" s="13">
        <f t="shared" si="167"/>
        <v>9.7016318496336709</v>
      </c>
      <c r="BG192" s="20">
        <f t="shared" si="168"/>
        <v>71.671728804778567</v>
      </c>
      <c r="BH192" s="59">
        <f t="shared" si="116"/>
        <v>365.0050621381119</v>
      </c>
      <c r="BI192" s="59">
        <f ca="1">AVERAGE(OFFSET($BH$3,0,0,'Données projet'!$E$11+1,1))-AVERAGE(OFFSET($H$3,0,0,'Données projet'!$E$11+1,1))</f>
        <v>247.43282553724879</v>
      </c>
      <c r="BJ192" s="59">
        <f t="shared" si="146"/>
        <v>637.29471578895527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3.2182709018562909E-22</v>
      </c>
      <c r="BS192" s="22">
        <f t="shared" si="169"/>
        <v>3.2182709018562909E-22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4.6111381379887463E-14</v>
      </c>
      <c r="CA192" s="13">
        <f t="shared" si="170"/>
        <v>7.5804141040779151E-13</v>
      </c>
      <c r="CB192" s="20">
        <f t="shared" si="171"/>
        <v>1.4005661123635408E-12</v>
      </c>
      <c r="CC192" s="59">
        <f t="shared" si="119"/>
        <v>293.33333333333474</v>
      </c>
      <c r="CD192" s="59">
        <f ca="1">AVERAGE(OFFSET($CC$3,0,0,'Données projet'!$E$12+1,1))-AVERAGE(OFFSET($H$3,0,0,'Données projet'!$E$12+1,1))</f>
        <v>230.68538392491388</v>
      </c>
      <c r="CE192" s="59">
        <f t="shared" si="148"/>
        <v>267.97457956620724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0.10356042477091364</v>
      </c>
      <c r="CM192" s="21">
        <f>EXP(-LN(2)/2)*CM191+(1-EXP(-LN(2)/2))/(LN(2)/2)*CG192*CJ192*VLOOKUP('Données projet'!$B$12,Paramètres!$A$1:$I$89,3,0)*0.475*44/12</f>
        <v>1.2835821789821136E-23</v>
      </c>
      <c r="CN192" s="22">
        <f t="shared" si="172"/>
        <v>0.10356042477091364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3.2366642699344085E-14</v>
      </c>
      <c r="CV192" s="13">
        <f t="shared" si="173"/>
        <v>5.5446527398450045E-13</v>
      </c>
      <c r="CW192" s="20">
        <f t="shared" si="174"/>
        <v>1.0220655882243624E-12</v>
      </c>
      <c r="CX192" s="59">
        <f t="shared" si="122"/>
        <v>293.33333333333434</v>
      </c>
      <c r="CY192" s="59">
        <f ca="1">AVERAGE(OFFSET($CX$3,0,0,'Données projet'!$E$13+1,1))-AVERAGE(OFFSET($H$3,0,0,'Données projet'!$E$13+1,1))</f>
        <v>242.1473060698724</v>
      </c>
      <c r="CZ192" s="59">
        <f t="shared" si="150"/>
        <v>96.127995920458659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0</v>
      </c>
      <c r="EP192" s="59">
        <f t="shared" si="154"/>
        <v>0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179.86010141761648</v>
      </c>
      <c r="T193" s="59">
        <f t="shared" si="142"/>
        <v>367.01744242396057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2.7645235024674712</v>
      </c>
      <c r="AA193" s="21">
        <f>EXP(-LN(2)/25)*AA192+(1-EXP(-LN(2)/25))/(LN(2)/25)*Calculateur!V193*Calculateur!X193*VLOOKUP('Données projet'!$B$9,Paramètres!$A$1:$I$89,3,0)*0.475*44/12</f>
        <v>0.6970828311186773</v>
      </c>
      <c r="AB193" s="21">
        <f>EXP(-LN(2)/2)*AB192+(1-EXP(-LN(2)/2))/(LN(2)/2)*V193*Y193*VLOOKUP('Données projet'!$B$9,Paramètres!$A$1:$I$89,3,0)*0.475*44/12</f>
        <v>3.7588366757873163E-22</v>
      </c>
      <c r="AC193" s="22">
        <f t="shared" si="163"/>
        <v>3.4616063335861487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-4.758931027026848E-13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318.09371753144256</v>
      </c>
      <c r="AO193" s="59">
        <f t="shared" si="144"/>
        <v>298.61479562586919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0.24471757239104888</v>
      </c>
      <c r="AW193" s="21">
        <f>EXP(-LN(2)/2)*AW192+(1-EXP(-LN(2)/2))/(LN(2)/2)*AQ193*AT193*VLOOKUP('Données projet'!$B$10,Paramètres!$A$1:$I$89,3,0)*0.475*44/12</f>
        <v>2.5022575535827369E-23</v>
      </c>
      <c r="AX193" s="21">
        <f t="shared" si="166"/>
        <v>0.39185765883730383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35.999999999999943</v>
      </c>
      <c r="BE193" s="13">
        <f>BD193*VLOOKUP('Données projet'!$B$11,Paramètres!$A$1:$I$89,3,0)*VLOOKUP('Données projet'!$B$11,Paramètres!$A$1:$I$89,5,0)</f>
        <v>31.449599999999958</v>
      </c>
      <c r="BF193" s="13">
        <f t="shared" si="167"/>
        <v>9.7016318496336709</v>
      </c>
      <c r="BG193" s="20">
        <f t="shared" si="168"/>
        <v>71.671728804778567</v>
      </c>
      <c r="BH193" s="59">
        <f t="shared" si="116"/>
        <v>365.0050621381119</v>
      </c>
      <c r="BI193" s="59">
        <f ca="1">AVERAGE(OFFSET($BH$3,0,0,'Données projet'!$E$11+1,1))-AVERAGE(OFFSET($H$3,0,0,'Données projet'!$E$11+1,1))</f>
        <v>247.43282553724879</v>
      </c>
      <c r="BJ193" s="59">
        <f t="shared" si="146"/>
        <v>637.29471578895527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2.2756611783979292E-22</v>
      </c>
      <c r="BS193" s="22">
        <f t="shared" si="169"/>
        <v>2.2756611783979292E-22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4.6111381379887463E-14</v>
      </c>
      <c r="CA193" s="13">
        <f t="shared" si="170"/>
        <v>7.5804141040779151E-13</v>
      </c>
      <c r="CB193" s="20">
        <f t="shared" si="171"/>
        <v>1.4005661123635408E-12</v>
      </c>
      <c r="CC193" s="59">
        <f t="shared" si="119"/>
        <v>293.33333333333474</v>
      </c>
      <c r="CD193" s="59">
        <f ca="1">AVERAGE(OFFSET($CC$3,0,0,'Données projet'!$E$12+1,1))-AVERAGE(OFFSET($H$3,0,0,'Données projet'!$E$12+1,1))</f>
        <v>230.68538392491388</v>
      </c>
      <c r="CE193" s="59">
        <f t="shared" si="148"/>
        <v>267.97457956620724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0.10072855950954696</v>
      </c>
      <c r="CM193" s="21">
        <f>EXP(-LN(2)/2)*CM192+(1-EXP(-LN(2)/2))/(LN(2)/2)*CG193*CJ193*VLOOKUP('Données projet'!$B$12,Paramètres!$A$1:$I$89,3,0)*0.475*44/12</f>
        <v>9.076296629684573E-24</v>
      </c>
      <c r="CN193" s="22">
        <f t="shared" si="172"/>
        <v>0.10072855950954696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3.2366642699344085E-14</v>
      </c>
      <c r="CV193" s="13">
        <f t="shared" si="173"/>
        <v>5.5446527398450045E-13</v>
      </c>
      <c r="CW193" s="20">
        <f t="shared" si="174"/>
        <v>1.0220655882243624E-12</v>
      </c>
      <c r="CX193" s="59">
        <f t="shared" si="122"/>
        <v>293.33333333333434</v>
      </c>
      <c r="CY193" s="59">
        <f ca="1">AVERAGE(OFFSET($CX$3,0,0,'Données projet'!$E$13+1,1))-AVERAGE(OFFSET($H$3,0,0,'Données projet'!$E$13+1,1))</f>
        <v>242.1473060698724</v>
      </c>
      <c r="CZ193" s="59">
        <f t="shared" si="150"/>
        <v>96.127995920458659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0</v>
      </c>
      <c r="EP193" s="59">
        <f t="shared" si="154"/>
        <v>0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179.86010141761648</v>
      </c>
      <c r="T194" s="59">
        <f t="shared" si="142"/>
        <v>367.01744242396057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2.7103128827769227</v>
      </c>
      <c r="AA194" s="21">
        <f>EXP(-LN(2)/25)*AA193+(1-EXP(-LN(2)/25))/(LN(2)/25)*Calculateur!V194*Calculateur!X194*VLOOKUP('Données projet'!$B$9,Paramètres!$A$1:$I$89,3,0)*0.475*44/12</f>
        <v>0.67802106444374421</v>
      </c>
      <c r="AB194" s="21">
        <f>EXP(-LN(2)/2)*AB193+(1-EXP(-LN(2)/2))/(LN(2)/2)*V194*Y194*VLOOKUP('Données projet'!$B$9,Paramètres!$A$1:$I$89,3,0)*0.475*44/12</f>
        <v>2.6578989028219115E-22</v>
      </c>
      <c r="AC194" s="22">
        <f t="shared" si="163"/>
        <v>3.3883339472206671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-4.758931027026848E-13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318.09371753144256</v>
      </c>
      <c r="AO194" s="59">
        <f t="shared" si="144"/>
        <v>298.61479562586919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0.23802575750487784</v>
      </c>
      <c r="AW194" s="21">
        <f>EXP(-LN(2)/2)*AW193+(1-EXP(-LN(2)/2))/(LN(2)/2)*AQ194*AT194*VLOOKUP('Données projet'!$B$10,Paramètres!$A$1:$I$89,3,0)*0.475*44/12</f>
        <v>1.769363284413614E-23</v>
      </c>
      <c r="AX194" s="21">
        <f t="shared" si="166"/>
        <v>0.38228051660251272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35.999999999999943</v>
      </c>
      <c r="BE194" s="13">
        <f>BD194*VLOOKUP('Données projet'!$B$11,Paramètres!$A$1:$I$89,3,0)*VLOOKUP('Données projet'!$B$11,Paramètres!$A$1:$I$89,5,0)</f>
        <v>31.449599999999958</v>
      </c>
      <c r="BF194" s="13">
        <f t="shared" si="167"/>
        <v>9.7016318496336709</v>
      </c>
      <c r="BG194" s="20">
        <f t="shared" si="168"/>
        <v>71.671728804778567</v>
      </c>
      <c r="BH194" s="59">
        <f t="shared" si="116"/>
        <v>365.0050621381119</v>
      </c>
      <c r="BI194" s="59">
        <f ca="1">AVERAGE(OFFSET($BH$3,0,0,'Données projet'!$E$11+1,1))-AVERAGE(OFFSET($H$3,0,0,'Données projet'!$E$11+1,1))</f>
        <v>247.43282553724879</v>
      </c>
      <c r="BJ194" s="59">
        <f t="shared" si="146"/>
        <v>637.29471578895527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1.6091354509281455E-22</v>
      </c>
      <c r="BS194" s="22">
        <f t="shared" si="169"/>
        <v>1.6091354509281455E-22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4.6111381379887463E-14</v>
      </c>
      <c r="CA194" s="13">
        <f t="shared" si="170"/>
        <v>7.5804141040779151E-13</v>
      </c>
      <c r="CB194" s="20">
        <f t="shared" si="171"/>
        <v>1.4005661123635408E-12</v>
      </c>
      <c r="CC194" s="59">
        <f t="shared" si="119"/>
        <v>293.33333333333474</v>
      </c>
      <c r="CD194" s="59">
        <f ca="1">AVERAGE(OFFSET($CC$3,0,0,'Données projet'!$E$12+1,1))-AVERAGE(OFFSET($H$3,0,0,'Données projet'!$E$12+1,1))</f>
        <v>230.68538392491388</v>
      </c>
      <c r="CE194" s="59">
        <f t="shared" si="148"/>
        <v>267.97457956620724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9.7974131752673665E-2</v>
      </c>
      <c r="CM194" s="21">
        <f>EXP(-LN(2)/2)*CM193+(1-EXP(-LN(2)/2))/(LN(2)/2)*CG194*CJ194*VLOOKUP('Données projet'!$B$12,Paramètres!$A$1:$I$89,3,0)*0.475*44/12</f>
        <v>6.4179108949105682E-24</v>
      </c>
      <c r="CN194" s="22">
        <f t="shared" si="172"/>
        <v>9.7974131752673665E-2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3.2366642699344085E-14</v>
      </c>
      <c r="CV194" s="13">
        <f t="shared" si="173"/>
        <v>5.5446527398450045E-13</v>
      </c>
      <c r="CW194" s="20">
        <f t="shared" si="174"/>
        <v>1.0220655882243624E-12</v>
      </c>
      <c r="CX194" s="59">
        <f t="shared" si="122"/>
        <v>293.33333333333434</v>
      </c>
      <c r="CY194" s="59">
        <f ca="1">AVERAGE(OFFSET($CX$3,0,0,'Données projet'!$E$13+1,1))-AVERAGE(OFFSET($H$3,0,0,'Données projet'!$E$13+1,1))</f>
        <v>242.1473060698724</v>
      </c>
      <c r="CZ194" s="59">
        <f t="shared" si="150"/>
        <v>96.127995920458659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0</v>
      </c>
      <c r="EP194" s="59">
        <f t="shared" si="154"/>
        <v>0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179.86010141761648</v>
      </c>
      <c r="T195" s="59">
        <f t="shared" si="142"/>
        <v>367.01744242396057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2.6571653002732929</v>
      </c>
      <c r="AA195" s="21">
        <f>EXP(-LN(2)/25)*AA194+(1-EXP(-LN(2)/25))/(LN(2)/25)*Calculateur!V195*Calculateur!X195*VLOOKUP('Données projet'!$B$9,Paramètres!$A$1:$I$89,3,0)*0.475*44/12</f>
        <v>0.65948054278095192</v>
      </c>
      <c r="AB195" s="21">
        <f>EXP(-LN(2)/2)*AB194+(1-EXP(-LN(2)/2))/(LN(2)/2)*V195*Y195*VLOOKUP('Données projet'!$B$9,Paramètres!$A$1:$I$89,3,0)*0.475*44/12</f>
        <v>1.8794183378936581E-22</v>
      </c>
      <c r="AC195" s="22">
        <f t="shared" si="163"/>
        <v>3.3166458430542449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-4.758931027026848E-13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318.09371753144256</v>
      </c>
      <c r="AO195" s="59">
        <f t="shared" si="144"/>
        <v>298.61479562586919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0.23151693064867637</v>
      </c>
      <c r="AW195" s="21">
        <f>EXP(-LN(2)/2)*AW194+(1-EXP(-LN(2)/2))/(LN(2)/2)*AQ195*AT195*VLOOKUP('Données projet'!$B$10,Paramètres!$A$1:$I$89,3,0)*0.475*44/12</f>
        <v>1.2511287767913684E-23</v>
      </c>
      <c r="AX195" s="21">
        <f t="shared" si="166"/>
        <v>0.37294294190712168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35.999999999999943</v>
      </c>
      <c r="BE195" s="13">
        <f>BD195*VLOOKUP('Données projet'!$B$11,Paramètres!$A$1:$I$89,3,0)*VLOOKUP('Données projet'!$B$11,Paramètres!$A$1:$I$89,5,0)</f>
        <v>31.449599999999958</v>
      </c>
      <c r="BF195" s="13">
        <f t="shared" si="167"/>
        <v>9.7016318496336709</v>
      </c>
      <c r="BG195" s="20">
        <f t="shared" si="168"/>
        <v>71.671728804778567</v>
      </c>
      <c r="BH195" s="59">
        <f t="shared" si="116"/>
        <v>365.0050621381119</v>
      </c>
      <c r="BI195" s="59">
        <f ca="1">AVERAGE(OFFSET($BH$3,0,0,'Données projet'!$E$11+1,1))-AVERAGE(OFFSET($H$3,0,0,'Données projet'!$E$11+1,1))</f>
        <v>247.43282553724879</v>
      </c>
      <c r="BJ195" s="59">
        <f t="shared" si="146"/>
        <v>637.29471578895527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1.1378305891989646E-22</v>
      </c>
      <c r="BS195" s="22">
        <f t="shared" si="169"/>
        <v>1.1378305891989646E-22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4.6111381379887463E-14</v>
      </c>
      <c r="CA195" s="13">
        <f t="shared" si="170"/>
        <v>7.5804141040779151E-13</v>
      </c>
      <c r="CB195" s="20">
        <f t="shared" si="171"/>
        <v>1.4005661123635408E-12</v>
      </c>
      <c r="CC195" s="59">
        <f t="shared" si="119"/>
        <v>293.33333333333474</v>
      </c>
      <c r="CD195" s="59">
        <f ca="1">AVERAGE(OFFSET($CC$3,0,0,'Données projet'!$E$12+1,1))-AVERAGE(OFFSET($H$3,0,0,'Données projet'!$E$12+1,1))</f>
        <v>230.68538392491388</v>
      </c>
      <c r="CE195" s="59">
        <f t="shared" si="148"/>
        <v>267.97457956620724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9.5295023967661138E-2</v>
      </c>
      <c r="CM195" s="21">
        <f>EXP(-LN(2)/2)*CM194+(1-EXP(-LN(2)/2))/(LN(2)/2)*CG195*CJ195*VLOOKUP('Données projet'!$B$12,Paramètres!$A$1:$I$89,3,0)*0.475*44/12</f>
        <v>4.5381483148422865E-24</v>
      </c>
      <c r="CN195" s="22">
        <f t="shared" si="172"/>
        <v>9.5295023967661138E-2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3.2366642699344085E-14</v>
      </c>
      <c r="CV195" s="13">
        <f t="shared" si="173"/>
        <v>5.5446527398450045E-13</v>
      </c>
      <c r="CW195" s="20">
        <f t="shared" si="174"/>
        <v>1.0220655882243624E-12</v>
      </c>
      <c r="CX195" s="59">
        <f t="shared" si="122"/>
        <v>293.33333333333434</v>
      </c>
      <c r="CY195" s="59">
        <f ca="1">AVERAGE(OFFSET($CX$3,0,0,'Données projet'!$E$13+1,1))-AVERAGE(OFFSET($H$3,0,0,'Données projet'!$E$13+1,1))</f>
        <v>242.1473060698724</v>
      </c>
      <c r="CZ195" s="59">
        <f t="shared" si="150"/>
        <v>96.127995920458659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0</v>
      </c>
      <c r="EP195" s="59">
        <f t="shared" si="154"/>
        <v>0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179.86010141761648</v>
      </c>
      <c r="T196" s="59">
        <f t="shared" si="142"/>
        <v>367.01744242396057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2.605059909445735</v>
      </c>
      <c r="AA196" s="21">
        <f>EXP(-LN(2)/25)*AA195+(1-EXP(-LN(2)/25))/(LN(2)/25)*Calculateur!V196*Calculateur!X196*VLOOKUP('Données projet'!$B$9,Paramètres!$A$1:$I$89,3,0)*0.475*44/12</f>
        <v>0.64144701265803228</v>
      </c>
      <c r="AB196" s="21">
        <f>EXP(-LN(2)/2)*AB195+(1-EXP(-LN(2)/2))/(LN(2)/2)*V196*Y196*VLOOKUP('Données projet'!$B$9,Paramètres!$A$1:$I$89,3,0)*0.475*44/12</f>
        <v>1.3289494514109557E-22</v>
      </c>
      <c r="AC196" s="22">
        <f t="shared" si="163"/>
        <v>3.2465069221037672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-4.758931027026848E-13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318.09371753144256</v>
      </c>
      <c r="AO196" s="59">
        <f t="shared" si="144"/>
        <v>298.61479562586919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0.22518608800514206</v>
      </c>
      <c r="AW196" s="21">
        <f>EXP(-LN(2)/2)*AW195+(1-EXP(-LN(2)/2))/(LN(2)/2)*AQ196*AT196*VLOOKUP('Données projet'!$B$10,Paramètres!$A$1:$I$89,3,0)*0.475*44/12</f>
        <v>8.84681642206807E-24</v>
      </c>
      <c r="AX196" s="21">
        <f t="shared" si="166"/>
        <v>0.36383882144415852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35.999999999999943</v>
      </c>
      <c r="BE196" s="13">
        <f>BD196*VLOOKUP('Données projet'!$B$11,Paramètres!$A$1:$I$89,3,0)*VLOOKUP('Données projet'!$B$11,Paramètres!$A$1:$I$89,5,0)</f>
        <v>31.449599999999958</v>
      </c>
      <c r="BF196" s="13">
        <f t="shared" si="167"/>
        <v>9.7016318496336709</v>
      </c>
      <c r="BG196" s="20">
        <f t="shared" si="168"/>
        <v>71.671728804778567</v>
      </c>
      <c r="BH196" s="59">
        <f t="shared" ref="BH196:BH203" si="194">BG196+(AY196+AZ196)*44/12</f>
        <v>365.0050621381119</v>
      </c>
      <c r="BI196" s="59">
        <f ca="1">AVERAGE(OFFSET($BH$3,0,0,'Données projet'!$E$11+1,1))-AVERAGE(OFFSET($H$3,0,0,'Données projet'!$E$11+1,1))</f>
        <v>247.43282553724879</v>
      </c>
      <c r="BJ196" s="59">
        <f t="shared" si="146"/>
        <v>637.29471578895527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8.0456772546407273E-23</v>
      </c>
      <c r="BS196" s="22">
        <f t="shared" si="169"/>
        <v>8.0456772546407273E-23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4.6111381379887463E-14</v>
      </c>
      <c r="CA196" s="13">
        <f t="shared" si="170"/>
        <v>7.5804141040779151E-13</v>
      </c>
      <c r="CB196" s="20">
        <f t="shared" si="171"/>
        <v>1.4005661123635408E-12</v>
      </c>
      <c r="CC196" s="59">
        <f t="shared" ref="CC196:CC203" si="195">CB196+(BT196+BU196)*44/12</f>
        <v>293.33333333333474</v>
      </c>
      <c r="CD196" s="59">
        <f ca="1">AVERAGE(OFFSET($CC$3,0,0,'Données projet'!$E$12+1,1))-AVERAGE(OFFSET($H$3,0,0,'Données projet'!$E$12+1,1))</f>
        <v>230.68538392491388</v>
      </c>
      <c r="CE196" s="59">
        <f t="shared" si="148"/>
        <v>267.97457956620724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9.2689176525917932E-2</v>
      </c>
      <c r="CM196" s="21">
        <f>EXP(-LN(2)/2)*CM195+(1-EXP(-LN(2)/2))/(LN(2)/2)*CG196*CJ196*VLOOKUP('Données projet'!$B$12,Paramètres!$A$1:$I$89,3,0)*0.475*44/12</f>
        <v>3.2089554474552841E-24</v>
      </c>
      <c r="CN196" s="22">
        <f t="shared" si="172"/>
        <v>9.2689176525917932E-2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3.2366642699344085E-14</v>
      </c>
      <c r="CV196" s="13">
        <f t="shared" si="173"/>
        <v>5.5446527398450045E-13</v>
      </c>
      <c r="CW196" s="20">
        <f t="shared" si="174"/>
        <v>1.0220655882243624E-12</v>
      </c>
      <c r="CX196" s="59">
        <f t="shared" ref="CX196:CX203" si="196">CW196+(CO196+CP196)*44/12</f>
        <v>293.33333333333434</v>
      </c>
      <c r="CY196" s="59">
        <f ca="1">AVERAGE(OFFSET($CX$3,0,0,'Données projet'!$E$13+1,1))-AVERAGE(OFFSET($H$3,0,0,'Données projet'!$E$13+1,1))</f>
        <v>242.1473060698724</v>
      </c>
      <c r="CZ196" s="59">
        <f t="shared" si="150"/>
        <v>96.127995920458659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0</v>
      </c>
      <c r="EP196" s="59">
        <f t="shared" si="154"/>
        <v>0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179.86010141761648</v>
      </c>
      <c r="T197" s="59">
        <f t="shared" ref="T197:T203" si="204">$T$3</f>
        <v>367.01744242396057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2.5539762735511551</v>
      </c>
      <c r="AA197" s="21">
        <f>EXP(-LN(2)/25)*AA196+(1-EXP(-LN(2)/25))/(LN(2)/25)*Calculateur!V197*Calculateur!X197*VLOOKUP('Données projet'!$B$9,Paramètres!$A$1:$I$89,3,0)*0.475*44/12</f>
        <v>0.62390661036466599</v>
      </c>
      <c r="AB197" s="21">
        <f>EXP(-LN(2)/2)*AB196+(1-EXP(-LN(2)/2))/(LN(2)/2)*V197*Y197*VLOOKUP('Données projet'!$B$9,Paramètres!$A$1:$I$89,3,0)*0.475*44/12</f>
        <v>9.3970916894682906E-23</v>
      </c>
      <c r="AC197" s="22">
        <f t="shared" si="163"/>
        <v>3.1778828839158209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-4.758931027026848E-13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318.09371753144256</v>
      </c>
      <c r="AO197" s="59">
        <f t="shared" ref="AO197:AO203" si="205">$AO$3</f>
        <v>298.61479562586919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0.21902836258661976</v>
      </c>
      <c r="AW197" s="21">
        <f>EXP(-LN(2)/2)*AW196+(1-EXP(-LN(2)/2))/(LN(2)/2)*AQ197*AT197*VLOOKUP('Données projet'!$B$10,Paramètres!$A$1:$I$89,3,0)*0.475*44/12</f>
        <v>6.2556438839568421E-24</v>
      </c>
      <c r="AX197" s="21">
        <f t="shared" si="166"/>
        <v>0.35496220049271393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35.999999999999943</v>
      </c>
      <c r="BE197" s="13">
        <f>BD197*VLOOKUP('Données projet'!$B$11,Paramètres!$A$1:$I$89,3,0)*VLOOKUP('Données projet'!$B$11,Paramètres!$A$1:$I$89,5,0)</f>
        <v>31.449599999999958</v>
      </c>
      <c r="BF197" s="13">
        <f t="shared" si="167"/>
        <v>9.7016318496336709</v>
      </c>
      <c r="BG197" s="20">
        <f t="shared" si="168"/>
        <v>71.671728804778567</v>
      </c>
      <c r="BH197" s="59">
        <f t="shared" si="194"/>
        <v>365.0050621381119</v>
      </c>
      <c r="BI197" s="59">
        <f ca="1">AVERAGE(OFFSET($BH$3,0,0,'Données projet'!$E$11+1,1))-AVERAGE(OFFSET($H$3,0,0,'Données projet'!$E$11+1,1))</f>
        <v>247.43282553724879</v>
      </c>
      <c r="BJ197" s="59">
        <f t="shared" ref="BJ197:BJ203" si="206">$BJ$3</f>
        <v>637.29471578895527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5.6891529459948231E-23</v>
      </c>
      <c r="BS197" s="22">
        <f t="shared" si="169"/>
        <v>5.6891529459948231E-23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4.6111381379887463E-14</v>
      </c>
      <c r="CA197" s="13">
        <f t="shared" si="170"/>
        <v>7.5804141040779151E-13</v>
      </c>
      <c r="CB197" s="20">
        <f t="shared" si="171"/>
        <v>1.4005661123635408E-12</v>
      </c>
      <c r="CC197" s="59">
        <f t="shared" si="195"/>
        <v>293.33333333333474</v>
      </c>
      <c r="CD197" s="59">
        <f ca="1">AVERAGE(OFFSET($CC$3,0,0,'Données projet'!$E$12+1,1))-AVERAGE(OFFSET($H$3,0,0,'Données projet'!$E$12+1,1))</f>
        <v>230.68538392491388</v>
      </c>
      <c r="CE197" s="59">
        <f t="shared" ref="CE197:CE203" si="207">$CE$3</f>
        <v>267.97457956620724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9.0154586119504762E-2</v>
      </c>
      <c r="CM197" s="21">
        <f>EXP(-LN(2)/2)*CM196+(1-EXP(-LN(2)/2))/(LN(2)/2)*CG197*CJ197*VLOOKUP('Données projet'!$B$12,Paramètres!$A$1:$I$89,3,0)*0.475*44/12</f>
        <v>2.2690741574211432E-24</v>
      </c>
      <c r="CN197" s="22">
        <f t="shared" si="172"/>
        <v>9.0154586119504762E-2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3.2366642699344085E-14</v>
      </c>
      <c r="CV197" s="13">
        <f t="shared" si="173"/>
        <v>5.5446527398450045E-13</v>
      </c>
      <c r="CW197" s="20">
        <f t="shared" si="174"/>
        <v>1.0220655882243624E-12</v>
      </c>
      <c r="CX197" s="59">
        <f t="shared" si="196"/>
        <v>293.33333333333434</v>
      </c>
      <c r="CY197" s="59">
        <f ca="1">AVERAGE(OFFSET($CX$3,0,0,'Données projet'!$E$13+1,1))-AVERAGE(OFFSET($H$3,0,0,'Données projet'!$E$13+1,1))</f>
        <v>242.1473060698724</v>
      </c>
      <c r="CZ197" s="59">
        <f t="shared" ref="CZ197:CZ203" si="208">$CZ$3</f>
        <v>96.127995920458659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0</v>
      </c>
      <c r="EP197" s="59">
        <f t="shared" ref="EP197:EP203" si="210">$EP$3</f>
        <v>0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179.86010141761648</v>
      </c>
      <c r="T198" s="59">
        <f t="shared" si="204"/>
        <v>367.01744242396057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2.5038943565985265</v>
      </c>
      <c r="AA198" s="21">
        <f>EXP(-LN(2)/25)*AA197+(1-EXP(-LN(2)/25))/(LN(2)/25)*Calculateur!V198*Calculateur!X198*VLOOKUP('Données projet'!$B$9,Paramètres!$A$1:$I$89,3,0)*0.475*44/12</f>
        <v>0.60684585129442148</v>
      </c>
      <c r="AB198" s="21">
        <f>EXP(-LN(2)/2)*AB197+(1-EXP(-LN(2)/2))/(LN(2)/2)*V198*Y198*VLOOKUP('Données projet'!$B$9,Paramètres!$A$1:$I$89,3,0)*0.475*44/12</f>
        <v>6.6447472570547787E-23</v>
      </c>
      <c r="AC198" s="22">
        <f t="shared" si="163"/>
        <v>3.110740207892948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-4.758931027026848E-13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318.09371753144256</v>
      </c>
      <c r="AO198" s="59">
        <f t="shared" si="205"/>
        <v>298.61479562586919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0.21303902049348764</v>
      </c>
      <c r="AW198" s="21">
        <f>EXP(-LN(2)/2)*AW197+(1-EXP(-LN(2)/2))/(LN(2)/2)*AQ198*AT198*VLOOKUP('Données projet'!$B$10,Paramètres!$A$1:$I$89,3,0)*0.475*44/12</f>
        <v>4.423408211034035E-24</v>
      </c>
      <c r="AX198" s="21">
        <f t="shared" si="166"/>
        <v>0.34630727874969758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35.999999999999943</v>
      </c>
      <c r="BE198" s="13">
        <f>BD198*VLOOKUP('Données projet'!$B$11,Paramètres!$A$1:$I$89,3,0)*VLOOKUP('Données projet'!$B$11,Paramètres!$A$1:$I$89,5,0)</f>
        <v>31.449599999999958</v>
      </c>
      <c r="BF198" s="13">
        <f t="shared" si="167"/>
        <v>9.7016318496336709</v>
      </c>
      <c r="BG198" s="20">
        <f t="shared" si="168"/>
        <v>71.671728804778567</v>
      </c>
      <c r="BH198" s="59">
        <f t="shared" si="194"/>
        <v>365.0050621381119</v>
      </c>
      <c r="BI198" s="59">
        <f ca="1">AVERAGE(OFFSET($BH$3,0,0,'Données projet'!$E$11+1,1))-AVERAGE(OFFSET($H$3,0,0,'Données projet'!$E$11+1,1))</f>
        <v>247.43282553724879</v>
      </c>
      <c r="BJ198" s="59">
        <f t="shared" si="206"/>
        <v>637.29471578895527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4.0228386273203636E-23</v>
      </c>
      <c r="BS198" s="22">
        <f t="shared" si="169"/>
        <v>4.0228386273203636E-23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4.6111381379887463E-14</v>
      </c>
      <c r="CA198" s="13">
        <f t="shared" si="170"/>
        <v>7.5804141040779151E-13</v>
      </c>
      <c r="CB198" s="20">
        <f t="shared" si="171"/>
        <v>1.4005661123635408E-12</v>
      </c>
      <c r="CC198" s="59">
        <f t="shared" si="195"/>
        <v>293.33333333333474</v>
      </c>
      <c r="CD198" s="59">
        <f ca="1">AVERAGE(OFFSET($CC$3,0,0,'Données projet'!$E$12+1,1))-AVERAGE(OFFSET($H$3,0,0,'Données projet'!$E$12+1,1))</f>
        <v>230.68538392491388</v>
      </c>
      <c r="CE198" s="59">
        <f t="shared" si="207"/>
        <v>267.97457956620724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8.7689304221043277E-2</v>
      </c>
      <c r="CM198" s="21">
        <f>EXP(-LN(2)/2)*CM197+(1-EXP(-LN(2)/2))/(LN(2)/2)*CG198*CJ198*VLOOKUP('Données projet'!$B$12,Paramètres!$A$1:$I$89,3,0)*0.475*44/12</f>
        <v>1.604477723727642E-24</v>
      </c>
      <c r="CN198" s="22">
        <f t="shared" si="172"/>
        <v>8.7689304221043277E-2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3.2366642699344085E-14</v>
      </c>
      <c r="CV198" s="13">
        <f t="shared" si="173"/>
        <v>5.5446527398450045E-13</v>
      </c>
      <c r="CW198" s="20">
        <f t="shared" si="174"/>
        <v>1.0220655882243624E-12</v>
      </c>
      <c r="CX198" s="59">
        <f t="shared" si="196"/>
        <v>293.33333333333434</v>
      </c>
      <c r="CY198" s="59">
        <f ca="1">AVERAGE(OFFSET($CX$3,0,0,'Données projet'!$E$13+1,1))-AVERAGE(OFFSET($H$3,0,0,'Données projet'!$E$13+1,1))</f>
        <v>242.1473060698724</v>
      </c>
      <c r="CZ198" s="59">
        <f t="shared" si="208"/>
        <v>96.127995920458659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0</v>
      </c>
      <c r="EP198" s="59">
        <f t="shared" si="210"/>
        <v>0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179.86010141761648</v>
      </c>
      <c r="T199" s="59">
        <f t="shared" si="204"/>
        <v>367.01744242396057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2.4547945154903861</v>
      </c>
      <c r="AA199" s="21">
        <f>EXP(-LN(2)/25)*AA198+(1-EXP(-LN(2)/25))/(LN(2)/25)*Calculateur!V199*Calculateur!X199*VLOOKUP('Données projet'!$B$9,Paramètres!$A$1:$I$89,3,0)*0.475*44/12</f>
        <v>0.59025161957813921</v>
      </c>
      <c r="AB199" s="21">
        <f>EXP(-LN(2)/2)*AB198+(1-EXP(-LN(2)/2))/(LN(2)/2)*V199*Y199*VLOOKUP('Données projet'!$B$9,Paramètres!$A$1:$I$89,3,0)*0.475*44/12</f>
        <v>4.6985458447341453E-23</v>
      </c>
      <c r="AC199" s="22">
        <f t="shared" si="163"/>
        <v>3.0450461350685254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-4.758931027026848E-13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318.09371753144256</v>
      </c>
      <c r="AO199" s="59">
        <f t="shared" si="205"/>
        <v>298.61479562586919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0.20721345727485804</v>
      </c>
      <c r="AW199" s="21">
        <f>EXP(-LN(2)/2)*AW198+(1-EXP(-LN(2)/2))/(LN(2)/2)*AQ199*AT199*VLOOKUP('Données projet'!$B$10,Paramètres!$A$1:$I$89,3,0)*0.475*44/12</f>
        <v>3.1278219419784211E-24</v>
      </c>
      <c r="AX199" s="21">
        <f t="shared" si="166"/>
        <v>0.33786840627227499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35.999999999999943</v>
      </c>
      <c r="BE199" s="13">
        <f>BD199*VLOOKUP('Données projet'!$B$11,Paramètres!$A$1:$I$89,3,0)*VLOOKUP('Données projet'!$B$11,Paramètres!$A$1:$I$89,5,0)</f>
        <v>31.449599999999958</v>
      </c>
      <c r="BF199" s="13">
        <f t="shared" si="167"/>
        <v>9.7016318496336709</v>
      </c>
      <c r="BG199" s="20">
        <f t="shared" si="168"/>
        <v>71.671728804778567</v>
      </c>
      <c r="BH199" s="59">
        <f t="shared" si="194"/>
        <v>365.0050621381119</v>
      </c>
      <c r="BI199" s="59">
        <f ca="1">AVERAGE(OFFSET($BH$3,0,0,'Données projet'!$E$11+1,1))-AVERAGE(OFFSET($H$3,0,0,'Données projet'!$E$11+1,1))</f>
        <v>247.43282553724879</v>
      </c>
      <c r="BJ199" s="59">
        <f t="shared" si="206"/>
        <v>637.29471578895527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2.8445764729974115E-23</v>
      </c>
      <c r="BS199" s="22">
        <f t="shared" si="169"/>
        <v>2.8445764729974115E-23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4.6111381379887463E-14</v>
      </c>
      <c r="CA199" s="13">
        <f t="shared" si="170"/>
        <v>7.5804141040779151E-13</v>
      </c>
      <c r="CB199" s="20">
        <f t="shared" si="171"/>
        <v>1.4005661123635408E-12</v>
      </c>
      <c r="CC199" s="59">
        <f t="shared" si="195"/>
        <v>293.33333333333474</v>
      </c>
      <c r="CD199" s="59">
        <f ca="1">AVERAGE(OFFSET($CC$3,0,0,'Données projet'!$E$12+1,1))-AVERAGE(OFFSET($H$3,0,0,'Données projet'!$E$12+1,1))</f>
        <v>230.68538392491388</v>
      </c>
      <c r="CE199" s="59">
        <f t="shared" si="207"/>
        <v>267.97457956620724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8.5291435585738762E-2</v>
      </c>
      <c r="CM199" s="21">
        <f>EXP(-LN(2)/2)*CM198+(1-EXP(-LN(2)/2))/(LN(2)/2)*CG199*CJ199*VLOOKUP('Données projet'!$B$12,Paramètres!$A$1:$I$89,3,0)*0.475*44/12</f>
        <v>1.1345370787105716E-24</v>
      </c>
      <c r="CN199" s="22">
        <f t="shared" si="172"/>
        <v>8.5291435585738762E-2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3.2366642699344085E-14</v>
      </c>
      <c r="CV199" s="13">
        <f t="shared" si="173"/>
        <v>5.5446527398450045E-13</v>
      </c>
      <c r="CW199" s="20">
        <f t="shared" si="174"/>
        <v>1.0220655882243624E-12</v>
      </c>
      <c r="CX199" s="59">
        <f t="shared" si="196"/>
        <v>293.33333333333434</v>
      </c>
      <c r="CY199" s="59">
        <f ca="1">AVERAGE(OFFSET($CX$3,0,0,'Données projet'!$E$13+1,1))-AVERAGE(OFFSET($H$3,0,0,'Données projet'!$E$13+1,1))</f>
        <v>242.1473060698724</v>
      </c>
      <c r="CZ199" s="59">
        <f t="shared" si="208"/>
        <v>96.127995920458659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0</v>
      </c>
      <c r="EP199" s="59">
        <f t="shared" si="210"/>
        <v>0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179.86010141761648</v>
      </c>
      <c r="T200" s="59">
        <f t="shared" si="204"/>
        <v>367.01744242396057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2.4066574923184301</v>
      </c>
      <c r="AA200" s="21">
        <f>EXP(-LN(2)/25)*AA199+(1-EXP(-LN(2)/25))/(LN(2)/25)*Calculateur!V200*Calculateur!X200*VLOOKUP('Données projet'!$B$9,Paramètres!$A$1:$I$89,3,0)*0.475*44/12</f>
        <v>0.57411115800079138</v>
      </c>
      <c r="AB200" s="21">
        <f>EXP(-LN(2)/2)*AB199+(1-EXP(-LN(2)/2))/(LN(2)/2)*V200*Y200*VLOOKUP('Données projet'!$B$9,Paramètres!$A$1:$I$89,3,0)*0.475*44/12</f>
        <v>3.3223736285273893E-23</v>
      </c>
      <c r="AC200" s="22">
        <f t="shared" si="163"/>
        <v>2.9807686503192214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-4.758931027026848E-13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318.09371753144256</v>
      </c>
      <c r="AO200" s="59">
        <f t="shared" si="205"/>
        <v>298.61479562586919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0.20154719438879493</v>
      </c>
      <c r="AW200" s="21">
        <f>EXP(-LN(2)/2)*AW199+(1-EXP(-LN(2)/2))/(LN(2)/2)*AQ200*AT200*VLOOKUP('Données projet'!$B$10,Paramètres!$A$1:$I$89,3,0)*0.475*44/12</f>
        <v>2.2117041055170175E-24</v>
      </c>
      <c r="AX200" s="21">
        <f t="shared" si="166"/>
        <v>0.32964007952802254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35.999999999999943</v>
      </c>
      <c r="BE200" s="13">
        <f>BD200*VLOOKUP('Données projet'!$B$11,Paramètres!$A$1:$I$89,3,0)*VLOOKUP('Données projet'!$B$11,Paramètres!$A$1:$I$89,5,0)</f>
        <v>31.449599999999958</v>
      </c>
      <c r="BF200" s="13">
        <f t="shared" si="167"/>
        <v>9.7016318496336709</v>
      </c>
      <c r="BG200" s="20">
        <f t="shared" si="168"/>
        <v>71.671728804778567</v>
      </c>
      <c r="BH200" s="59">
        <f t="shared" si="194"/>
        <v>365.0050621381119</v>
      </c>
      <c r="BI200" s="59">
        <f ca="1">AVERAGE(OFFSET($BH$3,0,0,'Données projet'!$E$11+1,1))-AVERAGE(OFFSET($H$3,0,0,'Données projet'!$E$11+1,1))</f>
        <v>247.43282553724879</v>
      </c>
      <c r="BJ200" s="59">
        <f t="shared" si="206"/>
        <v>637.29471578895527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2.0114193136601818E-23</v>
      </c>
      <c r="BS200" s="22">
        <f t="shared" si="169"/>
        <v>2.0114193136601818E-23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4.6111381379887463E-14</v>
      </c>
      <c r="CA200" s="13">
        <f t="shared" si="170"/>
        <v>7.5804141040779151E-13</v>
      </c>
      <c r="CB200" s="20">
        <f t="shared" si="171"/>
        <v>1.4005661123635408E-12</v>
      </c>
      <c r="CC200" s="59">
        <f t="shared" si="195"/>
        <v>293.33333333333474</v>
      </c>
      <c r="CD200" s="59">
        <f ca="1">AVERAGE(OFFSET($CC$3,0,0,'Données projet'!$E$12+1,1))-AVERAGE(OFFSET($H$3,0,0,'Données projet'!$E$12+1,1))</f>
        <v>230.68538392491388</v>
      </c>
      <c r="CE200" s="59">
        <f t="shared" si="207"/>
        <v>267.97457956620724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8.2959136794365076E-2</v>
      </c>
      <c r="CM200" s="21">
        <f>EXP(-LN(2)/2)*CM199+(1-EXP(-LN(2)/2))/(LN(2)/2)*CG200*CJ200*VLOOKUP('Données projet'!$B$12,Paramètres!$A$1:$I$89,3,0)*0.475*44/12</f>
        <v>8.0223886186382102E-25</v>
      </c>
      <c r="CN200" s="22">
        <f t="shared" si="172"/>
        <v>8.2959136794365076E-2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3.2366642699344085E-14</v>
      </c>
      <c r="CV200" s="13">
        <f t="shared" si="173"/>
        <v>5.5446527398450045E-13</v>
      </c>
      <c r="CW200" s="20">
        <f t="shared" si="174"/>
        <v>1.0220655882243624E-12</v>
      </c>
      <c r="CX200" s="59">
        <f t="shared" si="196"/>
        <v>293.33333333333434</v>
      </c>
      <c r="CY200" s="59">
        <f ca="1">AVERAGE(OFFSET($CX$3,0,0,'Données projet'!$E$13+1,1))-AVERAGE(OFFSET($H$3,0,0,'Données projet'!$E$13+1,1))</f>
        <v>242.1473060698724</v>
      </c>
      <c r="CZ200" s="59">
        <f t="shared" si="208"/>
        <v>96.127995920458659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0</v>
      </c>
      <c r="EP200" s="59">
        <f t="shared" si="210"/>
        <v>0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179.86010141761648</v>
      </c>
      <c r="T201" s="59">
        <f t="shared" si="204"/>
        <v>367.01744242396057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2.3594644068101913</v>
      </c>
      <c r="AA201" s="21">
        <f>EXP(-LN(2)/25)*AA200+(1-EXP(-LN(2)/25))/(LN(2)/25)*Calculateur!V201*Calculateur!X201*VLOOKUP('Données projet'!$B$9,Paramètres!$A$1:$I$89,3,0)*0.475*44/12</f>
        <v>0.55841205819406614</v>
      </c>
      <c r="AB201" s="21">
        <f>EXP(-LN(2)/2)*AB200+(1-EXP(-LN(2)/2))/(LN(2)/2)*V201*Y201*VLOOKUP('Données projet'!$B$9,Paramètres!$A$1:$I$89,3,0)*0.475*44/12</f>
        <v>2.3492729223670727E-23</v>
      </c>
      <c r="AC201" s="22">
        <f t="shared" si="163"/>
        <v>2.9178764650042575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-4.758931027026848E-13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318.09371753144256</v>
      </c>
      <c r="AO201" s="59">
        <f t="shared" si="205"/>
        <v>298.61479562586919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0.19603587575932702</v>
      </c>
      <c r="AW201" s="21">
        <f>EXP(-LN(2)/2)*AW200+(1-EXP(-LN(2)/2))/(LN(2)/2)*AQ201*AT201*VLOOKUP('Données projet'!$B$10,Paramètres!$A$1:$I$89,3,0)*0.475*44/12</f>
        <v>1.5639109709892105E-24</v>
      </c>
      <c r="AX201" s="21">
        <f t="shared" si="166"/>
        <v>0.32161693754991971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35.999999999999943</v>
      </c>
      <c r="BE201" s="13">
        <f>BD201*VLOOKUP('Données projet'!$B$11,Paramètres!$A$1:$I$89,3,0)*VLOOKUP('Données projet'!$B$11,Paramètres!$A$1:$I$89,5,0)</f>
        <v>31.449599999999958</v>
      </c>
      <c r="BF201" s="13">
        <f t="shared" si="167"/>
        <v>9.7016318496336709</v>
      </c>
      <c r="BG201" s="20">
        <f t="shared" si="168"/>
        <v>71.671728804778567</v>
      </c>
      <c r="BH201" s="59">
        <f t="shared" si="194"/>
        <v>365.0050621381119</v>
      </c>
      <c r="BI201" s="59">
        <f ca="1">AVERAGE(OFFSET($BH$3,0,0,'Données projet'!$E$11+1,1))-AVERAGE(OFFSET($H$3,0,0,'Données projet'!$E$11+1,1))</f>
        <v>247.43282553724879</v>
      </c>
      <c r="BJ201" s="59">
        <f t="shared" si="206"/>
        <v>637.29471578895527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1.4222882364987058E-23</v>
      </c>
      <c r="BS201" s="22">
        <f t="shared" si="169"/>
        <v>1.4222882364987058E-23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4.6111381379887463E-14</v>
      </c>
      <c r="CA201" s="13">
        <f t="shared" si="170"/>
        <v>7.5804141040779151E-13</v>
      </c>
      <c r="CB201" s="20">
        <f t="shared" si="171"/>
        <v>1.4005661123635408E-12</v>
      </c>
      <c r="CC201" s="59">
        <f t="shared" si="195"/>
        <v>293.33333333333474</v>
      </c>
      <c r="CD201" s="59">
        <f ca="1">AVERAGE(OFFSET($CC$3,0,0,'Données projet'!$E$12+1,1))-AVERAGE(OFFSET($H$3,0,0,'Données projet'!$E$12+1,1))</f>
        <v>230.68538392491388</v>
      </c>
      <c r="CE201" s="59">
        <f t="shared" si="207"/>
        <v>267.97457956620724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8.0690614836091759E-2</v>
      </c>
      <c r="CM201" s="21">
        <f>EXP(-LN(2)/2)*CM200+(1-EXP(-LN(2)/2))/(LN(2)/2)*CG201*CJ201*VLOOKUP('Données projet'!$B$12,Paramètres!$A$1:$I$89,3,0)*0.475*44/12</f>
        <v>5.6726853935528581E-25</v>
      </c>
      <c r="CN201" s="22">
        <f t="shared" si="172"/>
        <v>8.0690614836091759E-2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3.2366642699344085E-14</v>
      </c>
      <c r="CV201" s="13">
        <f t="shared" si="173"/>
        <v>5.5446527398450045E-13</v>
      </c>
      <c r="CW201" s="20">
        <f t="shared" si="174"/>
        <v>1.0220655882243624E-12</v>
      </c>
      <c r="CX201" s="59">
        <f t="shared" si="196"/>
        <v>293.33333333333434</v>
      </c>
      <c r="CY201" s="59">
        <f ca="1">AVERAGE(OFFSET($CX$3,0,0,'Données projet'!$E$13+1,1))-AVERAGE(OFFSET($H$3,0,0,'Données projet'!$E$13+1,1))</f>
        <v>242.1473060698724</v>
      </c>
      <c r="CZ201" s="59">
        <f t="shared" si="208"/>
        <v>96.127995920458659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0</v>
      </c>
      <c r="EP201" s="59">
        <f t="shared" si="210"/>
        <v>0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179.86010141761648</v>
      </c>
      <c r="T202" s="59">
        <f t="shared" si="204"/>
        <v>367.01744242396057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2.3131967489238292</v>
      </c>
      <c r="AA202" s="21">
        <f>EXP(-LN(2)/25)*AA201+(1-EXP(-LN(2)/25))/(LN(2)/25)*Calculateur!V202*Calculateur!X202*VLOOKUP('Données projet'!$B$9,Paramètres!$A$1:$I$89,3,0)*0.475*44/12</f>
        <v>0.54314225109713554</v>
      </c>
      <c r="AB202" s="21">
        <f>EXP(-LN(2)/2)*AB201+(1-EXP(-LN(2)/2))/(LN(2)/2)*V202*Y202*VLOOKUP('Données projet'!$B$9,Paramètres!$A$1:$I$89,3,0)*0.475*44/12</f>
        <v>1.6611868142636947E-23</v>
      </c>
      <c r="AC202" s="22">
        <f t="shared" si="163"/>
        <v>2.8563390000209647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-4.758931027026848E-13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318.09371753144256</v>
      </c>
      <c r="AO202" s="59">
        <f t="shared" si="205"/>
        <v>298.61479562586919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0.19067526442760957</v>
      </c>
      <c r="AW202" s="21">
        <f>EXP(-LN(2)/2)*AW201+(1-EXP(-LN(2)/2))/(LN(2)/2)*AQ202*AT202*VLOOKUP('Données projet'!$B$10,Paramètres!$A$1:$I$89,3,0)*0.475*44/12</f>
        <v>1.1058520527585088E-24</v>
      </c>
      <c r="AX202" s="21">
        <f t="shared" si="166"/>
        <v>0.31379375819337307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35.999999999999943</v>
      </c>
      <c r="BE202" s="13">
        <f>BD202*VLOOKUP('Données projet'!$B$11,Paramètres!$A$1:$I$89,3,0)*VLOOKUP('Données projet'!$B$11,Paramètres!$A$1:$I$89,5,0)</f>
        <v>31.449599999999958</v>
      </c>
      <c r="BF202" s="13">
        <f t="shared" si="167"/>
        <v>9.7016318496336709</v>
      </c>
      <c r="BG202" s="20">
        <f t="shared" si="168"/>
        <v>71.671728804778567</v>
      </c>
      <c r="BH202" s="59">
        <f t="shared" si="194"/>
        <v>365.0050621381119</v>
      </c>
      <c r="BI202" s="59">
        <f ca="1">AVERAGE(OFFSET($BH$3,0,0,'Données projet'!$E$11+1,1))-AVERAGE(OFFSET($H$3,0,0,'Données projet'!$E$11+1,1))</f>
        <v>247.43282553724879</v>
      </c>
      <c r="BJ202" s="59">
        <f t="shared" si="206"/>
        <v>637.29471578895527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1.0057096568300909E-23</v>
      </c>
      <c r="BS202" s="22">
        <f t="shared" si="169"/>
        <v>1.0057096568300909E-23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4.6111381379887463E-14</v>
      </c>
      <c r="CA202" s="13">
        <f t="shared" si="170"/>
        <v>7.5804141040779151E-13</v>
      </c>
      <c r="CB202" s="20">
        <f t="shared" si="171"/>
        <v>1.4005661123635408E-12</v>
      </c>
      <c r="CC202" s="59">
        <f t="shared" si="195"/>
        <v>293.33333333333474</v>
      </c>
      <c r="CD202" s="59">
        <f ca="1">AVERAGE(OFFSET($CC$3,0,0,'Données projet'!$E$12+1,1))-AVERAGE(OFFSET($H$3,0,0,'Données projet'!$E$12+1,1))</f>
        <v>230.68538392491388</v>
      </c>
      <c r="CE202" s="59">
        <f t="shared" si="207"/>
        <v>267.97457956620724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7.8484125730063817E-2</v>
      </c>
      <c r="CM202" s="21">
        <f>EXP(-LN(2)/2)*CM201+(1-EXP(-LN(2)/2))/(LN(2)/2)*CG202*CJ202*VLOOKUP('Données projet'!$B$12,Paramètres!$A$1:$I$89,3,0)*0.475*44/12</f>
        <v>4.0111943093191051E-25</v>
      </c>
      <c r="CN202" s="22">
        <f t="shared" si="172"/>
        <v>7.8484125730063817E-2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3.2366642699344085E-14</v>
      </c>
      <c r="CV202" s="13">
        <f t="shared" si="173"/>
        <v>5.5446527398450045E-13</v>
      </c>
      <c r="CW202" s="20">
        <f t="shared" si="174"/>
        <v>1.0220655882243624E-12</v>
      </c>
      <c r="CX202" s="59">
        <f t="shared" si="196"/>
        <v>293.33333333333434</v>
      </c>
      <c r="CY202" s="59">
        <f ca="1">AVERAGE(OFFSET($CX$3,0,0,'Données projet'!$E$13+1,1))-AVERAGE(OFFSET($H$3,0,0,'Données projet'!$E$13+1,1))</f>
        <v>242.1473060698724</v>
      </c>
      <c r="CZ202" s="59">
        <f t="shared" si="208"/>
        <v>96.127995920458659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0</v>
      </c>
      <c r="EP202" s="59">
        <f t="shared" si="210"/>
        <v>0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179.86010141761648</v>
      </c>
      <c r="T203" s="59">
        <f t="shared" si="204"/>
        <v>367.01744242396057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2.267836371588134</v>
      </c>
      <c r="AA203" s="21">
        <f>EXP(-LN(2)/25)*AA202+(1-EXP(-LN(2)/25))/(LN(2)/25)*Calculateur!V203*Calculateur!X203*VLOOKUP('Données projet'!$B$9,Paramètres!$A$1:$I$89,3,0)*0.475*44/12</f>
        <v>0.52828999767827478</v>
      </c>
      <c r="AB203" s="21">
        <f>EXP(-LN(2)/2)*AB202+(1-EXP(-LN(2)/2))/(LN(2)/2)*V203*Y203*VLOOKUP('Données projet'!$B$9,Paramètres!$A$1:$I$89,3,0)*0.475*44/12</f>
        <v>1.1746364611835363E-23</v>
      </c>
      <c r="AC203" s="22">
        <f t="shared" si="163"/>
        <v>2.7961263692664087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-4.758931027026848E-13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318.09371753144256</v>
      </c>
      <c r="AO203" s="59">
        <f t="shared" si="205"/>
        <v>298.61479562586919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0.18546123929466021</v>
      </c>
      <c r="AW203" s="21">
        <f>EXP(-LN(2)/2)*AW202+(1-EXP(-LN(2)/2))/(LN(2)/2)*AQ203*AT203*VLOOKUP('Données projet'!$B$10,Paramètres!$A$1:$I$89,3,0)*0.475*44/12</f>
        <v>7.8195548549460527E-25</v>
      </c>
      <c r="AX203" s="21">
        <f t="shared" si="166"/>
        <v>0.30616545449254329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35.999999999999943</v>
      </c>
      <c r="BE203" s="13">
        <f>BD203*VLOOKUP('Données projet'!$B$11,Paramètres!$A$1:$I$89,3,0)*VLOOKUP('Données projet'!$B$11,Paramètres!$A$1:$I$89,5,0)</f>
        <v>31.449599999999958</v>
      </c>
      <c r="BF203" s="13">
        <f t="shared" si="167"/>
        <v>9.7016318496336709</v>
      </c>
      <c r="BG203" s="20">
        <f t="shared" si="168"/>
        <v>71.671728804778567</v>
      </c>
      <c r="BH203" s="59">
        <f t="shared" si="194"/>
        <v>365.0050621381119</v>
      </c>
      <c r="BI203" s="59">
        <f ca="1">AVERAGE(OFFSET($BH$3,0,0,'Données projet'!$E$11+1,1))-AVERAGE(OFFSET($H$3,0,0,'Données projet'!$E$11+1,1))</f>
        <v>247.43282553724879</v>
      </c>
      <c r="BJ203" s="59">
        <f t="shared" si="206"/>
        <v>637.29471578895527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7.1114411824935289E-24</v>
      </c>
      <c r="BS203" s="22">
        <f t="shared" si="169"/>
        <v>7.1114411824935289E-24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4.6111381379887463E-14</v>
      </c>
      <c r="CA203" s="13">
        <f t="shared" si="170"/>
        <v>7.5804141040779151E-13</v>
      </c>
      <c r="CB203" s="20">
        <f t="shared" si="171"/>
        <v>1.4005661123635408E-12</v>
      </c>
      <c r="CC203" s="59">
        <f t="shared" si="195"/>
        <v>293.33333333333474</v>
      </c>
      <c r="CD203" s="59">
        <f ca="1">AVERAGE(OFFSET($CC$3,0,0,'Données projet'!$E$12+1,1))-AVERAGE(OFFSET($H$3,0,0,'Données projet'!$E$12+1,1))</f>
        <v>230.68538392491388</v>
      </c>
      <c r="CE203" s="59">
        <f t="shared" si="207"/>
        <v>267.97457956620724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7.6337973184674432E-2</v>
      </c>
      <c r="CM203" s="21">
        <f>EXP(-LN(2)/2)*CM202+(1-EXP(-LN(2)/2))/(LN(2)/2)*CG203*CJ203*VLOOKUP('Données projet'!$B$12,Paramètres!$A$1:$I$89,3,0)*0.475*44/12</f>
        <v>2.8363426967764291E-25</v>
      </c>
      <c r="CN203" s="22">
        <f t="shared" si="172"/>
        <v>7.6337973184674432E-2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3.2366642699344085E-14</v>
      </c>
      <c r="CV203" s="13">
        <f t="shared" si="173"/>
        <v>5.5446527398450045E-13</v>
      </c>
      <c r="CW203" s="20">
        <f t="shared" si="174"/>
        <v>1.0220655882243624E-12</v>
      </c>
      <c r="CX203" s="59">
        <f t="shared" si="196"/>
        <v>293.33333333333434</v>
      </c>
      <c r="CY203" s="59">
        <f ca="1">AVERAGE(OFFSET($CX$3,0,0,'Données projet'!$E$13+1,1))-AVERAGE(OFFSET($H$3,0,0,'Données projet'!$E$13+1,1))</f>
        <v>242.1473060698724</v>
      </c>
      <c r="CZ203" s="59">
        <f t="shared" si="208"/>
        <v>96.127995920458659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0</v>
      </c>
      <c r="EP203" s="59">
        <f t="shared" si="210"/>
        <v>0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1.4126236324966186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1.2750566643089272</v>
      </c>
      <c r="BA205" s="82">
        <f>EXP(LN('Données projet'!B88)/'Données projet'!A88)</f>
        <v>1.6934803938384888</v>
      </c>
      <c r="BV205" s="82">
        <f>EXP(LN('Données projet'!B114)/'Données projet'!A114)</f>
        <v>1.2557008269631629</v>
      </c>
      <c r="CQ205" s="82">
        <f>EXP(LN('Données projet'!B140)/'Données projet'!A140)</f>
        <v>1.1457367676485573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H16" sqref="H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70.241169999999997</v>
      </c>
      <c r="C6" s="147">
        <f ca="1">IF(OR('Données projet'!B9="",'Données projet'!C9="",'Données projet'!C9=0%),0,Calculateur!S3)</f>
        <v>179.86010141761648</v>
      </c>
      <c r="D6" s="147">
        <f>IF(OR('Données projet'!B9="",'Données projet'!C9="",'Données projet'!C9=0%),0,Calculateur!T3)</f>
        <v>367.01744242396057</v>
      </c>
      <c r="E6" s="147">
        <f ca="1">MIN(C6,D6)</f>
        <v>179.86010141761648</v>
      </c>
      <c r="F6" s="147">
        <f ca="1">E6*B6</f>
        <v>12633.583959892039</v>
      </c>
      <c r="G6" s="147">
        <f ca="1">F6*(100%-'Données projet'!$C$24)*(100%-'Données projet'!$C$25)*(100%-'Données projet'!$C$26)*(100%-'Données projet'!$C$27)</f>
        <v>9664.6917293174101</v>
      </c>
      <c r="H6" s="148">
        <f>IF(OR('Données projet'!B9="",'Données projet'!C9="",'Données projet'!C9=0%),0,AVERAGE(Calculateur!$AC$3:$AC$33)*B6)</f>
        <v>692.2810192303308</v>
      </c>
      <c r="I6" s="149">
        <f>H6*(100%-'Données projet'!$C$24)*(100%-'Données projet'!$C$25)*(100%-'Données projet'!$C$26)*(100%-'Données projet'!$C$27)</f>
        <v>529.59497971120311</v>
      </c>
      <c r="J6" s="150">
        <f>IF(OR('Données projet'!B9="",'Données projet'!C9="",'Données projet'!C9=0%),0,SUM(Calculateur!$V$3:$V$33)*VLOOKUP('Données projet'!$B$9,Paramètres!$A$1:$I$89,9,0)*B6)</f>
        <v>3937.0175784999997</v>
      </c>
      <c r="K6" s="151">
        <f>J6*(100%-'Données projet'!$C$24)*(100%-'Données projet'!$C$25)*(100%-'Données projet'!$C$26)*(100%-'Données projet'!$C$27)</f>
        <v>3011.8184475524995</v>
      </c>
      <c r="L6" s="152">
        <f ca="1">G6+I6+K6</f>
        <v>13206.105156581112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8.1340800000000009</v>
      </c>
      <c r="C7" s="147">
        <f ca="1">IF(OR('Données projet'!B10="",'Données projet'!C10="",'Données projet'!C10=0%),0,Calculateur!AN3)</f>
        <v>318.09371753144256</v>
      </c>
      <c r="D7" s="147">
        <f>IF(OR('Données projet'!B10="",'Données projet'!C10="",'Données projet'!C10=0%),0,Calculateur!AO3)</f>
        <v>298.61479562586919</v>
      </c>
      <c r="E7" s="147">
        <f t="shared" ref="E7:E15" ca="1" si="0">MIN(C7,D7)</f>
        <v>298.61479562586919</v>
      </c>
      <c r="F7" s="147">
        <f t="shared" ref="F7:F15" ca="1" si="1">E7*B7</f>
        <v>2428.9566368044702</v>
      </c>
      <c r="G7" s="147">
        <f ca="1">F7*(100%-'Données projet'!$C$24)*(100%-'Données projet'!$C$25)*(100%-'Données projet'!$C$26)*(100%-'Données projet'!$C$27)</f>
        <v>1858.1518271554198</v>
      </c>
      <c r="H7" s="155">
        <f>IF(OR('Données projet'!B10="",'Données projet'!C10="",'Données projet'!C10=0%),0,AVERAGE(Calculateur!$AX$3:$AX$33)*B7)</f>
        <v>40.432634813342396</v>
      </c>
      <c r="I7" s="149">
        <f>H7*(100%-'Données projet'!$C$24)*(100%-'Données projet'!$C$25)*(100%-'Données projet'!$C$26)*(100%-'Données projet'!$C$27)</f>
        <v>30.930965632206934</v>
      </c>
      <c r="J7" s="150">
        <f>IF(OR('Données projet'!B10="",'Données projet'!C10="",'Données projet'!C10=0%),0,SUM(Calculateur!$AQ$3:$AQ$33)*VLOOKUP('Données projet'!$B$10,Paramètres!$A$1:$I$89,9,0)*B7)</f>
        <v>472.18334400000003</v>
      </c>
      <c r="K7" s="151">
        <f>J7*(100%-'Données projet'!$C$24)*(100%-'Données projet'!$C$25)*(100%-'Données projet'!$C$26)*(100%-'Données projet'!$C$27)</f>
        <v>361.22025816000001</v>
      </c>
      <c r="L7" s="152">
        <f t="shared" ref="L7:L15" ca="1" si="2">G7+I7+K7</f>
        <v>2250.3030509476266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Eucalyptus</v>
      </c>
      <c r="B8" s="154">
        <f>'Données projet'!D11</f>
        <v>4.2365000000000004</v>
      </c>
      <c r="C8" s="147">
        <f ca="1">IF(OR('Données projet'!B11="",'Données projet'!C11="",'Données projet'!C11=0%),0,Calculateur!BI3)</f>
        <v>247.43282553724879</v>
      </c>
      <c r="D8" s="147">
        <f>IF(OR('Données projet'!B11="",'Données projet'!C11="",'Données projet'!C11=0%),0,Calculateur!BJ3)</f>
        <v>637.29471578895527</v>
      </c>
      <c r="E8" s="147">
        <f t="shared" ca="1" si="0"/>
        <v>247.43282553724879</v>
      </c>
      <c r="F8" s="147">
        <f t="shared" ca="1" si="1"/>
        <v>1048.2491653885545</v>
      </c>
      <c r="G8" s="147">
        <f ca="1">F8*(100%-'Données projet'!$C$24)*(100%-'Données projet'!$C$25)*(100%-'Données projet'!$C$26)*(100%-'Données projet'!$C$27)</f>
        <v>801.91061152224427</v>
      </c>
      <c r="H8" s="155">
        <f>IF(OR('Données projet'!B11="",'Données projet'!C11="",'Données projet'!C11=0%),0,AVERAGE(Calculateur!$BS$3:$BS$33)*B8)</f>
        <v>207.2936722180975</v>
      </c>
      <c r="I8" s="149">
        <f>H8*(100%-'Données projet'!$C$24)*(100%-'Données projet'!$C$25)*(100%-'Données projet'!$C$26)*(100%-'Données projet'!$C$27)</f>
        <v>158.57965924684459</v>
      </c>
      <c r="J8" s="150">
        <f>IF(OR('Données projet'!B11="",'Données projet'!C11="",'Données projet'!C11=0%),0,SUM(Calculateur!$BL$3:$BL$33)*VLOOKUP('Données projet'!$B$11,Paramètres!$A$1:$I$89,9,0)*B8)</f>
        <v>820.82187500000009</v>
      </c>
      <c r="K8" s="151">
        <f>J8*(100%-'Données projet'!$C$24)*(100%-'Données projet'!$C$25)*(100%-'Données projet'!$C$26)*(100%-'Données projet'!$C$27)</f>
        <v>627.92873437500009</v>
      </c>
      <c r="L8" s="152">
        <f t="shared" ca="1" si="2"/>
        <v>1588.4190051440889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Bouleau verruqueux</v>
      </c>
      <c r="B9" s="154">
        <f>'Données projet'!D12</f>
        <v>0.63547500000000001</v>
      </c>
      <c r="C9" s="147">
        <f ca="1">IF(OR('Données projet'!B12="",'Données projet'!C12="",'Données projet'!C12=0%),0,Calculateur!CD3)</f>
        <v>230.68538392491388</v>
      </c>
      <c r="D9" s="147">
        <f>IF(OR('Données projet'!B12="",'Données projet'!C12="",'Données projet'!C12=0%),0,Calculateur!CE3)</f>
        <v>267.97457956620724</v>
      </c>
      <c r="E9" s="147">
        <f t="shared" ca="1" si="0"/>
        <v>230.68538392491388</v>
      </c>
      <c r="F9" s="147">
        <f t="shared" ca="1" si="1"/>
        <v>146.59479434968466</v>
      </c>
      <c r="G9" s="147">
        <f ca="1">F9*(100%-'Données projet'!$C$24)*(100%-'Données projet'!$C$25)*(100%-'Données projet'!$C$26)*(100%-'Données projet'!$C$27)</f>
        <v>112.14501767750876</v>
      </c>
      <c r="H9" s="155">
        <f>IF(OR('Données projet'!B12="",'Données projet'!C12="",'Données projet'!C12=0%),0,AVERAGE(Calculateur!$CN$3:$CN$33)*B9)</f>
        <v>1.7066593468115483</v>
      </c>
      <c r="I9" s="149">
        <f>H9*(100%-'Données projet'!$C$24)*(100%-'Données projet'!$C$25)*(100%-'Données projet'!$C$26)*(100%-'Données projet'!$C$27)</f>
        <v>1.3055944003108344</v>
      </c>
      <c r="J9" s="150">
        <f>IF(OR('Données projet'!B12="",'Données projet'!C12="",'Données projet'!C12=0%),0,SUM(Calculateur!$CG$3:$CG$33)*VLOOKUP('Données projet'!$B$12,Paramètres!$A$1:$I$89,9,0)*B9)</f>
        <v>15.72800625</v>
      </c>
      <c r="K9" s="151">
        <f>J9*(100%-'Données projet'!$C$24)*(100%-'Données projet'!$C$25)*(100%-'Données projet'!$C$26)*(100%-'Données projet'!$C$27)</f>
        <v>12.03192478125</v>
      </c>
      <c r="L9" s="152">
        <f t="shared" ca="1" si="2"/>
        <v>125.4825368590696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vert</v>
      </c>
      <c r="B10" s="154">
        <f>'Données projet'!D13</f>
        <v>0.63547500000000001</v>
      </c>
      <c r="C10" s="147">
        <f ca="1">IF(OR('Données projet'!B13="",'Données projet'!C13="",'Données projet'!C13=0%),0,Calculateur!CY3)</f>
        <v>242.1473060698724</v>
      </c>
      <c r="D10" s="147">
        <f>IF(OR('Données projet'!B13="",'Données projet'!C13="",'Données projet'!C13=0%),0,Calculateur!CZ3)</f>
        <v>96.127995920458659</v>
      </c>
      <c r="E10" s="147">
        <f t="shared" ca="1" si="0"/>
        <v>96.127995920458659</v>
      </c>
      <c r="F10" s="147">
        <f t="shared" ca="1" si="1"/>
        <v>61.086938207553466</v>
      </c>
      <c r="G10" s="147">
        <f ca="1">F10*(100%-'Données projet'!$C$24)*(100%-'Données projet'!$C$25)*(100%-'Données projet'!$C$26)*(100%-'Données projet'!$C$27)</f>
        <v>46.731507728778396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46.731507728778396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Chêne-liège</v>
      </c>
      <c r="B11" s="154">
        <f>'Données projet'!D14</f>
        <v>0.63547500000000001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Arbousier</v>
      </c>
      <c r="B12" s="154">
        <f>'Données projet'!D15</f>
        <v>0.21182500000000001</v>
      </c>
      <c r="C12" s="147">
        <f ca="1"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ca="1" si="0"/>
        <v>0</v>
      </c>
      <c r="F12" s="147">
        <f t="shared" ca="1" si="1"/>
        <v>0</v>
      </c>
      <c r="G12" s="147">
        <f ca="1"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16318.471494642303</v>
      </c>
      <c r="G16" s="166">
        <f t="shared" ca="1" si="3"/>
        <v>12483.630693401361</v>
      </c>
      <c r="H16" s="167">
        <f t="shared" si="3"/>
        <v>941.71398560858222</v>
      </c>
      <c r="I16" s="167">
        <f t="shared" si="3"/>
        <v>720.41119899056548</v>
      </c>
      <c r="J16" s="168">
        <f t="shared" si="3"/>
        <v>5245.7508037500002</v>
      </c>
      <c r="K16" s="168">
        <f t="shared" si="3"/>
        <v>4012.9993648687496</v>
      </c>
      <c r="L16" s="169">
        <f t="shared" ca="1" si="3"/>
        <v>17217.041257260673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Eucalyptus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Chêne-liège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Arbousier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80" zoomScaleNormal="80" workbookViewId="0">
      <selection activeCell="R7" sqref="R7:V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4059.0004396968006</v>
      </c>
      <c r="U10" s="178">
        <f>'Données projet'!D9</f>
        <v>70.241169999999997</v>
      </c>
      <c r="V10" s="177">
        <f>U10*T10</f>
        <v>285108.93991481769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912.70207897911803</v>
      </c>
      <c r="U11" s="178">
        <f>'Données projet'!D10</f>
        <v>8.1340800000000009</v>
      </c>
      <c r="V11" s="177">
        <f t="shared" ref="V11" si="0">U11*T11</f>
        <v>7423.9917265824652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Eucalyptus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13107.011111373242</v>
      </c>
      <c r="U12" s="178">
        <f>'Données projet'!D11</f>
        <v>4.2365000000000004</v>
      </c>
      <c r="V12" s="177">
        <f t="shared" ref="V12:V19" si="1">U12*T12</f>
        <v>55527.852573332741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0.63547500000000001</v>
      </c>
      <c r="V13" s="177">
        <f t="shared" si="1"/>
        <v>-4766.0625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0.63547500000000001</v>
      </c>
      <c r="V14" s="177">
        <f t="shared" si="1"/>
        <v>-4766.0625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Chêne-liège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-7500</v>
      </c>
      <c r="U15" s="178">
        <f>'Données projet'!D14</f>
        <v>0.63547500000000001</v>
      </c>
      <c r="V15" s="177">
        <f t="shared" si="1"/>
        <v>-4766.0625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>Arbousier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-7500</v>
      </c>
      <c r="U16" s="178">
        <f>'Données projet'!D15</f>
        <v>0.21182500000000001</v>
      </c>
      <c r="V16" s="177">
        <f t="shared" si="1"/>
        <v>-1588.6875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800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/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-59801.144867471652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59</v>
      </c>
      <c r="C24" s="193">
        <v>35</v>
      </c>
      <c r="D24" s="182">
        <f t="shared" ref="D24:D42" si="2">B24*C24</f>
        <v>2065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19061.467801674833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395</v>
      </c>
      <c r="C25" s="193">
        <v>45</v>
      </c>
      <c r="D25" s="182">
        <f t="shared" si="2"/>
        <v>17775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-78862.612669146489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900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98</v>
      </c>
      <c r="C55" s="191">
        <v>30</v>
      </c>
      <c r="D55" s="179">
        <f t="shared" ref="D55:D73" si="4">B55*C55</f>
        <v>2940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98</v>
      </c>
      <c r="C57" s="191">
        <v>30</v>
      </c>
      <c r="D57" s="179">
        <f t="shared" si="4"/>
        <v>2940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76</v>
      </c>
      <c r="C59" s="191">
        <v>30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599</v>
      </c>
      <c r="C60" s="191">
        <v>30</v>
      </c>
      <c r="D60" s="179">
        <f t="shared" si="4"/>
        <v>17970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Eucalyptus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175</v>
      </c>
      <c r="C85" s="191">
        <v>45</v>
      </c>
      <c r="D85" s="179">
        <f>B85*C85</f>
        <v>7875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275</v>
      </c>
      <c r="C86" s="191">
        <v>45</v>
      </c>
      <c r="D86" s="179">
        <f t="shared" ref="D86:D104" si="6">B86*C86</f>
        <v>12375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325</v>
      </c>
      <c r="C87" s="191">
        <v>45</v>
      </c>
      <c r="D87" s="179">
        <f t="shared" si="6"/>
        <v>14625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43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56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56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39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25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21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284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27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90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100</v>
      </c>
      <c r="B155" s="175">
        <f>'Données projet'!D148</f>
        <v>28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110</v>
      </c>
      <c r="B156" s="175">
        <f>'Données projet'!D149</f>
        <v>27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120</v>
      </c>
      <c r="B157" s="175">
        <f>'Données projet'!D150</f>
        <v>234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Chêne-liège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Arbousier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7500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2024-12-19T12:49:50Z</cp:lastPrinted>
  <dcterms:created xsi:type="dcterms:W3CDTF">2021-02-01T08:22:39Z</dcterms:created>
  <dcterms:modified xsi:type="dcterms:W3CDTF">2024-12-19T12:52:38Z</dcterms:modified>
</cp:coreProperties>
</file>