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ierroton\GF PINCHOURLIN - LA TESTE (33)\P1\Dossier déposé le 26.06.24\"/>
    </mc:Choice>
  </mc:AlternateContent>
  <xr:revisionPtr revIDLastSave="0" documentId="13_ncr:1_{2940EFF8-1E79-4B26-9B25-C4430AE3C026}" xr6:coauthVersionLast="36" xr6:coauthVersionMax="36" xr10:uidLastSave="{00000000-0000-0000-0000-000000000000}"/>
  <bookViews>
    <workbookView xWindow="0" yWindow="0" windowWidth="21570" windowHeight="9330" tabRatio="866" activeTab="1" xr2:uid="{00000000-000D-0000-FFFF-FFFF00000000}"/>
  </bookViews>
  <sheets>
    <sheet name="Accueil" sheetId="5" r:id="rId1"/>
    <sheet name="Données projet" sheetId="1" r:id="rId2"/>
    <sheet name="Calculateur" sheetId="2" state="hidden" r:id="rId3"/>
    <sheet name="Paramètres" sheetId="3" state="hidden" r:id="rId4"/>
    <sheet name="Scénario référence" sheetId="7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<sst xmlns="http://schemas.openxmlformats.org/spreadsheetml/2006/main" count="1170" uniqueCount="324">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</sst>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1.9269628804625836</c:v>
                </c:pt>
                <c:pt idx="2">
                  <c:v>2.3942745364663698</c:v>
                </c:pt>
                <c:pt idx="3">
                  <c:v>2.9753588455728068</c:v>
                </c:pt>
                <c:pt idx="4">
                  <c:v>3.698017265780404</c:v>
                </c:pt>
                <c:pt idx="5">
                  <c:v>4.5968682174497255</c:v>
                </c:pt>
                <c:pt idx="6">
                  <c:v>5.7150239571249024</c:v>
                </c:pt>
                <c:pt idx="7">
                  <c:v>7.1061811538250064</c:v>
                </c:pt>
                <c:pt idx="8">
                  <c:v>8.8372275083304022</c:v>
                </c:pt>
                <c:pt idx="9">
                  <c:v>10.991492135053365</c:v>
                </c:pt>
                <c:pt idx="10">
                  <c:v>13.672799112874564</c:v>
                </c:pt>
                <c:pt idx="11">
                  <c:v>17.010523176738136</c:v>
                </c:pt>
                <c:pt idx="12">
                  <c:v>21.165895928647302</c:v>
                </c:pt>
                <c:pt idx="13">
                  <c:v>26.339872647679513</c:v>
                </c:pt>
                <c:pt idx="14">
                  <c:v>32.782946838762619</c:v>
                </c:pt>
                <c:pt idx="15">
                  <c:v>40.807395909670674</c:v>
                </c:pt>
                <c:pt idx="16">
                  <c:v>50.802561592342414</c:v>
                </c:pt>
                <c:pt idx="17">
                  <c:v>63.253918911800632</c:v>
                </c:pt>
                <c:pt idx="18">
                  <c:v>78.766875132901632</c:v>
                </c:pt>
                <c:pt idx="19">
                  <c:v>98.096474531132984</c:v>
                </c:pt>
                <c:pt idx="20">
                  <c:v>122.18447772619766</c:v>
                </c:pt>
                <c:pt idx="21">
                  <c:v>152.20565029747607</c:v>
                </c:pt>
                <c:pt idx="22">
                  <c:v>128.36948934023431</c:v>
                </c:pt>
                <c:pt idx="23">
                  <c:v>143.65063924383099</c:v>
                </c:pt>
                <c:pt idx="24">
                  <c:v>158.89285513276243</c:v>
                </c:pt>
                <c:pt idx="25">
                  <c:v>174.10040072649755</c:v>
                </c:pt>
                <c:pt idx="26">
                  <c:v>189.27673263786542</c:v>
                </c:pt>
                <c:pt idx="27">
                  <c:v>204.42470709321393</c:v>
                </c:pt>
                <c:pt idx="28">
                  <c:v>219.54672196983498</c:v>
                </c:pt>
                <c:pt idx="29">
                  <c:v>184.00538175094985</c:v>
                </c:pt>
                <c:pt idx="30">
                  <c:v>197.5929938437981</c:v>
                </c:pt>
                <c:pt idx="31">
                  <c:v>211.15892501458293</c:v>
                </c:pt>
                <c:pt idx="32">
                  <c:v>224.7047649504525</c:v>
                </c:pt>
                <c:pt idx="33">
                  <c:v>238.23189586782055</c:v>
                </c:pt>
                <c:pt idx="34">
                  <c:v>251.74153008738961</c:v>
                </c:pt>
                <c:pt idx="35">
                  <c:v>265.23473910996825</c:v>
                </c:pt>
                <c:pt idx="36">
                  <c:v>278.7124764590701</c:v>
                </c:pt>
                <c:pt idx="37">
                  <c:v>227.85556205190468</c:v>
                </c:pt>
                <c:pt idx="38">
                  <c:v>238.73255770354208</c:v>
                </c:pt>
                <c:pt idx="39">
                  <c:v>249.59826649936761</c:v>
                </c:pt>
                <c:pt idx="40">
                  <c:v>260.45324936356457</c:v>
                </c:pt>
                <c:pt idx="41">
                  <c:v>271.29801661196126</c:v>
                </c:pt>
                <c:pt idx="42">
                  <c:v>282.1330344023217</c:v>
                </c:pt>
                <c:pt idx="43">
                  <c:v>292.9587301411222</c:v>
                </c:pt>
                <c:pt idx="44">
                  <c:v>303.77549704875565</c:v>
                </c:pt>
                <c:pt idx="45">
                  <c:v>314.58369804007623</c:v>
                </c:pt>
                <c:pt idx="46">
                  <c:v>251.99869384485862</c:v>
                </c:pt>
                <c:pt idx="47">
                  <c:v>259.96785362161279</c:v>
                </c:pt>
                <c:pt idx="48">
                  <c:v>267.93149565924278</c:v>
                </c:pt>
                <c:pt idx="49">
                  <c:v>275.88980726802299</c:v>
                </c:pt>
                <c:pt idx="50">
                  <c:v>283.84296405810721</c:v>
                </c:pt>
                <c:pt idx="51">
                  <c:v>291.79113098496731</c:v>
                </c:pt>
                <c:pt idx="52">
                  <c:v>299.7344632748671</c:v>
                </c:pt>
                <c:pt idx="53">
                  <c:v>307.67310724702298</c:v>
                </c:pt>
                <c:pt idx="54">
                  <c:v>315.60720104640683</c:v>
                </c:pt>
                <c:pt idx="55">
                  <c:v>323.53687529895296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E35" sqref="E3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17.670000000000002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17.670000000000002</v>
      </c>
      <c r="E9" s="37">
        <v>55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17.670000000000002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21</v>
      </c>
      <c r="B36" s="63">
        <v>114</v>
      </c>
      <c r="C36" s="63">
        <v>1</v>
      </c>
      <c r="D36" s="63">
        <v>30</v>
      </c>
      <c r="E36" s="54"/>
      <c r="F36" s="54"/>
      <c r="G36" s="54">
        <v>1</v>
      </c>
      <c r="H36" s="54"/>
      <c r="I36" s="52">
        <f>IFERROR(B36/A36,"")</f>
        <v>5.4285714285714288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28</v>
      </c>
      <c r="B37" s="63">
        <v>166</v>
      </c>
      <c r="C37" s="63">
        <v>2</v>
      </c>
      <c r="D37" s="63">
        <v>38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11.714285714285714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3">
        <v>149</v>
      </c>
      <c r="C38" s="63">
        <v>3</v>
      </c>
      <c r="D38" s="63">
        <v>0</v>
      </c>
      <c r="E38" s="54"/>
      <c r="F38" s="54"/>
      <c r="G38" s="54"/>
      <c r="H38" s="54"/>
      <c r="I38" s="56">
        <f t="shared" si="1"/>
        <v>10.5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36</v>
      </c>
      <c r="B39" s="63">
        <v>212</v>
      </c>
      <c r="C39" s="63">
        <v>4</v>
      </c>
      <c r="D39" s="63">
        <v>48</v>
      </c>
      <c r="E39" s="54"/>
      <c r="F39" s="54"/>
      <c r="G39" s="54"/>
      <c r="H39" s="54"/>
      <c r="I39" s="52">
        <f t="shared" si="1"/>
        <v>10.5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45</v>
      </c>
      <c r="B40" s="63">
        <v>240</v>
      </c>
      <c r="C40" s="63">
        <v>5</v>
      </c>
      <c r="D40" s="63">
        <v>55</v>
      </c>
      <c r="E40" s="54"/>
      <c r="F40" s="54"/>
      <c r="G40" s="54"/>
      <c r="H40" s="54"/>
      <c r="I40" s="52">
        <f t="shared" si="1"/>
        <v>8.4444444444444446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55</v>
      </c>
      <c r="B41" s="63">
        <v>247</v>
      </c>
      <c r="C41" s="63">
        <v>6</v>
      </c>
      <c r="D41" s="63">
        <v>247</v>
      </c>
      <c r="E41" s="54"/>
      <c r="F41" s="54"/>
      <c r="G41" s="54"/>
      <c r="H41" s="54"/>
      <c r="I41" s="56">
        <f t="shared" si="1"/>
        <v>6.2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0" t="s">
        <v>176</v>
      </c>
      <c r="C1" s="311"/>
      <c r="D1" s="311"/>
      <c r="E1" s="311"/>
      <c r="F1" s="311"/>
      <c r="G1" s="311"/>
      <c r="H1" s="312"/>
      <c r="I1" s="307" t="str">
        <f>IF('Données projet'!$B$9="","",'Données projet'!$B$9)</f>
        <v>Pin maritime</v>
      </c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9"/>
      <c r="AD1" s="308" t="str">
        <f>IF('Données projet'!$B$10="","",'Données projet'!$B$10)</f>
        <v/>
      </c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9"/>
      <c r="AY1" s="307" t="str">
        <f>IF('Données projet'!$B$11="","",'Données projet'!$B$11)</f>
        <v/>
      </c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9"/>
      <c r="BT1" s="307" t="str">
        <f>IF('Données projet'!$B$12="","",'Données projet'!$B$12)</f>
        <v/>
      </c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9"/>
      <c r="CO1" s="307" t="str">
        <f>IF('Données projet'!$B$13="","",'Données projet'!$B$13)</f>
        <v/>
      </c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308"/>
      <c r="DH1" s="308"/>
      <c r="DI1" s="309"/>
      <c r="DJ1" s="307" t="str">
        <f>IF('Données projet'!$B$14="","",'Données projet'!$B$14)</f>
        <v/>
      </c>
      <c r="DK1" s="308"/>
      <c r="DL1" s="308"/>
      <c r="DM1" s="308"/>
      <c r="DN1" s="308"/>
      <c r="DO1" s="308"/>
      <c r="DP1" s="308"/>
      <c r="DQ1" s="308"/>
      <c r="DR1" s="308"/>
      <c r="DS1" s="308"/>
      <c r="DT1" s="308"/>
      <c r="DU1" s="308"/>
      <c r="DV1" s="308"/>
      <c r="DW1" s="308"/>
      <c r="DX1" s="308"/>
      <c r="DY1" s="308"/>
      <c r="DZ1" s="308"/>
      <c r="EA1" s="308"/>
      <c r="EB1" s="308"/>
      <c r="EC1" s="308"/>
      <c r="ED1" s="309"/>
      <c r="EE1" s="307" t="str">
        <f>IF('Données projet'!$B$15="","",'Données projet'!$B$15)</f>
        <v/>
      </c>
      <c r="EF1" s="308"/>
      <c r="EG1" s="308"/>
      <c r="EH1" s="308"/>
      <c r="EI1" s="308"/>
      <c r="EJ1" s="308"/>
      <c r="EK1" s="308"/>
      <c r="EL1" s="308"/>
      <c r="EM1" s="308"/>
      <c r="EN1" s="308"/>
      <c r="EO1" s="308"/>
      <c r="EP1" s="308"/>
      <c r="EQ1" s="308"/>
      <c r="ER1" s="308"/>
      <c r="ES1" s="308"/>
      <c r="ET1" s="308"/>
      <c r="EU1" s="308"/>
      <c r="EV1" s="308"/>
      <c r="EW1" s="308"/>
      <c r="EX1" s="308"/>
      <c r="EY1" s="309"/>
      <c r="EZ1" s="307" t="str">
        <f>IF('Données projet'!$B$16="","",'Données projet'!$B$16)</f>
        <v/>
      </c>
      <c r="FA1" s="308"/>
      <c r="FB1" s="308"/>
      <c r="FC1" s="308"/>
      <c r="FD1" s="308"/>
      <c r="FE1" s="308"/>
      <c r="FF1" s="308"/>
      <c r="FG1" s="308"/>
      <c r="FH1" s="308"/>
      <c r="FI1" s="308"/>
      <c r="FJ1" s="308"/>
      <c r="FK1" s="308"/>
      <c r="FL1" s="308"/>
      <c r="FM1" s="308"/>
      <c r="FN1" s="308"/>
      <c r="FO1" s="308"/>
      <c r="FP1" s="308"/>
      <c r="FQ1" s="308"/>
      <c r="FR1" s="308"/>
      <c r="FS1" s="308"/>
      <c r="FT1" s="309"/>
      <c r="FU1" s="307" t="str">
        <f>IF('Données projet'!$B$17="","",'Données projet'!$B$17)</f>
        <v/>
      </c>
      <c r="FV1" s="308"/>
      <c r="FW1" s="308"/>
      <c r="FX1" s="308"/>
      <c r="FY1" s="308"/>
      <c r="FZ1" s="308"/>
      <c r="GA1" s="308"/>
      <c r="GB1" s="308"/>
      <c r="GC1" s="308"/>
      <c r="GD1" s="308"/>
      <c r="GE1" s="308"/>
      <c r="GF1" s="308"/>
      <c r="GG1" s="308"/>
      <c r="GH1" s="308"/>
      <c r="GI1" s="308"/>
      <c r="GJ1" s="308"/>
      <c r="GK1" s="308"/>
      <c r="GL1" s="308"/>
      <c r="GM1" s="308"/>
      <c r="GN1" s="308"/>
      <c r="GO1" s="309"/>
      <c r="GP1" s="307" t="str">
        <f>IF('Données projet'!$B$18="","",'Données projet'!$B$18)</f>
        <v/>
      </c>
      <c r="GQ1" s="308"/>
      <c r="GR1" s="308"/>
      <c r="GS1" s="308"/>
      <c r="GT1" s="308"/>
      <c r="GU1" s="308"/>
      <c r="GV1" s="308"/>
      <c r="GW1" s="308"/>
      <c r="GX1" s="308"/>
      <c r="GY1" s="308"/>
      <c r="GZ1" s="308"/>
      <c r="HA1" s="308"/>
      <c r="HB1" s="308"/>
      <c r="HC1" s="308"/>
      <c r="HD1" s="308"/>
      <c r="HE1" s="308"/>
      <c r="HF1" s="308"/>
      <c r="HG1" s="308"/>
      <c r="HH1" s="308"/>
      <c r="HI1" s="308"/>
      <c r="HJ1" s="309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125.50615549487452</v>
      </c>
      <c r="T3" s="62">
        <f>IF('Données projet'!E9&gt;30,$R$33-$H$33,LOOKUP('Données projet'!$E$9,$A$3:$A$203,R3:R203)-LOOKUP('Données projet'!$E$9,$A$3:$A$203,$H$3:$H$203))</f>
        <v>156.05798578195993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5.4285714285714288</v>
      </c>
      <c r="N4" s="14">
        <f>IF('Données projet'!$A$36&gt;35,N3+M4-V3,IF(A4&lt;'Données projet'!$A$36,$K$205^A4,IF(A4='Données projet'!$A$36,'Données projet'!$B$36,N3+M4-V3)))</f>
        <v>1.2529907072018422</v>
      </c>
      <c r="O4" s="14">
        <f>N4*VLOOKUP('Données projet'!$B$9,Paramètres!$A$1:$I$89,3,0)*VLOOKUP('Données projet'!$B$9,Paramètres!$A$1:$I$89,5,0)</f>
        <v>0.74928844290670171</v>
      </c>
      <c r="P4" s="14">
        <f>EXP(-1.0587+0.8836*LN(O4)+0.284)</f>
        <v>0.35710172769382492</v>
      </c>
      <c r="Q4" s="22">
        <f t="shared" ref="Q4:Q34" si="2">(O4+P4)*0.475*44/12</f>
        <v>1.9269628804625836</v>
      </c>
      <c r="R4" s="62">
        <f t="shared" si="0"/>
        <v>295.26029621379593</v>
      </c>
      <c r="S4" s="62">
        <f ca="1">AVERAGE(OFFSET($R$3,0,0,'Données projet'!$E$9+1,1))-AVERAGE(OFFSET($H$3,0,0,'Données projet'!$E$9+1,1))</f>
        <v>125.50615549487452</v>
      </c>
      <c r="T4" s="62">
        <f>$T$3</f>
        <v>156.05798578195993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5.4285714285714288</v>
      </c>
      <c r="N5" s="14">
        <f>IF('Données projet'!$A$36&gt;35,N4+M5-V4,IF(A5&lt;'Données projet'!$A$36,$K$205^A5,IF(A5='Données projet'!$A$36,'Données projet'!$B$36,N4+M5-V4)))</f>
        <v>1.5699857123341727</v>
      </c>
      <c r="O5" s="14">
        <f>N5*VLOOKUP('Données projet'!$B$9,Paramètres!$A$1:$I$89,3,0)*VLOOKUP('Données projet'!$B$9,Paramètres!$A$1:$I$89,5,0)</f>
        <v>0.93885145597583541</v>
      </c>
      <c r="P5" s="14">
        <f t="shared" ref="P5:P68" si="33">EXP(-1.0587+0.8836*LN(O5)+0.284)</f>
        <v>0.43585162716275028</v>
      </c>
      <c r="Q5" s="22">
        <f t="shared" si="2"/>
        <v>2.3942745364663698</v>
      </c>
      <c r="R5" s="62">
        <f t="shared" si="0"/>
        <v>295.72760786979967</v>
      </c>
      <c r="S5" s="62">
        <f ca="1">AVERAGE(OFFSET($R$3,0,0,'Données projet'!$E$9+1,1))-AVERAGE(OFFSET($H$3,0,0,'Données projet'!$E$9+1,1))</f>
        <v>125.50615549487452</v>
      </c>
      <c r="T5" s="62">
        <f t="shared" ref="T5:T68" si="34">$T$3</f>
        <v>156.05798578195993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5.4285714285714288</v>
      </c>
      <c r="N6" s="14">
        <f>IF('Données projet'!$A$36&gt;35,N5+M6-V5,IF(A6&lt;'Données projet'!$A$36,$K$205^A6,IF(A6='Données projet'!$A$36,'Données projet'!$B$36,N5+M6-V5)))</f>
        <v>1.9671775079943832</v>
      </c>
      <c r="O6" s="14">
        <f>N6*VLOOKUP('Données projet'!$B$9,Paramètres!$A$1:$I$89,3,0)*VLOOKUP('Données projet'!$B$9,Paramètres!$A$1:$I$89,5,0)</f>
        <v>1.1763721497806412</v>
      </c>
      <c r="P6" s="14">
        <f t="shared" si="33"/>
        <v>0.53196785724680784</v>
      </c>
      <c r="Q6" s="22">
        <f t="shared" si="2"/>
        <v>2.9753588455728068</v>
      </c>
      <c r="R6" s="62">
        <f t="shared" si="0"/>
        <v>296.30869217890614</v>
      </c>
      <c r="S6" s="62">
        <f ca="1">AVERAGE(OFFSET($R$3,0,0,'Données projet'!$E$9+1,1))-AVERAGE(OFFSET($H$3,0,0,'Données projet'!$E$9+1,1))</f>
        <v>125.50615549487452</v>
      </c>
      <c r="T6" s="62">
        <f t="shared" si="34"/>
        <v>156.05798578195993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5.4285714285714288</v>
      </c>
      <c r="N7" s="14">
        <f>IF('Données projet'!$A$36&gt;35,N6+M7-V6,IF(A7&lt;'Données projet'!$A$36,$K$205^A7,IF(A7='Données projet'!$A$36,'Données projet'!$B$36,N6+M7-V6)))</f>
        <v>2.4648551369334397</v>
      </c>
      <c r="O7" s="14">
        <f>N7*VLOOKUP('Données projet'!$B$9,Paramètres!$A$1:$I$89,3,0)*VLOOKUP('Données projet'!$B$9,Paramètres!$A$1:$I$89,5,0)</f>
        <v>1.4739833718861972</v>
      </c>
      <c r="P7" s="14">
        <f t="shared" si="33"/>
        <v>0.64928012999728812</v>
      </c>
      <c r="Q7" s="22">
        <f t="shared" si="2"/>
        <v>3.698017265780404</v>
      </c>
      <c r="R7" s="62">
        <f t="shared" si="0"/>
        <v>297.03135059911369</v>
      </c>
      <c r="S7" s="62">
        <f ca="1">AVERAGE(OFFSET($R$3,0,0,'Données projet'!$E$9+1,1))-AVERAGE(OFFSET($H$3,0,0,'Données projet'!$E$9+1,1))</f>
        <v>125.50615549487452</v>
      </c>
      <c r="T7" s="62">
        <f t="shared" si="34"/>
        <v>156.05798578195993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5.4285714285714288</v>
      </c>
      <c r="N8" s="14">
        <f>IF('Données projet'!$A$36&gt;35,N7+M8-V7,IF(A8&lt;'Données projet'!$A$36,$K$205^A8,IF(A8='Données projet'!$A$36,'Données projet'!$B$36,N7+M8-V7)))</f>
        <v>3.0884405811763243</v>
      </c>
      <c r="O8" s="14">
        <f>N8*VLOOKUP('Données projet'!$B$9,Paramètres!$A$1:$I$89,3,0)*VLOOKUP('Données projet'!$B$9,Paramètres!$A$1:$I$89,5,0)</f>
        <v>1.8468874675434421</v>
      </c>
      <c r="P8" s="14">
        <f t="shared" si="33"/>
        <v>0.79246270515496464</v>
      </c>
      <c r="Q8" s="22">
        <f t="shared" si="2"/>
        <v>4.5968682174497255</v>
      </c>
      <c r="R8" s="62">
        <f t="shared" si="0"/>
        <v>297.93020155078307</v>
      </c>
      <c r="S8" s="62">
        <f ca="1">AVERAGE(OFFSET($R$3,0,0,'Données projet'!$E$9+1,1))-AVERAGE(OFFSET($H$3,0,0,'Données projet'!$E$9+1,1))</f>
        <v>125.50615549487452</v>
      </c>
      <c r="T8" s="62">
        <f t="shared" si="34"/>
        <v>156.05798578195993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5.4285714285714288</v>
      </c>
      <c r="N9" s="14">
        <f>IF('Données projet'!$A$36&gt;35,N8+M9-V8,IF(A9&lt;'Données projet'!$A$36,$K$205^A9,IF(A9='Données projet'!$A$36,'Données projet'!$B$36,N8+M9-V8)))</f>
        <v>3.869787347958991</v>
      </c>
      <c r="O9" s="14">
        <f>N9*VLOOKUP('Données projet'!$B$9,Paramètres!$A$1:$I$89,3,0)*VLOOKUP('Données projet'!$B$9,Paramètres!$A$1:$I$89,5,0)</f>
        <v>2.3141328340794769</v>
      </c>
      <c r="P9" s="14">
        <f t="shared" si="33"/>
        <v>0.96722063412620896</v>
      </c>
      <c r="Q9" s="22">
        <f t="shared" si="2"/>
        <v>5.7150239571249024</v>
      </c>
      <c r="R9" s="62">
        <f t="shared" si="0"/>
        <v>299.04835729045823</v>
      </c>
      <c r="S9" s="62">
        <f ca="1">AVERAGE(OFFSET($R$3,0,0,'Données projet'!$E$9+1,1))-AVERAGE(OFFSET($H$3,0,0,'Données projet'!$E$9+1,1))</f>
        <v>125.50615549487452</v>
      </c>
      <c r="T9" s="62">
        <f t="shared" si="34"/>
        <v>156.05798578195993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5.4285714285714288</v>
      </c>
      <c r="N10" s="14">
        <f>IF('Données projet'!$A$36&gt;35,N9+M10-V9,IF(A10&lt;'Données projet'!$A$36,$K$205^A10,IF(A10='Données projet'!$A$36,'Données projet'!$B$36,N9+M10-V9)))</f>
        <v>4.8488075858398778</v>
      </c>
      <c r="O10" s="14">
        <f>N10*VLOOKUP('Données projet'!$B$9,Paramètres!$A$1:$I$89,3,0)*VLOOKUP('Données projet'!$B$9,Paramètres!$A$1:$I$89,5,0)</f>
        <v>2.8995869363322471</v>
      </c>
      <c r="P10" s="14">
        <f t="shared" si="33"/>
        <v>1.180517075433307</v>
      </c>
      <c r="Q10" s="22">
        <f t="shared" si="2"/>
        <v>7.1061811538250064</v>
      </c>
      <c r="R10" s="62">
        <f t="shared" si="0"/>
        <v>300.43951448715831</v>
      </c>
      <c r="S10" s="62">
        <f ca="1">AVERAGE(OFFSET($R$3,0,0,'Données projet'!$E$9+1,1))-AVERAGE(OFFSET($H$3,0,0,'Données projet'!$E$9+1,1))</f>
        <v>125.50615549487452</v>
      </c>
      <c r="T10" s="62">
        <f t="shared" si="34"/>
        <v>156.05798578195993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5.4285714285714288</v>
      </c>
      <c r="N11" s="14">
        <f>IF('Données projet'!$A$36&gt;35,N10+M11-V10,IF(A11&lt;'Données projet'!$A$36,$K$205^A11,IF(A11='Données projet'!$A$36,'Données projet'!$B$36,N10+M11-V10)))</f>
        <v>6.0755108460671661</v>
      </c>
      <c r="O11" s="14">
        <f>N11*VLOOKUP('Données projet'!$B$9,Paramètres!$A$1:$I$89,3,0)*VLOOKUP('Données projet'!$B$9,Paramètres!$A$1:$I$89,5,0)</f>
        <v>3.6331554859481652</v>
      </c>
      <c r="P11" s="14">
        <f t="shared" si="33"/>
        <v>1.4408507389305341</v>
      </c>
      <c r="Q11" s="22">
        <f t="shared" si="2"/>
        <v>8.8372275083304022</v>
      </c>
      <c r="R11" s="62">
        <f t="shared" si="0"/>
        <v>302.1705608416637</v>
      </c>
      <c r="S11" s="62">
        <f ca="1">AVERAGE(OFFSET($R$3,0,0,'Données projet'!$E$9+1,1))-AVERAGE(OFFSET($H$3,0,0,'Données projet'!$E$9+1,1))</f>
        <v>125.50615549487452</v>
      </c>
      <c r="T11" s="62">
        <f t="shared" si="34"/>
        <v>156.05798578195993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5.4285714285714288</v>
      </c>
      <c r="N12" s="14">
        <f>IF('Données projet'!$A$36&gt;35,N11+M12-V11,IF(A12&lt;'Données projet'!$A$36,$K$205^A12,IF(A12='Données projet'!$A$36,'Données projet'!$B$36,N11+M12-V11)))</f>
        <v>7.6125586316261611</v>
      </c>
      <c r="O12" s="14">
        <f>N12*VLOOKUP('Données projet'!$B$9,Paramètres!$A$1:$I$89,3,0)*VLOOKUP('Données projet'!$B$9,Paramètres!$A$1:$I$89,5,0)</f>
        <v>4.5523100617124452</v>
      </c>
      <c r="P12" s="14">
        <f t="shared" si="33"/>
        <v>1.7585945134378136</v>
      </c>
      <c r="Q12" s="22">
        <f t="shared" si="2"/>
        <v>10.991492135053365</v>
      </c>
      <c r="R12" s="62">
        <f t="shared" si="0"/>
        <v>304.32482546838668</v>
      </c>
      <c r="S12" s="62">
        <f ca="1">AVERAGE(OFFSET($R$3,0,0,'Données projet'!$E$9+1,1))-AVERAGE(OFFSET($H$3,0,0,'Données projet'!$E$9+1,1))</f>
        <v>125.50615549487452</v>
      </c>
      <c r="T12" s="62">
        <f t="shared" si="34"/>
        <v>156.05798578195993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5.4285714285714288</v>
      </c>
      <c r="N13" s="14">
        <f>IF('Données projet'!$A$36&gt;35,N12+M13-V12,IF(A13&lt;'Données projet'!$A$36,$K$205^A13,IF(A13='Données projet'!$A$36,'Données projet'!$B$36,N12+M13-V12)))</f>
        <v>9.5384652234567522</v>
      </c>
      <c r="O13" s="14">
        <f>N13*VLOOKUP('Données projet'!$B$9,Paramètres!$A$1:$I$89,3,0)*VLOOKUP('Données projet'!$B$9,Paramètres!$A$1:$I$89,5,0)</f>
        <v>5.7040022036271392</v>
      </c>
      <c r="P13" s="14">
        <f t="shared" si="33"/>
        <v>2.1464087702721311</v>
      </c>
      <c r="Q13" s="22">
        <f t="shared" si="2"/>
        <v>13.672799112874564</v>
      </c>
      <c r="R13" s="62">
        <f t="shared" si="0"/>
        <v>307.00613244620786</v>
      </c>
      <c r="S13" s="62">
        <f ca="1">AVERAGE(OFFSET($R$3,0,0,'Données projet'!$E$9+1,1))-AVERAGE(OFFSET($H$3,0,0,'Données projet'!$E$9+1,1))</f>
        <v>125.50615549487452</v>
      </c>
      <c r="T13" s="62">
        <f t="shared" si="34"/>
        <v>156.05798578195993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5.4285714285714288</v>
      </c>
      <c r="N14" s="14">
        <f>IF('Données projet'!$A$36&gt;35,N13+M14-V13,IF(A14&lt;'Données projet'!$A$36,$K$205^A14,IF(A14='Données projet'!$A$36,'Données projet'!$B$36,N13+M14-V13)))</f>
        <v>11.951608285959255</v>
      </c>
      <c r="O14" s="14">
        <f>N14*VLOOKUP('Données projet'!$B$9,Paramètres!$A$1:$I$89,3,0)*VLOOKUP('Données projet'!$B$9,Paramètres!$A$1:$I$89,5,0)</f>
        <v>7.1470617550036346</v>
      </c>
      <c r="P14" s="14">
        <f t="shared" si="33"/>
        <v>2.6197458105876406</v>
      </c>
      <c r="Q14" s="22">
        <f t="shared" si="2"/>
        <v>17.010523176738136</v>
      </c>
      <c r="R14" s="62">
        <f t="shared" si="0"/>
        <v>310.34385651007148</v>
      </c>
      <c r="S14" s="62">
        <f ca="1">AVERAGE(OFFSET($R$3,0,0,'Données projet'!$E$9+1,1))-AVERAGE(OFFSET($H$3,0,0,'Données projet'!$E$9+1,1))</f>
        <v>125.50615549487452</v>
      </c>
      <c r="T14" s="62">
        <f t="shared" si="34"/>
        <v>156.05798578195993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5.4285714285714288</v>
      </c>
      <c r="N15" s="14">
        <f>IF('Données projet'!$A$36&gt;35,N14+M15-V14,IF(A15&lt;'Données projet'!$A$36,$K$205^A15,IF(A15='Données projet'!$A$36,'Données projet'!$B$36,N14+M15-V14)))</f>
        <v>14.975254118423482</v>
      </c>
      <c r="O15" s="14">
        <f>N15*VLOOKUP('Données projet'!$B$9,Paramètres!$A$1:$I$89,3,0)*VLOOKUP('Données projet'!$B$9,Paramètres!$A$1:$I$89,5,0)</f>
        <v>8.9552019628172435</v>
      </c>
      <c r="P15" s="14">
        <f t="shared" si="33"/>
        <v>3.1974655560233125</v>
      </c>
      <c r="Q15" s="22">
        <f t="shared" si="2"/>
        <v>21.165895928647302</v>
      </c>
      <c r="R15" s="62">
        <f t="shared" si="0"/>
        <v>314.49922926198064</v>
      </c>
      <c r="S15" s="62">
        <f ca="1">AVERAGE(OFFSET($R$3,0,0,'Données projet'!$E$9+1,1))-AVERAGE(OFFSET($H$3,0,0,'Données projet'!$E$9+1,1))</f>
        <v>125.50615549487452</v>
      </c>
      <c r="T15" s="62">
        <f t="shared" si="34"/>
        <v>156.05798578195993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5.4285714285714288</v>
      </c>
      <c r="N16" s="14">
        <f>IF('Données projet'!$A$36&gt;35,N15+M16-V15,IF(A16&lt;'Données projet'!$A$36,$K$205^A16,IF(A16='Données projet'!$A$36,'Données projet'!$B$36,N15+M16-V15)))</f>
        <v>18.763854248370741</v>
      </c>
      <c r="O16" s="14">
        <f>N16*VLOOKUP('Données projet'!$B$9,Paramètres!$A$1:$I$89,3,0)*VLOOKUP('Données projet'!$B$9,Paramètres!$A$1:$I$89,5,0)</f>
        <v>11.220784840525702</v>
      </c>
      <c r="P16" s="14">
        <f t="shared" si="33"/>
        <v>3.9025870146012931</v>
      </c>
      <c r="Q16" s="22">
        <f t="shared" si="2"/>
        <v>26.339872647679513</v>
      </c>
      <c r="R16" s="62">
        <f t="shared" si="0"/>
        <v>319.67320598101281</v>
      </c>
      <c r="S16" s="62">
        <f ca="1">AVERAGE(OFFSET($R$3,0,0,'Données projet'!$E$9+1,1))-AVERAGE(OFFSET($H$3,0,0,'Données projet'!$E$9+1,1))</f>
        <v>125.50615549487452</v>
      </c>
      <c r="T16" s="62">
        <f t="shared" si="34"/>
        <v>156.05798578195993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5.4285714285714288</v>
      </c>
      <c r="N17" s="14">
        <f>IF('Données projet'!$A$36&gt;35,N16+M17-V16,IF(A17&lt;'Données projet'!$A$36,$K$205^A17,IF(A17='Données projet'!$A$36,'Données projet'!$B$36,N16+M17-V16)))</f>
        <v>23.510935004498343</v>
      </c>
      <c r="O17" s="14">
        <f>N17*VLOOKUP('Données projet'!$B$9,Paramètres!$A$1:$I$89,3,0)*VLOOKUP('Données projet'!$B$9,Paramètres!$A$1:$I$89,5,0)</f>
        <v>14.059539132690011</v>
      </c>
      <c r="P17" s="14">
        <f t="shared" si="33"/>
        <v>4.7632054637287231</v>
      </c>
      <c r="Q17" s="22">
        <f t="shared" si="2"/>
        <v>32.782946838762619</v>
      </c>
      <c r="R17" s="62">
        <f t="shared" si="0"/>
        <v>326.11628017209591</v>
      </c>
      <c r="S17" s="62">
        <f ca="1">AVERAGE(OFFSET($R$3,0,0,'Données projet'!$E$9+1,1))-AVERAGE(OFFSET($H$3,0,0,'Données projet'!$E$9+1,1))</f>
        <v>125.50615549487452</v>
      </c>
      <c r="T17" s="62">
        <f t="shared" si="34"/>
        <v>156.05798578195993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5.4285714285714288</v>
      </c>
      <c r="N18" s="14">
        <f>IF('Données projet'!$A$36&gt;35,N17+M18-V17,IF(A18&lt;'Données projet'!$A$36,$K$205^A18,IF(A18='Données projet'!$A$36,'Données projet'!$B$36,N17+M18-V17)))</f>
        <v>29.458983078262929</v>
      </c>
      <c r="O18" s="14">
        <f>N18*VLOOKUP('Données projet'!$B$9,Paramètres!$A$1:$I$89,3,0)*VLOOKUP('Données projet'!$B$9,Paramètres!$A$1:$I$89,5,0)</f>
        <v>17.616471880801232</v>
      </c>
      <c r="P18" s="14">
        <f t="shared" si="33"/>
        <v>5.8136118950862361</v>
      </c>
      <c r="Q18" s="22">
        <f t="shared" si="2"/>
        <v>40.807395909670674</v>
      </c>
      <c r="R18" s="62">
        <f t="shared" si="0"/>
        <v>334.14072924300399</v>
      </c>
      <c r="S18" s="62">
        <f ca="1">AVERAGE(OFFSET($R$3,0,0,'Données projet'!$E$9+1,1))-AVERAGE(OFFSET($H$3,0,0,'Données projet'!$E$9+1,1))</f>
        <v>125.50615549487452</v>
      </c>
      <c r="T18" s="62">
        <f t="shared" si="34"/>
        <v>156.05798578195993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5.4285714285714288</v>
      </c>
      <c r="N19" s="14">
        <f>IF('Données projet'!$A$36&gt;35,N18+M19-V18,IF(A19&lt;'Données projet'!$A$36,$K$205^A19,IF(A19='Données projet'!$A$36,'Données projet'!$B$36,N18+M19-V18)))</f>
        <v>36.911832040679769</v>
      </c>
      <c r="O19" s="14">
        <f>N19*VLOOKUP('Données projet'!$B$9,Paramètres!$A$1:$I$89,3,0)*VLOOKUP('Données projet'!$B$9,Paramètres!$A$1:$I$89,5,0)</f>
        <v>22.073275560326504</v>
      </c>
      <c r="P19" s="14">
        <f t="shared" si="33"/>
        <v>7.0956593252289464</v>
      </c>
      <c r="Q19" s="22">
        <f t="shared" si="2"/>
        <v>50.802561592342414</v>
      </c>
      <c r="R19" s="62">
        <f t="shared" si="0"/>
        <v>344.13589492567576</v>
      </c>
      <c r="S19" s="62">
        <f ca="1">AVERAGE(OFFSET($R$3,0,0,'Données projet'!$E$9+1,1))-AVERAGE(OFFSET($H$3,0,0,'Données projet'!$E$9+1,1))</f>
        <v>125.50615549487452</v>
      </c>
      <c r="T19" s="62">
        <f t="shared" si="34"/>
        <v>156.05798578195993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5.4285714285714288</v>
      </c>
      <c r="N20" s="14">
        <f>IF('Données projet'!$A$36&gt;35,N19+M20-V19,IF(A20&lt;'Données projet'!$A$36,$K$205^A20,IF(A20='Données projet'!$A$36,'Données projet'!$B$36,N19+M20-V19)))</f>
        <v>46.250182532766964</v>
      </c>
      <c r="O20" s="14">
        <f>N20*VLOOKUP('Données projet'!$B$9,Paramètres!$A$1:$I$89,3,0)*VLOOKUP('Données projet'!$B$9,Paramètres!$A$1:$I$89,5,0)</f>
        <v>27.657609154594645</v>
      </c>
      <c r="P20" s="14">
        <f t="shared" si="33"/>
        <v>8.660430411989454</v>
      </c>
      <c r="Q20" s="22">
        <f t="shared" si="2"/>
        <v>63.253918911800632</v>
      </c>
      <c r="R20" s="62">
        <f t="shared" si="0"/>
        <v>356.58725224513393</v>
      </c>
      <c r="S20" s="62">
        <f ca="1">AVERAGE(OFFSET($R$3,0,0,'Données projet'!$E$9+1,1))-AVERAGE(OFFSET($H$3,0,0,'Données projet'!$E$9+1,1))</f>
        <v>125.50615549487452</v>
      </c>
      <c r="T20" s="62">
        <f t="shared" si="34"/>
        <v>156.05798578195993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5.4285714285714288</v>
      </c>
      <c r="N21" s="14">
        <f>IF('Données projet'!$A$36&gt;35,N20+M21-V20,IF(A21&lt;'Données projet'!$A$36,$K$205^A21,IF(A21='Données projet'!$A$36,'Données projet'!$B$36,N20+M21-V20)))</f>
        <v>57.951048919945968</v>
      </c>
      <c r="O21" s="14">
        <f>N21*VLOOKUP('Données projet'!$B$9,Paramètres!$A$1:$I$89,3,0)*VLOOKUP('Données projet'!$B$9,Paramètres!$A$1:$I$89,5,0)</f>
        <v>34.654727254127693</v>
      </c>
      <c r="P21" s="14">
        <f t="shared" si="33"/>
        <v>10.57027282217947</v>
      </c>
      <c r="Q21" s="22">
        <f t="shared" si="2"/>
        <v>78.766875132901632</v>
      </c>
      <c r="R21" s="62">
        <f t="shared" si="0"/>
        <v>372.10020846623496</v>
      </c>
      <c r="S21" s="62">
        <f ca="1">AVERAGE(OFFSET($R$3,0,0,'Données projet'!$E$9+1,1))-AVERAGE(OFFSET($H$3,0,0,'Données projet'!$E$9+1,1))</f>
        <v>125.50615549487452</v>
      </c>
      <c r="T21" s="62">
        <f t="shared" si="34"/>
        <v>156.05798578195993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5.4285714285714288</v>
      </c>
      <c r="N22" s="14">
        <f>IF('Données projet'!$A$36&gt;35,N21+M22-V21,IF(A22&lt;'Données projet'!$A$36,$K$205^A22,IF(A22='Données projet'!$A$36,'Données projet'!$B$36,N21+M22-V21)))</f>
        <v>72.612125769291652</v>
      </c>
      <c r="O22" s="14">
        <f>N22*VLOOKUP('Données projet'!$B$9,Paramètres!$A$1:$I$89,3,0)*VLOOKUP('Données projet'!$B$9,Paramètres!$A$1:$I$89,5,0)</f>
        <v>43.422051210036408</v>
      </c>
      <c r="P22" s="14">
        <f t="shared" si="33"/>
        <v>12.901283448987318</v>
      </c>
      <c r="Q22" s="22">
        <f t="shared" si="2"/>
        <v>98.096474531132984</v>
      </c>
      <c r="R22" s="62">
        <f t="shared" si="0"/>
        <v>391.42980786446628</v>
      </c>
      <c r="S22" s="62">
        <f ca="1">AVERAGE(OFFSET($R$3,0,0,'Données projet'!$E$9+1,1))-AVERAGE(OFFSET($H$3,0,0,'Données projet'!$E$9+1,1))</f>
        <v>125.50615549487452</v>
      </c>
      <c r="T22" s="62">
        <f t="shared" si="34"/>
        <v>156.05798578195993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5.4285714285714288</v>
      </c>
      <c r="N23" s="14">
        <f>IF('Données projet'!$A$36&gt;35,N22+M23-V22,IF(A23&lt;'Données projet'!$A$36,$K$205^A23,IF(A23='Données projet'!$A$36,'Données projet'!$B$36,N22+M23-V22)))</f>
        <v>90.982318819093862</v>
      </c>
      <c r="O23" s="14">
        <f>N23*VLOOKUP('Données projet'!$B$9,Paramètres!$A$1:$I$89,3,0)*VLOOKUP('Données projet'!$B$9,Paramètres!$A$1:$I$89,5,0)</f>
        <v>54.407426653818135</v>
      </c>
      <c r="P23" s="14">
        <f t="shared" si="33"/>
        <v>15.746340461702045</v>
      </c>
      <c r="Q23" s="22">
        <f t="shared" si="2"/>
        <v>122.18447772619766</v>
      </c>
      <c r="R23" s="62">
        <f t="shared" si="0"/>
        <v>415.51781105953097</v>
      </c>
      <c r="S23" s="62">
        <f ca="1">AVERAGE(OFFSET($R$3,0,0,'Données projet'!$E$9+1,1))-AVERAGE(OFFSET($H$3,0,0,'Données projet'!$E$9+1,1))</f>
        <v>125.50615549487452</v>
      </c>
      <c r="T23" s="62">
        <f t="shared" si="34"/>
        <v>156.05798578195993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>
        <f>VLOOKUP(A24,'Données projet'!$A$35:$I$55,2,0)</f>
        <v>114</v>
      </c>
      <c r="L24" s="13">
        <f>VLOOKUP(A24,'Données projet'!$A$35:$I$55,9,0)</f>
        <v>5.4285714285714288</v>
      </c>
      <c r="M24" s="13">
        <f t="array" ref="M24">INDEX(L:L,MIN(IF(ISNUMBER(L24:L220),ROW(L24:L220),"")))</f>
        <v>5.4285714285714288</v>
      </c>
      <c r="N24" s="14">
        <f>IF('Données projet'!$A$36&gt;35,N23+M24-V23,IF(A24&lt;'Données projet'!$A$36,$K$205^A24,IF(A24='Données projet'!$A$36,'Données projet'!$B$36,N23+M24-V23)))</f>
        <v>114</v>
      </c>
      <c r="O24" s="14">
        <f>N24*VLOOKUP('Données projet'!$B$9,Paramètres!$A$1:$I$89,3,0)*VLOOKUP('Données projet'!$B$9,Paramètres!$A$1:$I$89,5,0)</f>
        <v>68.172000000000011</v>
      </c>
      <c r="P24" s="14">
        <f t="shared" si="33"/>
        <v>19.21880399855084</v>
      </c>
      <c r="Q24" s="22">
        <f t="shared" si="2"/>
        <v>152.20565029747607</v>
      </c>
      <c r="R24" s="62">
        <f t="shared" si="0"/>
        <v>445.53898363080941</v>
      </c>
      <c r="S24" s="62">
        <f ca="1">AVERAGE(OFFSET($R$3,0,0,'Données projet'!$E$9+1,1))-AVERAGE(OFFSET($H$3,0,0,'Données projet'!$E$9+1,1))</f>
        <v>125.50615549487452</v>
      </c>
      <c r="T24" s="62">
        <f t="shared" si="34"/>
        <v>156.05798578195993</v>
      </c>
      <c r="U24" s="16">
        <f>IF(ISNA(VLOOKUP(A24,'Données projet'!$A$35:$I$55,3,0)),0,VLOOKUP(A24,'Données projet'!$A$35:$I$55,3,0))</f>
        <v>1</v>
      </c>
      <c r="V24" s="16">
        <f>IF(ISNA(VLOOKUP(A24,'Données projet'!$A$35:$I$55,4,0)),0,VLOOKUP(A24,'Données projet'!$A$35:$I$55,4,0))</f>
        <v>30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1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20.3122474176248</v>
      </c>
      <c r="AC24" s="24">
        <f t="shared" si="3"/>
        <v>20.3122474176248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11.714285714285714</v>
      </c>
      <c r="N25" s="14">
        <f>IF('Données projet'!$A$36&gt;35,N24+M25-V24,IF(A25&lt;'Données projet'!$A$36,$K$205^A25,IF(A25='Données projet'!$A$36,'Données projet'!$B$36,N24+M25-V24)))</f>
        <v>95.714285714285708</v>
      </c>
      <c r="O25" s="14">
        <f>N25*VLOOKUP('Données projet'!$B$9,Paramètres!$A$1:$I$89,3,0)*VLOOKUP('Données projet'!$B$9,Paramètres!$A$1:$I$89,5,0)</f>
        <v>57.237142857142857</v>
      </c>
      <c r="P25" s="14">
        <f t="shared" si="33"/>
        <v>16.467827098972535</v>
      </c>
      <c r="Q25" s="22">
        <f t="shared" si="2"/>
        <v>128.36948934023431</v>
      </c>
      <c r="R25" s="62">
        <f t="shared" si="0"/>
        <v>421.70282267356765</v>
      </c>
      <c r="S25" s="62">
        <f ca="1">AVERAGE(OFFSET($R$3,0,0,'Données projet'!$E$9+1,1))-AVERAGE(OFFSET($H$3,0,0,'Données projet'!$E$9+1,1))</f>
        <v>125.50615549487452</v>
      </c>
      <c r="T25" s="62">
        <f t="shared" si="34"/>
        <v>156.05798578195993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14.362927890141435</v>
      </c>
      <c r="AC25" s="24">
        <f t="shared" si="3"/>
        <v>14.362927890141435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11.714285714285714</v>
      </c>
      <c r="N26" s="14">
        <f>IF('Données projet'!$A$36&gt;35,N25+M26-V25,IF(A26&lt;'Données projet'!$A$36,$K$205^A26,IF(A26='Données projet'!$A$36,'Données projet'!$B$36,N25+M26-V25)))</f>
        <v>107.42857142857142</v>
      </c>
      <c r="O26" s="14">
        <f>N26*VLOOKUP('Données projet'!$B$9,Paramètres!$A$1:$I$89,3,0)*VLOOKUP('Données projet'!$B$9,Paramètres!$A$1:$I$89,5,0)</f>
        <v>64.242285714285714</v>
      </c>
      <c r="P26" s="14">
        <f t="shared" si="33"/>
        <v>18.236550215186625</v>
      </c>
      <c r="Q26" s="22">
        <f t="shared" si="2"/>
        <v>143.65063924383099</v>
      </c>
      <c r="R26" s="62">
        <f t="shared" si="0"/>
        <v>436.98397257716431</v>
      </c>
      <c r="S26" s="62">
        <f ca="1">AVERAGE(OFFSET($R$3,0,0,'Données projet'!$E$9+1,1))-AVERAGE(OFFSET($H$3,0,0,'Données projet'!$E$9+1,1))</f>
        <v>125.50615549487452</v>
      </c>
      <c r="T26" s="62">
        <f t="shared" si="34"/>
        <v>156.05798578195993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10.156123708812402</v>
      </c>
      <c r="AC26" s="24">
        <f t="shared" si="3"/>
        <v>10.156123708812402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11.714285714285714</v>
      </c>
      <c r="N27" s="14">
        <f>IF('Données projet'!$A$36&gt;35,N26+M27-V26,IF(A27&lt;'Données projet'!$A$36,$K$205^A27,IF(A27='Données projet'!$A$36,'Données projet'!$B$36,N26+M27-V26)))</f>
        <v>119.14285714285712</v>
      </c>
      <c r="O27" s="14">
        <f>N27*VLOOKUP('Données projet'!$B$9,Paramètres!$A$1:$I$89,3,0)*VLOOKUP('Données projet'!$B$9,Paramètres!$A$1:$I$89,5,0)</f>
        <v>71.247428571428571</v>
      </c>
      <c r="P27" s="14">
        <f t="shared" si="33"/>
        <v>19.98291887321972</v>
      </c>
      <c r="Q27" s="22">
        <f t="shared" si="2"/>
        <v>158.89285513276243</v>
      </c>
      <c r="R27" s="62">
        <f t="shared" si="0"/>
        <v>452.22618846609578</v>
      </c>
      <c r="S27" s="62">
        <f ca="1">AVERAGE(OFFSET($R$3,0,0,'Données projet'!$E$9+1,1))-AVERAGE(OFFSET($H$3,0,0,'Données projet'!$E$9+1,1))</f>
        <v>125.50615549487452</v>
      </c>
      <c r="T27" s="62">
        <f t="shared" si="34"/>
        <v>156.05798578195993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7.1814639450707185</v>
      </c>
      <c r="AC27" s="24">
        <f t="shared" si="3"/>
        <v>7.1814639450707185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11.714285714285714</v>
      </c>
      <c r="N28" s="14">
        <f>IF('Données projet'!$A$36&gt;35,N27+M28-V27,IF(A28&lt;'Données projet'!$A$36,$K$205^A28,IF(A28='Données projet'!$A$36,'Données projet'!$B$36,N27+M28-V27)))</f>
        <v>130.85714285714283</v>
      </c>
      <c r="O28" s="14">
        <f>N28*VLOOKUP('Données projet'!$B$9,Paramètres!$A$1:$I$89,3,0)*VLOOKUP('Données projet'!$B$9,Paramètres!$A$1:$I$89,5,0)</f>
        <v>78.252571428571414</v>
      </c>
      <c r="P28" s="14">
        <f t="shared" si="33"/>
        <v>21.709381141666423</v>
      </c>
      <c r="Q28" s="22">
        <f t="shared" si="2"/>
        <v>174.10040072649755</v>
      </c>
      <c r="R28" s="62">
        <f t="shared" si="0"/>
        <v>467.43373405983084</v>
      </c>
      <c r="S28" s="62">
        <f ca="1">AVERAGE(OFFSET($R$3,0,0,'Données projet'!$E$9+1,1))-AVERAGE(OFFSET($H$3,0,0,'Données projet'!$E$9+1,1))</f>
        <v>125.50615549487452</v>
      </c>
      <c r="T28" s="62">
        <f t="shared" si="34"/>
        <v>156.05798578195993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5.0780618544062008</v>
      </c>
      <c r="AC28" s="24">
        <f t="shared" si="3"/>
        <v>5.0780618544062008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11.714285714285714</v>
      </c>
      <c r="N29" s="14">
        <f>IF('Données projet'!$A$36&gt;35,N28+M29-V28,IF(A29&lt;'Données projet'!$A$36,$K$205^A29,IF(A29='Données projet'!$A$36,'Données projet'!$B$36,N28+M29-V28)))</f>
        <v>142.57142857142856</v>
      </c>
      <c r="O29" s="14">
        <f>N29*VLOOKUP('Données projet'!$B$9,Paramètres!$A$1:$I$89,3,0)*VLOOKUP('Données projet'!$B$9,Paramètres!$A$1:$I$89,5,0)</f>
        <v>85.257714285714286</v>
      </c>
      <c r="P29" s="14">
        <f t="shared" si="33"/>
        <v>23.417921678610391</v>
      </c>
      <c r="Q29" s="22">
        <f t="shared" si="2"/>
        <v>189.27673263786542</v>
      </c>
      <c r="R29" s="62">
        <f t="shared" si="0"/>
        <v>482.61006597119876</v>
      </c>
      <c r="S29" s="62">
        <f ca="1">AVERAGE(OFFSET($R$3,0,0,'Données projet'!$E$9+1,1))-AVERAGE(OFFSET($H$3,0,0,'Données projet'!$E$9+1,1))</f>
        <v>125.50615549487452</v>
      </c>
      <c r="T29" s="62">
        <f t="shared" si="34"/>
        <v>156.05798578195993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3.5907319725353593</v>
      </c>
      <c r="AC29" s="24">
        <f t="shared" si="3"/>
        <v>3.5907319725353593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11.714285714285714</v>
      </c>
      <c r="N30" s="14">
        <f>IF('Données projet'!$A$36&gt;35,N29+M30-V29,IF(A30&lt;'Données projet'!$A$36,$K$205^A30,IF(A30='Données projet'!$A$36,'Données projet'!$B$36,N29+M30-V29)))</f>
        <v>154.28571428571428</v>
      </c>
      <c r="O30" s="14">
        <f>N30*VLOOKUP('Données projet'!$B$9,Paramètres!$A$1:$I$89,3,0)*VLOOKUP('Données projet'!$B$9,Paramètres!$A$1:$I$89,5,0)</f>
        <v>92.262857142857158</v>
      </c>
      <c r="P30" s="14">
        <f t="shared" si="33"/>
        <v>25.110180422624538</v>
      </c>
      <c r="Q30" s="22">
        <f t="shared" si="2"/>
        <v>204.42470709321393</v>
      </c>
      <c r="R30" s="62">
        <f t="shared" si="0"/>
        <v>497.75804042654727</v>
      </c>
      <c r="S30" s="62">
        <f ca="1">AVERAGE(OFFSET($R$3,0,0,'Données projet'!$E$9+1,1))-AVERAGE(OFFSET($H$3,0,0,'Données projet'!$E$9+1,1))</f>
        <v>125.50615549487452</v>
      </c>
      <c r="T30" s="62">
        <f t="shared" si="34"/>
        <v>156.05798578195993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2.5390309272031004</v>
      </c>
      <c r="AC30" s="24">
        <f t="shared" si="3"/>
        <v>2.5390309272031004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>
        <f>VLOOKUP(A31,'Données projet'!$A$35:$I$55,2,0)</f>
        <v>166</v>
      </c>
      <c r="L31" s="13">
        <f>VLOOKUP(A31,'Données projet'!$A$35:$I$55,9,0)</f>
        <v>11.714285714285714</v>
      </c>
      <c r="M31" s="13">
        <f t="array" ref="M31">INDEX(L:L,MIN(IF(ISNUMBER(L31:L227),ROW(L31:L227),"")))</f>
        <v>11.714285714285714</v>
      </c>
      <c r="N31" s="14">
        <f>IF('Données projet'!$A$36&gt;35,N30+M31-V30,IF(A31&lt;'Données projet'!$A$36,$K$205^A31,IF(A31='Données projet'!$A$36,'Données projet'!$B$36,N30+M31-V30)))</f>
        <v>166</v>
      </c>
      <c r="O31" s="14">
        <f>N31*VLOOKUP('Données projet'!$B$9,Paramètres!$A$1:$I$89,3,0)*VLOOKUP('Données projet'!$B$9,Paramètres!$A$1:$I$89,5,0)</f>
        <v>99.268000000000001</v>
      </c>
      <c r="P31" s="14">
        <f t="shared" si="33"/>
        <v>26.78753414535981</v>
      </c>
      <c r="Q31" s="22">
        <f t="shared" si="2"/>
        <v>219.54672196983498</v>
      </c>
      <c r="R31" s="62">
        <f t="shared" si="0"/>
        <v>512.88005530316832</v>
      </c>
      <c r="S31" s="62">
        <f ca="1">AVERAGE(OFFSET($R$3,0,0,'Données projet'!$E$9+1,1))-AVERAGE(OFFSET($H$3,0,0,'Données projet'!$E$9+1,1))</f>
        <v>125.50615549487452</v>
      </c>
      <c r="T31" s="62">
        <f t="shared" si="34"/>
        <v>156.05798578195993</v>
      </c>
      <c r="U31" s="16">
        <f>IF(ISNA(VLOOKUP(A31,'Données projet'!$A$35:$I$55,3,0)),0,VLOOKUP(A31,'Données projet'!$A$35:$I$55,3,0))</f>
        <v>2</v>
      </c>
      <c r="V31" s="16">
        <f>IF(ISNA(VLOOKUP(A31,'Données projet'!$A$35:$I$55,4,0)),0,VLOOKUP(A31,'Données projet'!$A$35:$I$55,4,0))</f>
        <v>38</v>
      </c>
      <c r="W31" s="17">
        <f>IF(ISNA(VLOOKUP(A31,'Données projet'!$A$35:$I$55,5,0)),0%,VLOOKUP(A31,'Données projet'!$A$35:$I$55,5,0)*VLOOKUP('Données projet'!$B$9,Paramètres!$A$1:$I$89,7,0))</f>
        <v>0.13500000000000001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0.7</v>
      </c>
      <c r="Z31" s="23">
        <f>EXP(-LN(2)/35)*Z30+(1-EXP(-LN(2)/35))/(LN(2)/35)*V31*W31*VLOOKUP('Données projet'!$B$9,Paramètres!$A$1:$I$89,3,0)*0.475*44/12</f>
        <v>4.0695548425300956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19.805558696561668</v>
      </c>
      <c r="AC31" s="24">
        <f t="shared" si="3"/>
        <v>23.875113539091764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10.5</v>
      </c>
      <c r="N32" s="14">
        <f>IF('Données projet'!$A$36&gt;35,N31+M32-V31,IF(A32&lt;'Données projet'!$A$36,$K$205^A32,IF(A32='Données projet'!$A$36,'Données projet'!$B$36,N31+M32-V31)))</f>
        <v>138.5</v>
      </c>
      <c r="O32" s="14">
        <f>N32*VLOOKUP('Données projet'!$B$9,Paramètres!$A$1:$I$89,3,0)*VLOOKUP('Données projet'!$B$9,Paramètres!$A$1:$I$89,5,0)</f>
        <v>82.823000000000008</v>
      </c>
      <c r="P32" s="14">
        <f t="shared" si="33"/>
        <v>22.826023014899445</v>
      </c>
      <c r="Q32" s="22">
        <f t="shared" si="2"/>
        <v>184.00538175094985</v>
      </c>
      <c r="R32" s="62">
        <f t="shared" si="0"/>
        <v>477.33871508428319</v>
      </c>
      <c r="S32" s="62">
        <f ca="1">AVERAGE(OFFSET($R$3,0,0,'Données projet'!$E$9+1,1))-AVERAGE(OFFSET($H$3,0,0,'Données projet'!$E$9+1,1))</f>
        <v>125.50615549487452</v>
      </c>
      <c r="T32" s="62">
        <f t="shared" si="34"/>
        <v>156.05798578195993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3.9897533542514392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14.004644859526955</v>
      </c>
      <c r="AC32" s="24">
        <f t="shared" si="3"/>
        <v>17.994398213778396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149</v>
      </c>
      <c r="L33" s="13">
        <f>VLOOKUP(A33,'Données projet'!$A$35:$I$55,9,0)</f>
        <v>10.5</v>
      </c>
      <c r="M33" s="13">
        <f t="array" ref="M33">INDEX(L:L,MIN(IF(ISNUMBER(L33:L229),ROW(L33:L229),"")))</f>
        <v>10.5</v>
      </c>
      <c r="N33" s="14">
        <f>IF('Données projet'!$A$36&gt;35,N32+M33-V32,IF(A33&lt;'Données projet'!$A$36,$K$205^A33,IF(A33='Données projet'!$A$36,'Données projet'!$B$36,N32+M33-V32)))</f>
        <v>149</v>
      </c>
      <c r="O33" s="14">
        <f>N33*VLOOKUP('Données projet'!$B$9,Paramètres!$A$1:$I$89,3,0)*VLOOKUP('Données projet'!$B$9,Paramètres!$A$1:$I$89,5,0)</f>
        <v>89.102000000000018</v>
      </c>
      <c r="P33" s="14">
        <f t="shared" si="33"/>
        <v>24.348522781128082</v>
      </c>
      <c r="Q33" s="22">
        <f t="shared" si="2"/>
        <v>197.5929938437981</v>
      </c>
      <c r="R33" s="62">
        <f t="shared" si="0"/>
        <v>490.92632717713138</v>
      </c>
      <c r="S33" s="62">
        <f ca="1">AVERAGE(OFFSET($R$3,0,0,'Données projet'!$E$9+1,1))-AVERAGE(OFFSET($H$3,0,0,'Données projet'!$E$9+1,1))</f>
        <v>125.50615549487452</v>
      </c>
      <c r="T33" s="62">
        <f t="shared" si="34"/>
        <v>156.05798578195993</v>
      </c>
      <c r="U33" s="16">
        <f>IF(ISNA(VLOOKUP(A33,'Données projet'!$A$35:$I$55,3,0)),0,VLOOKUP(A33,'Données projet'!$A$35:$I$55,3,0))</f>
        <v>3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3.9115167244838256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9.9027793482808342</v>
      </c>
      <c r="AC33" s="24">
        <f t="shared" si="3"/>
        <v>13.814296072764659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10.5</v>
      </c>
      <c r="N34" s="14">
        <f>IF('Données projet'!$A$36&gt;35,N33+M34-V33,IF(A34&lt;'Données projet'!$A$36,$K$205^A34,IF(A34='Données projet'!$A$36,'Données projet'!$B$36,N33+M34-V33)))</f>
        <v>159.5</v>
      </c>
      <c r="O34" s="14">
        <f>N34*VLOOKUP('Données projet'!$B$9,Paramètres!$A$1:$I$89,3,0)*VLOOKUP('Données projet'!$B$9,Paramètres!$A$1:$I$89,5,0)</f>
        <v>95.381000000000014</v>
      </c>
      <c r="P34" s="14">
        <f t="shared" si="33"/>
        <v>25.858574171052403</v>
      </c>
      <c r="Q34" s="22">
        <f t="shared" si="2"/>
        <v>211.15892501458293</v>
      </c>
      <c r="R34" s="62">
        <f t="shared" si="0"/>
        <v>504.49225834791628</v>
      </c>
      <c r="S34" s="62">
        <f ca="1">AVERAGE(OFFSET($R$3,0,0,'Données projet'!$E$9+1,1))-AVERAGE(OFFSET($H$3,0,0,'Données projet'!$E$9+1,1))</f>
        <v>125.50615549487452</v>
      </c>
      <c r="T34" s="62">
        <f t="shared" si="34"/>
        <v>156.05798578195993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3.8348142673063226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7.0023224297634776</v>
      </c>
      <c r="AC34" s="24">
        <f t="shared" si="3"/>
        <v>10.8371366970698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10.5</v>
      </c>
      <c r="N35" s="14">
        <f>IF('Données projet'!$A$36&gt;35,N34+M35-V34,IF(A35&lt;'Données projet'!$A$36,$K$205^A35,IF(A35='Données projet'!$A$36,'Données projet'!$B$36,N34+M35-V34)))</f>
        <v>170</v>
      </c>
      <c r="O35" s="14">
        <f>N35*VLOOKUP('Données projet'!$B$9,Paramètres!$A$1:$I$89,3,0)*VLOOKUP('Données projet'!$B$9,Paramètres!$A$1:$I$89,5,0)</f>
        <v>101.66000000000001</v>
      </c>
      <c r="P35" s="14">
        <f t="shared" si="33"/>
        <v>27.35708992370477</v>
      </c>
      <c r="Q35" s="22">
        <f t="shared" ref="Q35:Q66" si="53">(O35+P35)*0.475*44/12</f>
        <v>224.7047649504525</v>
      </c>
      <c r="R35" s="62">
        <f t="shared" si="0"/>
        <v>518.03809828378576</v>
      </c>
      <c r="S35" s="62">
        <f ca="1">AVERAGE(OFFSET($R$3,0,0,'Données projet'!$E$9+1,1))-AVERAGE(OFFSET($H$3,0,0,'Données projet'!$E$9+1,1))</f>
        <v>125.50615549487452</v>
      </c>
      <c r="T35" s="62">
        <f t="shared" si="34"/>
        <v>156.05798578195993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3.7596158985301908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4.9513896741404171</v>
      </c>
      <c r="AC35" s="24">
        <f t="shared" si="3"/>
        <v>8.7110055726706079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10.5</v>
      </c>
      <c r="N36" s="14">
        <f>IF('Données projet'!$A$36&gt;35,N35+M36-V35,IF(A36&lt;'Données projet'!$A$36,$K$205^A36,IF(A36='Données projet'!$A$36,'Données projet'!$B$36,N35+M36-V35)))</f>
        <v>180.5</v>
      </c>
      <c r="O36" s="14">
        <f>N36*VLOOKUP('Données projet'!$B$9,Paramètres!$A$1:$I$89,3,0)*VLOOKUP('Données projet'!$B$9,Paramètres!$A$1:$I$89,5,0)</f>
        <v>107.93900000000001</v>
      </c>
      <c r="P36" s="14">
        <f t="shared" si="33"/>
        <v>28.844863656164922</v>
      </c>
      <c r="Q36" s="22">
        <f t="shared" si="53"/>
        <v>238.23189586782055</v>
      </c>
      <c r="R36" s="62">
        <f t="shared" si="0"/>
        <v>531.5652292011539</v>
      </c>
      <c r="S36" s="62">
        <f ca="1">AVERAGE(OFFSET($R$3,0,0,'Données projet'!$E$9+1,1))-AVERAGE(OFFSET($H$3,0,0,'Données projet'!$E$9+1,1))</f>
        <v>125.50615549487452</v>
      </c>
      <c r="T36" s="62">
        <f t="shared" si="34"/>
        <v>156.05798578195993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3.6858921238992832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3.5011612148817388</v>
      </c>
      <c r="AC36" s="24">
        <f t="shared" si="3"/>
        <v>7.1870533387810216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10.5</v>
      </c>
      <c r="N37" s="14">
        <f>IF('Données projet'!$A$36&gt;35,N36+M37-V36,IF(A37&lt;'Données projet'!$A$36,$K$205^A37,IF(A37='Données projet'!$A$36,'Données projet'!$B$36,N36+M37-V36)))</f>
        <v>191</v>
      </c>
      <c r="O37" s="14">
        <f>N37*VLOOKUP('Données projet'!$B$9,Paramètres!$A$1:$I$89,3,0)*VLOOKUP('Données projet'!$B$9,Paramètres!$A$1:$I$89,5,0)</f>
        <v>114.218</v>
      </c>
      <c r="P37" s="14">
        <f t="shared" si="33"/>
        <v>30.322591437735639</v>
      </c>
      <c r="Q37" s="22">
        <f t="shared" si="53"/>
        <v>251.74153008738961</v>
      </c>
      <c r="R37" s="62">
        <f t="shared" si="0"/>
        <v>545.07486342072298</v>
      </c>
      <c r="S37" s="62">
        <f ca="1">AVERAGE(OFFSET($R$3,0,0,'Données projet'!$E$9+1,1))-AVERAGE(OFFSET($H$3,0,0,'Données projet'!$E$9+1,1))</f>
        <v>125.50615549487452</v>
      </c>
      <c r="T37" s="62">
        <f t="shared" si="34"/>
        <v>156.05798578195993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3.6136140275218254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2.4756948370702085</v>
      </c>
      <c r="AC37" s="24">
        <f t="shared" si="3"/>
        <v>6.0893088645920344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10.5</v>
      </c>
      <c r="N38" s="14">
        <f>IF('Données projet'!$A$36&gt;35,N37+M38-V37,IF(A38&lt;'Données projet'!$A$36,$K$205^A38,IF(A38='Données projet'!$A$36,'Données projet'!$B$36,N37+M38-V37)))</f>
        <v>201.5</v>
      </c>
      <c r="O38" s="14">
        <f>N38*VLOOKUP('Données projet'!$B$9,Paramètres!$A$1:$I$89,3,0)*VLOOKUP('Données projet'!$B$9,Paramètres!$A$1:$I$89,5,0)</f>
        <v>120.497</v>
      </c>
      <c r="P38" s="14">
        <f t="shared" si="33"/>
        <v>31.790888484192322</v>
      </c>
      <c r="Q38" s="22">
        <f t="shared" si="53"/>
        <v>265.23473910996825</v>
      </c>
      <c r="R38" s="62">
        <f t="shared" si="0"/>
        <v>558.56807244330162</v>
      </c>
      <c r="S38" s="62">
        <f ca="1">AVERAGE(OFFSET($R$3,0,0,'Données projet'!$E$9+1,1))-AVERAGE(OFFSET($H$3,0,0,'Données projet'!$E$9+1,1))</f>
        <v>125.50615549487452</v>
      </c>
      <c r="T38" s="62">
        <f t="shared" si="34"/>
        <v>156.05798578195993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3.5427532605290435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1.7505806074408694</v>
      </c>
      <c r="AC38" s="24">
        <f t="shared" si="3"/>
        <v>5.2933338679699133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>
        <f>VLOOKUP(A39,'Données projet'!$A$35:$I$55,2,0)</f>
        <v>212</v>
      </c>
      <c r="L39" s="13">
        <f>VLOOKUP(A39,'Données projet'!$A$35:$I$55,9,0)</f>
        <v>10.5</v>
      </c>
      <c r="M39" s="13">
        <f t="array" ref="M39">INDEX(L:L,MIN(IF(ISNUMBER(L39:L235),ROW(L39:L235),"")))</f>
        <v>10.5</v>
      </c>
      <c r="N39" s="14">
        <f>IF('Données projet'!$A$36&gt;35,N38+M39-V38,IF(A39&lt;'Données projet'!$A$36,$K$205^A39,IF(A39='Données projet'!$A$36,'Données projet'!$B$36,N38+M39-V38)))</f>
        <v>212</v>
      </c>
      <c r="O39" s="14">
        <f>N39*VLOOKUP('Données projet'!$B$9,Paramètres!$A$1:$I$89,3,0)*VLOOKUP('Données projet'!$B$9,Paramètres!$A$1:$I$89,5,0)</f>
        <v>126.77600000000002</v>
      </c>
      <c r="P39" s="14">
        <f t="shared" si="33"/>
        <v>33.250302273150254</v>
      </c>
      <c r="Q39" s="22">
        <f t="shared" si="53"/>
        <v>278.7124764590701</v>
      </c>
      <c r="R39" s="62">
        <f t="shared" si="0"/>
        <v>572.04580979240336</v>
      </c>
      <c r="S39" s="62">
        <f ca="1">AVERAGE(OFFSET($R$3,0,0,'Données projet'!$E$9+1,1))-AVERAGE(OFFSET($H$3,0,0,'Données projet'!$E$9+1,1))</f>
        <v>125.50615549487452</v>
      </c>
      <c r="T39" s="62">
        <f t="shared" si="34"/>
        <v>156.05798578195993</v>
      </c>
      <c r="U39" s="16">
        <f>IF(ISNA(VLOOKUP(A39,'Données projet'!$A$35:$I$55,3,0)),0,VLOOKUP(A39,'Données projet'!$A$35:$I$55,3,0))</f>
        <v>4</v>
      </c>
      <c r="V39" s="16">
        <f>IF(ISNA(VLOOKUP(A39,'Données projet'!$A$35:$I$55,4,0)),0,VLOOKUP(A39,'Données projet'!$A$35:$I$55,4,0))</f>
        <v>48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3.4732820299561902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1.2378474185351043</v>
      </c>
      <c r="AC39" s="24">
        <f t="shared" si="3"/>
        <v>4.7111294484912944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8.4444444444444446</v>
      </c>
      <c r="N40" s="14">
        <f>IF('Données projet'!$A$36&gt;35,N39+M40-V39,IF(A40&lt;'Données projet'!$A$36,$K$205^A40,IF(A40='Données projet'!$A$36,'Données projet'!$B$36,N39+M40-V39)))</f>
        <v>172.44444444444446</v>
      </c>
      <c r="O40" s="14">
        <f>N40*VLOOKUP('Données projet'!$B$9,Paramètres!$A$1:$I$89,3,0)*VLOOKUP('Données projet'!$B$9,Paramètres!$A$1:$I$89,5,0)</f>
        <v>103.12177777777779</v>
      </c>
      <c r="P40" s="14">
        <f t="shared" si="33"/>
        <v>27.704382252023944</v>
      </c>
      <c r="Q40" s="22">
        <f t="shared" si="53"/>
        <v>227.85556205190468</v>
      </c>
      <c r="R40" s="62">
        <f t="shared" si="0"/>
        <v>521.18889538523797</v>
      </c>
      <c r="S40" s="62">
        <f ca="1">AVERAGE(OFFSET($R$3,0,0,'Données projet'!$E$9+1,1))-AVERAGE(OFFSET($H$3,0,0,'Données projet'!$E$9+1,1))</f>
        <v>125.50615549487452</v>
      </c>
      <c r="T40" s="62">
        <f t="shared" si="34"/>
        <v>156.05798578195993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3.4051730878416038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0.8752903037204347</v>
      </c>
      <c r="AC40" s="24">
        <f t="shared" si="3"/>
        <v>4.2804633915620389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8.4444444444444446</v>
      </c>
      <c r="N41" s="14">
        <f>IF('Données projet'!$A$36&gt;35,N40+M41-V40,IF(A41&lt;'Données projet'!$A$36,$K$205^A41,IF(A41='Données projet'!$A$36,'Données projet'!$B$36,N40+M41-V40)))</f>
        <v>180.88888888888891</v>
      </c>
      <c r="O41" s="14">
        <f>N41*VLOOKUP('Données projet'!$B$9,Paramètres!$A$1:$I$89,3,0)*VLOOKUP('Données projet'!$B$9,Paramètres!$A$1:$I$89,5,0)</f>
        <v>108.17155555555559</v>
      </c>
      <c r="P41" s="14">
        <f t="shared" si="33"/>
        <v>28.899769441693479</v>
      </c>
      <c r="Q41" s="22">
        <f t="shared" si="53"/>
        <v>238.73255770354208</v>
      </c>
      <c r="R41" s="62">
        <f t="shared" si="0"/>
        <v>532.06589103687543</v>
      </c>
      <c r="S41" s="62">
        <f ca="1">AVERAGE(OFFSET($R$3,0,0,'Données projet'!$E$9+1,1))-AVERAGE(OFFSET($H$3,0,0,'Données projet'!$E$9+1,1))</f>
        <v>125.50615549487452</v>
      </c>
      <c r="T41" s="62">
        <f t="shared" si="34"/>
        <v>156.05798578195993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3.3383997205395315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0.61892370926755214</v>
      </c>
      <c r="AC41" s="24">
        <f t="shared" si="3"/>
        <v>3.9573234298070838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8.4444444444444446</v>
      </c>
      <c r="N42" s="14">
        <f>IF('Données projet'!$A$36&gt;35,N41+M42-V41,IF(A42&lt;'Données projet'!$A$36,$K$205^A42,IF(A42='Données projet'!$A$36,'Données projet'!$B$36,N41+M42-V41)))</f>
        <v>189.33333333333337</v>
      </c>
      <c r="O42" s="14">
        <f>N42*VLOOKUP('Données projet'!$B$9,Paramètres!$A$1:$I$89,3,0)*VLOOKUP('Données projet'!$B$9,Paramètres!$A$1:$I$89,5,0)</f>
        <v>113.22133333333336</v>
      </c>
      <c r="P42" s="14">
        <f t="shared" si="33"/>
        <v>30.088676139987797</v>
      </c>
      <c r="Q42" s="22">
        <f t="shared" si="53"/>
        <v>249.59826649936761</v>
      </c>
      <c r="R42" s="62">
        <f t="shared" si="0"/>
        <v>542.93159983270095</v>
      </c>
      <c r="S42" s="62">
        <f ca="1">AVERAGE(OFFSET($R$3,0,0,'Données projet'!$E$9+1,1))-AVERAGE(OFFSET($H$3,0,0,'Données projet'!$E$9+1,1))</f>
        <v>125.50615549487452</v>
      </c>
      <c r="T42" s="62">
        <f t="shared" si="34"/>
        <v>156.05798578195993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3.2729357382425204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0.43764515186021735</v>
      </c>
      <c r="AC42" s="24">
        <f t="shared" si="3"/>
        <v>3.7105808901027375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8.4444444444444446</v>
      </c>
      <c r="N43" s="14">
        <f>IF('Données projet'!$A$36&gt;35,N42+M43-V42,IF(A43&lt;'Données projet'!$A$36,$K$205^A43,IF(A43='Données projet'!$A$36,'Données projet'!$B$36,N42+M43-V42)))</f>
        <v>197.77777777777783</v>
      </c>
      <c r="O43" s="14">
        <f>N43*VLOOKUP('Données projet'!$B$9,Paramètres!$A$1:$I$89,3,0)*VLOOKUP('Données projet'!$B$9,Paramètres!$A$1:$I$89,5,0)</f>
        <v>118.27111111111115</v>
      </c>
      <c r="P43" s="14">
        <f t="shared" si="33"/>
        <v>31.271424408638829</v>
      </c>
      <c r="Q43" s="22">
        <f t="shared" si="53"/>
        <v>260.45324936356457</v>
      </c>
      <c r="R43" s="62">
        <f t="shared" si="0"/>
        <v>553.78658269689788</v>
      </c>
      <c r="S43" s="62">
        <f ca="1">AVERAGE(OFFSET($R$3,0,0,'Données projet'!$E$9+1,1))-AVERAGE(OFFSET($H$3,0,0,'Données projet'!$E$9+1,1))</f>
        <v>125.50615549487452</v>
      </c>
      <c r="T43" s="62">
        <f t="shared" si="34"/>
        <v>156.05798578195993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3.2087554647092671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0.30946185463377607</v>
      </c>
      <c r="AC43" s="24">
        <f t="shared" si="3"/>
        <v>3.518217319343043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8.4444444444444446</v>
      </c>
      <c r="N44" s="14">
        <f>IF('Données projet'!$A$36&gt;35,N43+M44-V43,IF(A44&lt;'Données projet'!$A$36,$K$205^A44,IF(A44='Données projet'!$A$36,'Données projet'!$B$36,N43+M44-V43)))</f>
        <v>206.22222222222229</v>
      </c>
      <c r="O44" s="14">
        <f>N44*VLOOKUP('Données projet'!$B$9,Paramètres!$A$1:$I$89,3,0)*VLOOKUP('Données projet'!$B$9,Paramètres!$A$1:$I$89,5,0)</f>
        <v>123.32088888888894</v>
      </c>
      <c r="P44" s="14">
        <f t="shared" si="33"/>
        <v>32.448307251950084</v>
      </c>
      <c r="Q44" s="22">
        <f t="shared" si="53"/>
        <v>271.29801661196126</v>
      </c>
      <c r="R44" s="62">
        <f t="shared" si="0"/>
        <v>564.63134994529457</v>
      </c>
      <c r="S44" s="62">
        <f ca="1">AVERAGE(OFFSET($R$3,0,0,'Données projet'!$E$9+1,1))-AVERAGE(OFFSET($H$3,0,0,'Données projet'!$E$9+1,1))</f>
        <v>125.50615549487452</v>
      </c>
      <c r="T44" s="62">
        <f t="shared" si="34"/>
        <v>156.05798578195993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3.1458337271938994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0.21882257593010868</v>
      </c>
      <c r="AC44" s="24">
        <f t="shared" si="3"/>
        <v>3.3646563031240082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8.4444444444444446</v>
      </c>
      <c r="N45" s="14">
        <f>IF('Données projet'!$A$36&gt;35,N44+M45-V44,IF(A45&lt;'Données projet'!$A$36,$K$205^A45,IF(A45='Données projet'!$A$36,'Données projet'!$B$36,N44+M45-V44)))</f>
        <v>214.66666666666674</v>
      </c>
      <c r="O45" s="14">
        <f>N45*VLOOKUP('Données projet'!$B$9,Paramètres!$A$1:$I$89,3,0)*VLOOKUP('Données projet'!$B$9,Paramètres!$A$1:$I$89,5,0)</f>
        <v>128.37066666666672</v>
      </c>
      <c r="P45" s="14">
        <f t="shared" si="33"/>
        <v>33.619592320312243</v>
      </c>
      <c r="Q45" s="22">
        <f t="shared" si="53"/>
        <v>282.1330344023217</v>
      </c>
      <c r="R45" s="62">
        <f t="shared" si="0"/>
        <v>575.46636773565501</v>
      </c>
      <c r="S45" s="62">
        <f ca="1">AVERAGE(OFFSET($R$3,0,0,'Données projet'!$E$9+1,1))-AVERAGE(OFFSET($H$3,0,0,'Données projet'!$E$9+1,1))</f>
        <v>125.50615549487452</v>
      </c>
      <c r="T45" s="62">
        <f t="shared" si="34"/>
        <v>156.05798578195993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3.084145846572738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0.15473092731688803</v>
      </c>
      <c r="AC45" s="24">
        <f t="shared" si="3"/>
        <v>3.238876773889626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8.4444444444444446</v>
      </c>
      <c r="N46" s="14">
        <f>IF('Données projet'!$A$36&gt;35,N45+M46-V45,IF(A46&lt;'Données projet'!$A$36,$K$205^A46,IF(A46='Données projet'!$A$36,'Données projet'!$B$36,N45+M46-V45)))</f>
        <v>223.1111111111112</v>
      </c>
      <c r="O46" s="14">
        <f>N46*VLOOKUP('Données projet'!$B$9,Paramètres!$A$1:$I$89,3,0)*VLOOKUP('Données projet'!$B$9,Paramètres!$A$1:$I$89,5,0)</f>
        <v>133.42044444444451</v>
      </c>
      <c r="P46" s="14">
        <f t="shared" si="33"/>
        <v>34.785525014573047</v>
      </c>
      <c r="Q46" s="22">
        <f t="shared" si="53"/>
        <v>292.9587301411222</v>
      </c>
      <c r="R46" s="62">
        <f t="shared" si="0"/>
        <v>586.29206347445552</v>
      </c>
      <c r="S46" s="62">
        <f ca="1">AVERAGE(OFFSET($R$3,0,0,'Données projet'!$E$9+1,1))-AVERAGE(OFFSET($H$3,0,0,'Données projet'!$E$9+1,1))</f>
        <v>125.50615549487452</v>
      </c>
      <c r="T46" s="62">
        <f t="shared" si="34"/>
        <v>156.05798578195993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3.0236676276646657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0.10941128796505434</v>
      </c>
      <c r="AC46" s="24">
        <f t="shared" si="3"/>
        <v>3.1330789156297199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8.4444444444444446</v>
      </c>
      <c r="N47" s="14">
        <f>IF('Données projet'!$A$36&gt;35,N46+M47-V46,IF(A47&lt;'Données projet'!$A$36,$K$205^A47,IF(A47='Données projet'!$A$36,'Données projet'!$B$36,N46+M47-V46)))</f>
        <v>231.55555555555566</v>
      </c>
      <c r="O47" s="14">
        <f>N47*VLOOKUP('Données projet'!$B$9,Paramètres!$A$1:$I$89,3,0)*VLOOKUP('Données projet'!$B$9,Paramètres!$A$1:$I$89,5,0)</f>
        <v>138.4702222222223</v>
      </c>
      <c r="P47" s="14">
        <f t="shared" si="33"/>
        <v>35.946331107206781</v>
      </c>
      <c r="Q47" s="22">
        <f t="shared" si="53"/>
        <v>303.77549704875565</v>
      </c>
      <c r="R47" s="62">
        <f t="shared" si="0"/>
        <v>597.10883038208897</v>
      </c>
      <c r="S47" s="62">
        <f ca="1">AVERAGE(OFFSET($R$3,0,0,'Données projet'!$E$9+1,1))-AVERAGE(OFFSET($H$3,0,0,'Données projet'!$E$9+1,1))</f>
        <v>125.50615549487452</v>
      </c>
      <c r="T47" s="62">
        <f t="shared" si="34"/>
        <v>156.05798578195993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2.9643753497413092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7.7365463658444017E-2</v>
      </c>
      <c r="AC47" s="24">
        <f t="shared" si="3"/>
        <v>3.0417408133997532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240</v>
      </c>
      <c r="L48" s="13">
        <f>VLOOKUP(A48,'Données projet'!$A$35:$I$55,9,0)</f>
        <v>8.4444444444444446</v>
      </c>
      <c r="M48" s="13">
        <f t="array" ref="M48">INDEX(L:L,MIN(IF(ISNUMBER(L48:L244),ROW(L48:L244),"")))</f>
        <v>8.4444444444444446</v>
      </c>
      <c r="N48" s="14">
        <f>IF('Données projet'!$A$36&gt;35,N47+M48-V47,IF(A48&lt;'Données projet'!$A$36,$K$205^A48,IF(A48='Données projet'!$A$36,'Données projet'!$B$36,N47+M48-V47)))</f>
        <v>240.00000000000011</v>
      </c>
      <c r="O48" s="14">
        <f>N48*VLOOKUP('Données projet'!$B$9,Paramètres!$A$1:$I$89,3,0)*VLOOKUP('Données projet'!$B$9,Paramètres!$A$1:$I$89,5,0)</f>
        <v>143.5200000000001</v>
      </c>
      <c r="P48" s="14">
        <f t="shared" si="33"/>
        <v>37.102218970378601</v>
      </c>
      <c r="Q48" s="22">
        <f t="shared" si="53"/>
        <v>314.58369804007623</v>
      </c>
      <c r="R48" s="62">
        <f t="shared" si="0"/>
        <v>607.9170313734096</v>
      </c>
      <c r="S48" s="62">
        <f ca="1">AVERAGE(OFFSET($R$3,0,0,'Données projet'!$E$9+1,1))-AVERAGE(OFFSET($H$3,0,0,'Données projet'!$E$9+1,1))</f>
        <v>125.50615549487452</v>
      </c>
      <c r="T48" s="62">
        <f t="shared" si="34"/>
        <v>156.05798578195993</v>
      </c>
      <c r="U48" s="16">
        <f>IF(ISNA(VLOOKUP(A48,'Données projet'!$A$35:$I$55,3,0)),0,VLOOKUP(A48,'Données projet'!$A$35:$I$55,3,0))</f>
        <v>5</v>
      </c>
      <c r="V48" s="16">
        <f>IF(ISNA(VLOOKUP(A48,'Données projet'!$A$35:$I$55,4,0)),0,VLOOKUP(A48,'Données projet'!$A$35:$I$55,4,0))</f>
        <v>55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2.9062457572233114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5.4705643982527169E-2</v>
      </c>
      <c r="AC48" s="24">
        <f t="shared" si="3"/>
        <v>2.9609514012058384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6.2</v>
      </c>
      <c r="N49" s="14">
        <f>IF('Données projet'!$A$36&gt;35,N48+M49-V48,IF(A49&lt;'Données projet'!$A$36,$K$205^A49,IF(A49='Données projet'!$A$36,'Données projet'!$B$36,N48+M49-V48)))</f>
        <v>191.2000000000001</v>
      </c>
      <c r="O49" s="14">
        <f>N49*VLOOKUP('Données projet'!$B$9,Paramètres!$A$1:$I$89,3,0)*VLOOKUP('Données projet'!$B$9,Paramètres!$A$1:$I$89,5,0)</f>
        <v>114.33760000000008</v>
      </c>
      <c r="P49" s="14">
        <f t="shared" si="33"/>
        <v>30.350645269775214</v>
      </c>
      <c r="Q49" s="22">
        <f t="shared" si="53"/>
        <v>251.99869384485862</v>
      </c>
      <c r="R49" s="62">
        <f t="shared" si="0"/>
        <v>545.33202717819199</v>
      </c>
      <c r="S49" s="62">
        <f ca="1">AVERAGE(OFFSET($R$3,0,0,'Données projet'!$E$9+1,1))-AVERAGE(OFFSET($H$3,0,0,'Données projet'!$E$9+1,1))</f>
        <v>125.50615549487452</v>
      </c>
      <c r="T49" s="62">
        <f t="shared" si="34"/>
        <v>156.05798578195993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2.849256050559041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3.8682731829222008E-2</v>
      </c>
      <c r="AC49" s="24">
        <f t="shared" si="3"/>
        <v>2.8879387823882632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6.2</v>
      </c>
      <c r="N50" s="14">
        <f>IF('Données projet'!$A$36&gt;35,N49+M50-V49,IF(A50&lt;'Données projet'!$A$36,$K$205^A50,IF(A50='Données projet'!$A$36,'Données projet'!$B$36,N49+M50-V49)))</f>
        <v>197.40000000000009</v>
      </c>
      <c r="O50" s="14">
        <f>N50*VLOOKUP('Données projet'!$B$9,Paramètres!$A$1:$I$89,3,0)*VLOOKUP('Données projet'!$B$9,Paramètres!$A$1:$I$89,5,0)</f>
        <v>118.04520000000007</v>
      </c>
      <c r="P50" s="14">
        <f t="shared" si="33"/>
        <v>31.218639399969017</v>
      </c>
      <c r="Q50" s="22">
        <f t="shared" si="53"/>
        <v>259.96785362161279</v>
      </c>
      <c r="R50" s="62">
        <f t="shared" si="0"/>
        <v>553.30118695494616</v>
      </c>
      <c r="S50" s="62">
        <f ca="1">AVERAGE(OFFSET($R$3,0,0,'Données projet'!$E$9+1,1))-AVERAGE(OFFSET($H$3,0,0,'Données projet'!$E$9+1,1))</f>
        <v>125.50615549487452</v>
      </c>
      <c r="T50" s="62">
        <f t="shared" si="34"/>
        <v>156.05798578195993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2.7933838772821682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2.7352821991263584E-2</v>
      </c>
      <c r="AC50" s="24">
        <f t="shared" si="3"/>
        <v>2.8207366992734317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6.2</v>
      </c>
      <c r="N51" s="14">
        <f>IF('Données projet'!$A$36&gt;35,N50+M51-V50,IF(A51&lt;'Données projet'!$A$36,$K$205^A51,IF(A51='Données projet'!$A$36,'Données projet'!$B$36,N50+M51-V50)))</f>
        <v>203.60000000000008</v>
      </c>
      <c r="O51" s="14">
        <f>N51*VLOOKUP('Données projet'!$B$9,Paramètres!$A$1:$I$89,3,0)*VLOOKUP('Données projet'!$B$9,Paramètres!$A$1:$I$89,5,0)</f>
        <v>121.75280000000005</v>
      </c>
      <c r="P51" s="14">
        <f t="shared" si="33"/>
        <v>32.083465450282908</v>
      </c>
      <c r="Q51" s="22">
        <f t="shared" si="53"/>
        <v>267.93149565924278</v>
      </c>
      <c r="R51" s="62">
        <f t="shared" si="0"/>
        <v>561.2648289925761</v>
      </c>
      <c r="S51" s="62">
        <f ca="1">AVERAGE(OFFSET($R$3,0,0,'Données projet'!$E$9+1,1))-AVERAGE(OFFSET($H$3,0,0,'Données projet'!$E$9+1,1))</f>
        <v>125.50615549487452</v>
      </c>
      <c r="T51" s="62">
        <f t="shared" si="34"/>
        <v>156.05798578195993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2.7386073232445942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1.9341365914611004E-2</v>
      </c>
      <c r="AC51" s="24">
        <f t="shared" si="3"/>
        <v>2.7579486891592051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6.2</v>
      </c>
      <c r="N52" s="14">
        <f>IF('Données projet'!$A$36&gt;35,N51+M52-V51,IF(A52&lt;'Données projet'!$A$36,$K$205^A52,IF(A52='Données projet'!$A$36,'Données projet'!$B$36,N51+M52-V51)))</f>
        <v>209.80000000000007</v>
      </c>
      <c r="O52" s="14">
        <f>N52*VLOOKUP('Données projet'!$B$9,Paramètres!$A$1:$I$89,3,0)*VLOOKUP('Données projet'!$B$9,Paramètres!$A$1:$I$89,5,0)</f>
        <v>125.46040000000005</v>
      </c>
      <c r="P52" s="14">
        <f t="shared" si="33"/>
        <v>32.94523096728588</v>
      </c>
      <c r="Q52" s="22">
        <f t="shared" si="53"/>
        <v>275.88980726802299</v>
      </c>
      <c r="R52" s="62">
        <f t="shared" si="0"/>
        <v>569.22314060135636</v>
      </c>
      <c r="S52" s="62">
        <f ca="1">AVERAGE(OFFSET($R$3,0,0,'Données projet'!$E$9+1,1))-AVERAGE(OFFSET($H$3,0,0,'Données projet'!$E$9+1,1))</f>
        <v>125.50615549487452</v>
      </c>
      <c r="T52" s="62">
        <f t="shared" si="34"/>
        <v>156.05798578195993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2.6849049040212982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1.3676410995631792E-2</v>
      </c>
      <c r="AC52" s="24">
        <f t="shared" si="3"/>
        <v>2.6985813150169302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6.2</v>
      </c>
      <c r="N53" s="14">
        <f>IF('Données projet'!$A$36&gt;35,N52+M53-V52,IF(A53&lt;'Données projet'!$A$36,$K$205^A53,IF(A53='Données projet'!$A$36,'Données projet'!$B$36,N52+M53-V52)))</f>
        <v>216.00000000000006</v>
      </c>
      <c r="O53" s="14">
        <f>N53*VLOOKUP('Données projet'!$B$9,Paramètres!$A$1:$I$89,3,0)*VLOOKUP('Données projet'!$B$9,Paramètres!$A$1:$I$89,5,0)</f>
        <v>129.16800000000003</v>
      </c>
      <c r="P53" s="14">
        <f t="shared" si="33"/>
        <v>33.804036779774435</v>
      </c>
      <c r="Q53" s="22">
        <f t="shared" si="53"/>
        <v>283.84296405810721</v>
      </c>
      <c r="R53" s="62">
        <f t="shared" si="0"/>
        <v>577.17629739144058</v>
      </c>
      <c r="S53" s="62">
        <f ca="1">AVERAGE(OFFSET($R$3,0,0,'Données projet'!$E$9+1,1))-AVERAGE(OFFSET($H$3,0,0,'Données projet'!$E$9+1,1))</f>
        <v>125.50615549487452</v>
      </c>
      <c r="T53" s="62">
        <f t="shared" si="34"/>
        <v>156.05798578195993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2.6322555564837296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9.6706829573055021E-3</v>
      </c>
      <c r="AC53" s="24">
        <f t="shared" si="3"/>
        <v>2.6419262394410352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6.2</v>
      </c>
      <c r="N54" s="14">
        <f>IF('Données projet'!$A$36&gt;35,N53+M54-V53,IF(A54&lt;'Données projet'!$A$36,$K$205^A54,IF(A54='Données projet'!$A$36,'Données projet'!$B$36,N53+M54-V53)))</f>
        <v>222.20000000000005</v>
      </c>
      <c r="O54" s="14">
        <f>N54*VLOOKUP('Données projet'!$B$9,Paramètres!$A$1:$I$89,3,0)*VLOOKUP('Données projet'!$B$9,Paramètres!$A$1:$I$89,5,0)</f>
        <v>132.87560000000005</v>
      </c>
      <c r="P54" s="14">
        <f t="shared" si="33"/>
        <v>34.659977599024245</v>
      </c>
      <c r="Q54" s="22">
        <f t="shared" si="53"/>
        <v>291.79113098496731</v>
      </c>
      <c r="R54" s="62">
        <f t="shared" si="0"/>
        <v>585.12446431830062</v>
      </c>
      <c r="S54" s="62">
        <f ca="1">AVERAGE(OFFSET($R$3,0,0,'Données projet'!$E$9+1,1))-AVERAGE(OFFSET($H$3,0,0,'Données projet'!$E$9+1,1))</f>
        <v>125.50615549487452</v>
      </c>
      <c r="T54" s="62">
        <f t="shared" si="34"/>
        <v>156.05798578195993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2.5806386305384414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6.8382054978158961E-3</v>
      </c>
      <c r="AC54" s="24">
        <f t="shared" si="3"/>
        <v>2.5874768360362572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6.2</v>
      </c>
      <c r="N55" s="14">
        <f>IF('Données projet'!$A$36&gt;35,N54+M55-V54,IF(A55&lt;'Données projet'!$A$36,$K$205^A55,IF(A55='Données projet'!$A$36,'Données projet'!$B$36,N54+M55-V54)))</f>
        <v>228.40000000000003</v>
      </c>
      <c r="O55" s="14">
        <f>N55*VLOOKUP('Données projet'!$B$9,Paramètres!$A$1:$I$89,3,0)*VLOOKUP('Données projet'!$B$9,Paramètres!$A$1:$I$89,5,0)</f>
        <v>136.58320000000003</v>
      </c>
      <c r="P55" s="14">
        <f t="shared" si="33"/>
        <v>35.513142550162883</v>
      </c>
      <c r="Q55" s="22">
        <f t="shared" si="53"/>
        <v>299.7344632748671</v>
      </c>
      <c r="R55" s="62">
        <f t="shared" si="0"/>
        <v>593.06779660820041</v>
      </c>
      <c r="S55" s="62">
        <f ca="1">AVERAGE(OFFSET($R$3,0,0,'Données projet'!$E$9+1,1))-AVERAGE(OFFSET($H$3,0,0,'Données projet'!$E$9+1,1))</f>
        <v>125.50615549487452</v>
      </c>
      <c r="T55" s="62">
        <f t="shared" si="34"/>
        <v>156.05798578195993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2.5300338810277241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4.8353414786527511E-3</v>
      </c>
      <c r="AC55" s="24">
        <f t="shared" si="3"/>
        <v>2.5348692225063769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6.2</v>
      </c>
      <c r="N56" s="14">
        <f>IF('Données projet'!$A$36&gt;35,N55+M56-V55,IF(A56&lt;'Données projet'!$A$36,$K$205^A56,IF(A56='Données projet'!$A$36,'Données projet'!$B$36,N55+M56-V55)))</f>
        <v>234.60000000000002</v>
      </c>
      <c r="O56" s="14">
        <f>N56*VLOOKUP('Données projet'!$B$9,Paramètres!$A$1:$I$89,3,0)*VLOOKUP('Données projet'!$B$9,Paramètres!$A$1:$I$89,5,0)</f>
        <v>140.29080000000002</v>
      </c>
      <c r="P56" s="14">
        <f t="shared" si="33"/>
        <v>36.363615644223728</v>
      </c>
      <c r="Q56" s="22">
        <f t="shared" si="53"/>
        <v>307.67310724702298</v>
      </c>
      <c r="R56" s="62">
        <f t="shared" si="0"/>
        <v>601.0064405803563</v>
      </c>
      <c r="S56" s="62">
        <f ca="1">AVERAGE(OFFSET($R$3,0,0,'Données projet'!$E$9+1,1))-AVERAGE(OFFSET($H$3,0,0,'Données projet'!$E$9+1,1))</f>
        <v>125.50615549487452</v>
      </c>
      <c r="T56" s="62">
        <f t="shared" si="34"/>
        <v>156.05798578195993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2.4804214597890626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3.4191027489079481E-3</v>
      </c>
      <c r="AC56" s="24">
        <f t="shared" si="3"/>
        <v>2.4838405625379707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6.2</v>
      </c>
      <c r="N57" s="14">
        <f>IF('Données projet'!$A$36&gt;35,N56+M57-V56,IF(A57&lt;'Données projet'!$A$36,$K$205^A57,IF(A57='Données projet'!$A$36,'Données projet'!$B$36,N56+M57-V56)))</f>
        <v>240.8</v>
      </c>
      <c r="O57" s="14">
        <f>N57*VLOOKUP('Données projet'!$B$9,Paramètres!$A$1:$I$89,3,0)*VLOOKUP('Données projet'!$B$9,Paramètres!$A$1:$I$89,5,0)</f>
        <v>143.99840000000003</v>
      </c>
      <c r="P57" s="14">
        <f t="shared" si="33"/>
        <v>37.21147619889382</v>
      </c>
      <c r="Q57" s="22">
        <f t="shared" si="53"/>
        <v>315.60720104640683</v>
      </c>
      <c r="R57" s="62">
        <f t="shared" si="0"/>
        <v>608.94053437974014</v>
      </c>
      <c r="S57" s="62">
        <f ca="1">AVERAGE(OFFSET($R$3,0,0,'Données projet'!$E$9+1,1))-AVERAGE(OFFSET($H$3,0,0,'Données projet'!$E$9+1,1))</f>
        <v>125.50615549487452</v>
      </c>
      <c r="T57" s="62">
        <f t="shared" si="34"/>
        <v>156.05798578195993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2.4317819078703025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2.4176707393263755E-3</v>
      </c>
      <c r="AC57" s="24">
        <f t="shared" si="3"/>
        <v>2.4341995786096287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247</v>
      </c>
      <c r="L58" s="13">
        <f>VLOOKUP(A58,'Données projet'!$A$35:$I$55,9,0)</f>
        <v>6.2</v>
      </c>
      <c r="M58" s="13">
        <f t="array" ref="M58">INDEX(L:L,MIN(IF(ISNUMBER(L58:L254),ROW(L58:L254),"")))</f>
        <v>6.2</v>
      </c>
      <c r="N58" s="14">
        <f>IF('Données projet'!$A$36&gt;35,N57+M58-V57,IF(A58&lt;'Données projet'!$A$36,$K$205^A58,IF(A58='Données projet'!$A$36,'Données projet'!$B$36,N57+M58-V57)))</f>
        <v>247</v>
      </c>
      <c r="O58" s="14">
        <f>N58*VLOOKUP('Données projet'!$B$9,Paramètres!$A$1:$I$89,3,0)*VLOOKUP('Données projet'!$B$9,Paramètres!$A$1:$I$89,5,0)</f>
        <v>147.70600000000002</v>
      </c>
      <c r="P58" s="14">
        <f t="shared" si="33"/>
        <v>38.056799214709841</v>
      </c>
      <c r="Q58" s="22">
        <f t="shared" si="53"/>
        <v>323.53687529895296</v>
      </c>
      <c r="R58" s="62">
        <f t="shared" si="0"/>
        <v>616.87020863228622</v>
      </c>
      <c r="S58" s="62">
        <f ca="1">AVERAGE(OFFSET($R$3,0,0,'Données projet'!$E$9+1,1))-AVERAGE(OFFSET($H$3,0,0,'Données projet'!$E$9+1,1))</f>
        <v>125.50615549487452</v>
      </c>
      <c r="T58" s="62">
        <f t="shared" si="34"/>
        <v>156.05798578195993</v>
      </c>
      <c r="U58" s="16">
        <f>IF(ISNA(VLOOKUP(A58,'Données projet'!$A$35:$I$55,3,0)),0,VLOOKUP(A58,'Données projet'!$A$35:$I$55,3,0))</f>
        <v>6</v>
      </c>
      <c r="V58" s="16">
        <f>IF(ISNA(VLOOKUP(A58,'Données projet'!$A$35:$I$55,4,0)),0,VLOOKUP(A58,'Données projet'!$A$35:$I$55,4,0))</f>
        <v>247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2.3840961478974716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1.709551374453974E-3</v>
      </c>
      <c r="AC58" s="24">
        <f t="shared" si="3"/>
        <v>2.3858056992719257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125.50615549487452</v>
      </c>
      <c r="T59" s="62">
        <f t="shared" si="34"/>
        <v>156.05798578195993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2.3373454765922665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1.2088353696631878E-3</v>
      </c>
      <c r="AC59" s="24">
        <f t="shared" si="3"/>
        <v>2.3385543119619299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125.50615549487452</v>
      </c>
      <c r="T60" s="62">
        <f t="shared" si="34"/>
        <v>156.05798578195993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2.2915115574362628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8.5477568722698702E-4</v>
      </c>
      <c r="AC60" s="24">
        <f t="shared" si="3"/>
        <v>2.2923663331234896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125.50615549487452</v>
      </c>
      <c r="T61" s="62">
        <f t="shared" si="34"/>
        <v>156.05798578195993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2.2465764134789779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6.0441768483159388E-4</v>
      </c>
      <c r="AC61" s="24">
        <f t="shared" si="3"/>
        <v>2.2471808311638095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125.50615549487452</v>
      </c>
      <c r="T62" s="62">
        <f t="shared" si="34"/>
        <v>156.05798578195993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2.202522420286964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4.2738784361349351E-4</v>
      </c>
      <c r="AC62" s="24">
        <f t="shared" si="3"/>
        <v>2.2029498081305774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125.50615549487452</v>
      </c>
      <c r="T63" s="62">
        <f t="shared" si="34"/>
        <v>156.05798578195993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2.1593322990311625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3.0220884241579694E-4</v>
      </c>
      <c r="AC63" s="24">
        <f t="shared" si="3"/>
        <v>2.1596345078735784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125.50615549487452</v>
      </c>
      <c r="T64" s="62">
        <f t="shared" si="34"/>
        <v>156.05798578195993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2.1169891097098148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2.1369392180674675E-4</v>
      </c>
      <c r="AC64" s="24">
        <f t="shared" si="3"/>
        <v>2.1172028036316215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125.50615549487452</v>
      </c>
      <c r="T65" s="62">
        <f t="shared" si="34"/>
        <v>156.05798578195993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2.0754762445042632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1.5110442120789847E-4</v>
      </c>
      <c r="AC65" s="24">
        <f t="shared" si="3"/>
        <v>2.0756273489254711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125.50615549487452</v>
      </c>
      <c r="T66" s="62">
        <f t="shared" si="34"/>
        <v>156.05798578195993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2.0347774212650451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1.0684696090337338E-4</v>
      </c>
      <c r="AC66" s="24">
        <f t="shared" si="3"/>
        <v>2.0348842682259485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125.50615549487452</v>
      </c>
      <c r="T67" s="62">
        <f t="shared" si="34"/>
        <v>156.05798578195993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1.9948766771257169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7.5552210603949235E-5</v>
      </c>
      <c r="AC67" s="24">
        <f t="shared" si="3"/>
        <v>1.9949522293363209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125.50615549487452</v>
      </c>
      <c r="T68" s="62">
        <f t="shared" si="34"/>
        <v>156.05798578195993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1.9557583622419101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5.3423480451686688E-5</v>
      </c>
      <c r="AC68" s="24">
        <f t="shared" ref="AC68:AC131" si="57">SUM(Z68:AB68)</f>
        <v>1.9558117857223618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125.50615549487452</v>
      </c>
      <c r="T69" s="62">
        <f t="shared" ref="T69:T132" si="88">$T$3</f>
        <v>156.05798578195993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1.9174071336531586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3.7776105301974618E-5</v>
      </c>
      <c r="AC69" s="24">
        <f t="shared" si="57"/>
        <v>1.9174449097584605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125.50615549487452</v>
      </c>
      <c r="T70" s="62">
        <f t="shared" si="88"/>
        <v>156.05798578195993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1.879807949265093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2.6711740225843344E-5</v>
      </c>
      <c r="AC70" s="24">
        <f t="shared" si="57"/>
        <v>1.8798346610053189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125.50615549487452</v>
      </c>
      <c r="T71" s="62">
        <f t="shared" si="88"/>
        <v>156.05798578195993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1.8429460619496392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1.8888052650987309E-5</v>
      </c>
      <c r="AC71" s="24">
        <f t="shared" si="57"/>
        <v>1.8429649500022902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125.50615549487452</v>
      </c>
      <c r="T72" s="62">
        <f t="shared" si="88"/>
        <v>156.05798578195993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1.8068070137609102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1.3355870112921672E-5</v>
      </c>
      <c r="AC72" s="24">
        <f t="shared" si="57"/>
        <v>1.8068203696310232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125.50615549487452</v>
      </c>
      <c r="T73" s="62">
        <f t="shared" si="88"/>
        <v>156.05798578195993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1.7713766302645195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9.4440263254936544E-6</v>
      </c>
      <c r="AC73" s="24">
        <f t="shared" si="57"/>
        <v>1.7713860742908449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125.50615549487452</v>
      </c>
      <c r="T74" s="62">
        <f t="shared" si="88"/>
        <v>156.05798578195993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1.7366410149780929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6.6779350564608361E-6</v>
      </c>
      <c r="AC74" s="24">
        <f t="shared" si="57"/>
        <v>1.7366476929131494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125.50615549487452</v>
      </c>
      <c r="T75" s="62">
        <f t="shared" si="88"/>
        <v>156.05798578195993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1.7025865439207997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4.7220131627468272E-6</v>
      </c>
      <c r="AC75" s="24">
        <f t="shared" si="57"/>
        <v>1.7025912659339624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125.50615549487452</v>
      </c>
      <c r="T76" s="62">
        <f t="shared" si="88"/>
        <v>156.05798578195993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1.6691998602697637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3.338967528230418E-6</v>
      </c>
      <c r="AC76" s="24">
        <f t="shared" si="57"/>
        <v>1.669203199237292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125.50615549487452</v>
      </c>
      <c r="T77" s="62">
        <f t="shared" si="88"/>
        <v>156.05798578195993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1.6364678691212582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2.3610065813734136E-6</v>
      </c>
      <c r="AC77" s="24">
        <f t="shared" si="57"/>
        <v>1.6364702301278395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125.50615549487452</v>
      </c>
      <c r="T78" s="62">
        <f t="shared" si="88"/>
        <v>156.05798578195993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1.6043777323546318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1.669483764115209E-6</v>
      </c>
      <c r="AC78" s="24">
        <f t="shared" si="57"/>
        <v>1.6043794018383959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125.50615549487452</v>
      </c>
      <c r="T79" s="62">
        <f t="shared" si="88"/>
        <v>156.05798578195993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1.5729168635969479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1.1805032906867068E-6</v>
      </c>
      <c r="AC79" s="24">
        <f t="shared" si="57"/>
        <v>1.5729180441002386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125.50615549487452</v>
      </c>
      <c r="T80" s="62">
        <f t="shared" si="88"/>
        <v>156.05798578195993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1.5420729232863672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8.3474188205760451E-7</v>
      </c>
      <c r="AC80" s="24">
        <f t="shared" si="57"/>
        <v>1.5420737580282493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125.50615549487452</v>
      </c>
      <c r="T81" s="62">
        <f t="shared" si="88"/>
        <v>156.05798578195993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1.5118338138323311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5.902516453433534E-7</v>
      </c>
      <c r="AC81" s="24">
        <f t="shared" si="57"/>
        <v>1.5118344040839764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125.50615549487452</v>
      </c>
      <c r="T82" s="62">
        <f t="shared" si="88"/>
        <v>156.05798578195993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1.4821876748706531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4.1737094102880225E-7</v>
      </c>
      <c r="AC82" s="24">
        <f t="shared" si="57"/>
        <v>1.482188092241594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125.50615549487452</v>
      </c>
      <c r="T83" s="62">
        <f t="shared" si="88"/>
        <v>156.05798578195993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1.4531228786116541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2.951258226716767E-7</v>
      </c>
      <c r="AC83" s="24">
        <f t="shared" si="57"/>
        <v>1.4531231737374768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125.50615549487452</v>
      </c>
      <c r="T84" s="62">
        <f t="shared" si="88"/>
        <v>156.05798578195993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1.4246280252795189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2.0868547051440113E-7</v>
      </c>
      <c r="AC84" s="24">
        <f t="shared" si="57"/>
        <v>1.4246282339649894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125.50615549487452</v>
      </c>
      <c r="T85" s="62">
        <f t="shared" si="88"/>
        <v>156.05798578195993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1.3966919386410825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1.4756291133583835E-7</v>
      </c>
      <c r="AC85" s="24">
        <f t="shared" si="57"/>
        <v>1.396692086203994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125.50615549487452</v>
      </c>
      <c r="T86" s="62">
        <f t="shared" si="88"/>
        <v>156.05798578195993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1.3693036616222956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1.0434273525720056E-7</v>
      </c>
      <c r="AC86" s="24">
        <f t="shared" si="57"/>
        <v>1.3693037659650309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125.50615549487452</v>
      </c>
      <c r="T87" s="62">
        <f t="shared" si="88"/>
        <v>156.05798578195993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1.3424524520106476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7.3781455667919175E-8</v>
      </c>
      <c r="AC87" s="24">
        <f t="shared" si="57"/>
        <v>1.3424525257921032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125.50615549487452</v>
      </c>
      <c r="T88" s="62">
        <f t="shared" si="88"/>
        <v>156.05798578195993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1.3161277782418632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5.2171367628600282E-8</v>
      </c>
      <c r="AC88" s="24">
        <f t="shared" si="57"/>
        <v>1.3161278304132309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125.50615549487452</v>
      </c>
      <c r="T89" s="62">
        <f t="shared" si="88"/>
        <v>156.05798578195993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1.2903193152692192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3.6890727833959588E-8</v>
      </c>
      <c r="AC89" s="24">
        <f t="shared" si="57"/>
        <v>1.290319352159947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125.50615549487452</v>
      </c>
      <c r="T90" s="62">
        <f t="shared" si="88"/>
        <v>156.05798578195993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1.2650169405138607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2.6085683814300141E-8</v>
      </c>
      <c r="AC90" s="24">
        <f t="shared" si="57"/>
        <v>1.2650169665995445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125.50615549487452</v>
      </c>
      <c r="T91" s="62">
        <f t="shared" si="88"/>
        <v>156.05798578195993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1.24021072989453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1.8445363916979794E-8</v>
      </c>
      <c r="AC91" s="24">
        <f t="shared" si="57"/>
        <v>1.2402107483398939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125.50615549487452</v>
      </c>
      <c r="T92" s="62">
        <f t="shared" si="88"/>
        <v>156.05798578195993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1.2158909539351499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1.304284190715007E-8</v>
      </c>
      <c r="AC92" s="24">
        <f t="shared" si="57"/>
        <v>1.2158909669779918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125.50615549487452</v>
      </c>
      <c r="T93" s="62">
        <f t="shared" si="88"/>
        <v>156.05798578195993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1.1920480739487347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9.2226819584898969E-9</v>
      </c>
      <c r="AC93" s="24">
        <f t="shared" si="57"/>
        <v>1.1920480831714166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125.50615549487452</v>
      </c>
      <c r="T94" s="62">
        <f t="shared" si="88"/>
        <v>156.05798578195993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1.1686727382961322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6.5214209535750352E-9</v>
      </c>
      <c r="AC94" s="24">
        <f t="shared" si="57"/>
        <v>1.1686727448175531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125.50615549487452</v>
      </c>
      <c r="T95" s="62">
        <f t="shared" si="88"/>
        <v>156.05798578195993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1.1457557787181303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4.6113409792449484E-9</v>
      </c>
      <c r="AC95" s="24">
        <f t="shared" si="57"/>
        <v>1.1457557833294714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125.50615549487452</v>
      </c>
      <c r="T96" s="62">
        <f t="shared" si="88"/>
        <v>156.05798578195993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1.1232882067394878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3.2607104767875176E-9</v>
      </c>
      <c r="AC96" s="24">
        <f t="shared" si="57"/>
        <v>1.1232882100001982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125.50615549487452</v>
      </c>
      <c r="T97" s="62">
        <f t="shared" si="88"/>
        <v>156.05798578195993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1.1012612101434809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2.3056704896224742E-9</v>
      </c>
      <c r="AC97" s="24">
        <f t="shared" si="57"/>
        <v>1.1012612124491514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125.50615549487452</v>
      </c>
      <c r="T98" s="62">
        <f t="shared" si="88"/>
        <v>156.05798578195993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1.0796661495155802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1.6303552383937588E-9</v>
      </c>
      <c r="AC98" s="24">
        <f t="shared" si="57"/>
        <v>1.0796661511459353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125.50615549487452</v>
      </c>
      <c r="T99" s="62">
        <f t="shared" si="88"/>
        <v>156.05798578195993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1.0584945548549063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1.1528352448112371E-9</v>
      </c>
      <c r="AC99" s="24">
        <f t="shared" si="57"/>
        <v>1.0584945560077414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125.50615549487452</v>
      </c>
      <c r="T100" s="62">
        <f t="shared" si="88"/>
        <v>156.05798578195993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1.0377381222521305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8.151776191968794E-10</v>
      </c>
      <c r="AC100" s="24">
        <f t="shared" si="57"/>
        <v>1.0377381230673082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125.50615549487452</v>
      </c>
      <c r="T101" s="62">
        <f t="shared" si="88"/>
        <v>156.05798578195993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1.0173887106325215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5.7641762240561856E-10</v>
      </c>
      <c r="AC101" s="24">
        <f t="shared" si="57"/>
        <v>1.017388711208939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125.50615549487452</v>
      </c>
      <c r="T102" s="62">
        <f t="shared" si="88"/>
        <v>156.05798578195993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0.99743833856285735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4.075888095984397E-10</v>
      </c>
      <c r="AC102" s="24">
        <f t="shared" si="57"/>
        <v>0.9974383389704462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125.50615549487452</v>
      </c>
      <c r="T103" s="62">
        <f t="shared" si="88"/>
        <v>156.05798578195993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0.97787918112095396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2.8820881120280928E-10</v>
      </c>
      <c r="AC103" s="24">
        <f t="shared" si="57"/>
        <v>0.97787918140916275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125.50615549487452</v>
      </c>
      <c r="T104" s="62">
        <f t="shared" si="88"/>
        <v>156.05798578195993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0.9587035668265782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2.0379440479921985E-10</v>
      </c>
      <c r="AC104" s="24">
        <f t="shared" si="57"/>
        <v>0.95870356703037263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125.50615549487452</v>
      </c>
      <c r="T105" s="62">
        <f t="shared" si="88"/>
        <v>156.05798578195993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0.93990397463254538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1.4410440560140464E-10</v>
      </c>
      <c r="AC105" s="24">
        <f t="shared" si="57"/>
        <v>0.93990397477664978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125.50615549487452</v>
      </c>
      <c r="T106" s="62">
        <f t="shared" si="88"/>
        <v>156.05798578195993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0.92147303097481847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1.0189720239960993E-10</v>
      </c>
      <c r="AC106" s="24">
        <f t="shared" si="57"/>
        <v>0.92147303107671563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125.50615549487452</v>
      </c>
      <c r="T107" s="62">
        <f t="shared" si="88"/>
        <v>156.05798578195993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0.90340350688045401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7.2052202800702319E-11</v>
      </c>
      <c r="AC107" s="24">
        <f t="shared" si="57"/>
        <v>0.90340350695250626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125.50615549487452</v>
      </c>
      <c r="T108" s="62">
        <f t="shared" si="88"/>
        <v>156.05798578195993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0.88568831513225865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5.0948601199804963E-11</v>
      </c>
      <c r="AC108" s="24">
        <f t="shared" si="57"/>
        <v>0.88568831518320723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125.50615549487452</v>
      </c>
      <c r="T109" s="62">
        <f t="shared" si="88"/>
        <v>156.05798578195993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0.86832050748904532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3.602610140035116E-11</v>
      </c>
      <c r="AC109" s="24">
        <f t="shared" si="57"/>
        <v>0.86832050752507139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125.50615549487452</v>
      </c>
      <c r="T110" s="62">
        <f t="shared" si="88"/>
        <v>156.05798578195993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0.85129327196039872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2.5474300599902481E-11</v>
      </c>
      <c r="AC110" s="24">
        <f t="shared" si="57"/>
        <v>0.85129327198587301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125.50615549487452</v>
      </c>
      <c r="T111" s="62">
        <f t="shared" si="88"/>
        <v>156.05798578195993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0.83459993013488076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1.801305070017558E-11</v>
      </c>
      <c r="AC111" s="24">
        <f t="shared" si="57"/>
        <v>0.8345999301528938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125.50615549487452</v>
      </c>
      <c r="T112" s="62">
        <f t="shared" si="88"/>
        <v>156.05798578195993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0.8182339345606281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1.2737150299951241E-11</v>
      </c>
      <c r="AC112" s="24">
        <f t="shared" si="57"/>
        <v>0.81823393457336524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125.50615549487452</v>
      </c>
      <c r="T113" s="62">
        <f t="shared" si="88"/>
        <v>156.05798578195993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0.80218886617731489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9.0065253500877899E-12</v>
      </c>
      <c r="AC113" s="24">
        <f t="shared" si="57"/>
        <v>0.80218886618632146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125.50615549487452</v>
      </c>
      <c r="T114" s="62">
        <f t="shared" si="88"/>
        <v>156.05798578195993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0.78645843179847308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6.3685751499756203E-12</v>
      </c>
      <c r="AC114" s="24">
        <f t="shared" si="57"/>
        <v>0.78645843180484165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125.50615549487452</v>
      </c>
      <c r="T115" s="62">
        <f t="shared" si="88"/>
        <v>156.05798578195993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0.77103646164318274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4.503262675043895E-12</v>
      </c>
      <c r="AC115" s="24">
        <f t="shared" si="57"/>
        <v>0.77103646164768602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125.50615549487452</v>
      </c>
      <c r="T116" s="62">
        <f t="shared" si="88"/>
        <v>156.05798578195993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0.75591690691616464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3.1842875749878102E-12</v>
      </c>
      <c r="AC116" s="24">
        <f t="shared" si="57"/>
        <v>0.75591690691934899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125.50615549487452</v>
      </c>
      <c r="T117" s="62">
        <f t="shared" si="88"/>
        <v>156.05798578195993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0.74109383743532564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2.2516313375219475E-12</v>
      </c>
      <c r="AC117" s="24">
        <f t="shared" si="57"/>
        <v>0.74109383743757729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125.50615549487452</v>
      </c>
      <c r="T118" s="62">
        <f t="shared" si="88"/>
        <v>156.05798578195993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0.72656143930582617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1.5921437874939051E-12</v>
      </c>
      <c r="AC118" s="24">
        <f t="shared" si="57"/>
        <v>0.72656143930741834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125.50615549487452</v>
      </c>
      <c r="T119" s="62">
        <f t="shared" si="88"/>
        <v>156.05798578195993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0.71231401263975858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1.1258156687609737E-12</v>
      </c>
      <c r="AC119" s="24">
        <f t="shared" si="57"/>
        <v>0.71231401264088434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125.50615549487452</v>
      </c>
      <c r="T120" s="62">
        <f t="shared" si="88"/>
        <v>156.05798578195993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0.69834596932054038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7.9607189374695254E-13</v>
      </c>
      <c r="AC120" s="24">
        <f t="shared" si="57"/>
        <v>0.69834596932133641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125.50615549487452</v>
      </c>
      <c r="T121" s="62">
        <f t="shared" si="88"/>
        <v>156.05798578195993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0.68465183081114689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5.6290783438048687E-13</v>
      </c>
      <c r="AC121" s="24">
        <f t="shared" si="57"/>
        <v>0.68465183081170977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125.50615549487452</v>
      </c>
      <c r="T122" s="62">
        <f t="shared" si="88"/>
        <v>156.05798578195993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0.67122622600532289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3.9803594687347627E-13</v>
      </c>
      <c r="AC122" s="24">
        <f t="shared" si="57"/>
        <v>0.67122622600572091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125.50615549487452</v>
      </c>
      <c r="T123" s="62">
        <f t="shared" si="88"/>
        <v>156.05798578195993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0.65806388912093072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2.8145391719024344E-13</v>
      </c>
      <c r="AC123" s="24">
        <f t="shared" si="57"/>
        <v>0.65806388912121216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125.50615549487452</v>
      </c>
      <c r="T124" s="62">
        <f t="shared" si="88"/>
        <v>156.05798578195993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0.6451596576346087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1.9901797343673814E-13</v>
      </c>
      <c r="AC124" s="24">
        <f t="shared" si="57"/>
        <v>0.64515965763480776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125.50615549487452</v>
      </c>
      <c r="T125" s="62">
        <f t="shared" si="88"/>
        <v>156.05798578195993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0.63250847025692947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1.4072695859512172E-13</v>
      </c>
      <c r="AC125" s="24">
        <f t="shared" si="57"/>
        <v>0.63250847025707024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125.50615549487452</v>
      </c>
      <c r="T126" s="62">
        <f t="shared" si="88"/>
        <v>156.05798578195993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0.62010536494726409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9.9508986718369068E-14</v>
      </c>
      <c r="AC126" s="24">
        <f t="shared" si="57"/>
        <v>0.62010536494736357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125.50615549487452</v>
      </c>
      <c r="T127" s="62">
        <f t="shared" si="88"/>
        <v>156.05798578195993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0.60794547696757406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7.0363479297560859E-14</v>
      </c>
      <c r="AC127" s="24">
        <f t="shared" si="57"/>
        <v>0.60794547696764445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125.50615549487452</v>
      </c>
      <c r="T128" s="62">
        <f t="shared" si="88"/>
        <v>156.05798578195993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0.59602403697436646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4.9754493359184534E-14</v>
      </c>
      <c r="AC128" s="24">
        <f t="shared" si="57"/>
        <v>0.59602403697441619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125.50615549487452</v>
      </c>
      <c r="T129" s="62">
        <f t="shared" si="88"/>
        <v>156.05798578195993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0.58433636914806519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3.5181739648780429E-14</v>
      </c>
      <c r="AC129" s="24">
        <f t="shared" si="57"/>
        <v>0.58433636914810039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125.50615549487452</v>
      </c>
      <c r="T130" s="62">
        <f t="shared" si="88"/>
        <v>156.05798578195993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0.57287788935906425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2.4877246679592267E-14</v>
      </c>
      <c r="AC130" s="24">
        <f t="shared" si="57"/>
        <v>0.57287788935908912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125.50615549487452</v>
      </c>
      <c r="T131" s="62">
        <f t="shared" si="88"/>
        <v>156.05798578195993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0.56164410336974302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1.7590869824390215E-14</v>
      </c>
      <c r="AC131" s="24">
        <f t="shared" si="57"/>
        <v>0.56164410336976056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125.50615549487452</v>
      </c>
      <c r="T132" s="62">
        <f t="shared" si="88"/>
        <v>156.05798578195993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0.55063060507173955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1.2438623339796133E-14</v>
      </c>
      <c r="AC132" s="24">
        <f t="shared" ref="AC132:AC153" si="111">SUM(Z132:AB132)</f>
        <v>0.55063060507175199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125.50615549487452</v>
      </c>
      <c r="T133" s="62">
        <f t="shared" ref="T133:T196" si="142">$T$3</f>
        <v>156.05798578195993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0.5398330747577893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8.7954349121951074E-15</v>
      </c>
      <c r="AC133" s="24">
        <f t="shared" si="111"/>
        <v>0.53983307475779807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125.50615549487452</v>
      </c>
      <c r="T134" s="62">
        <f t="shared" si="142"/>
        <v>156.05798578195993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0.52924727742745237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6.2193116698980667E-15</v>
      </c>
      <c r="AC134" s="24">
        <f t="shared" si="111"/>
        <v>0.52924727742745858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125.50615549487452</v>
      </c>
      <c r="T135" s="62">
        <f t="shared" si="142"/>
        <v>156.05798578195993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0.51886906112606457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4.3977174560975537E-15</v>
      </c>
      <c r="AC135" s="24">
        <f t="shared" si="111"/>
        <v>0.51886906112606901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125.50615549487452</v>
      </c>
      <c r="T136" s="62">
        <f t="shared" si="142"/>
        <v>156.05798578195993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0.50869435531626006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3.1096558349490334E-15</v>
      </c>
      <c r="AC136" s="24">
        <f t="shared" si="111"/>
        <v>0.50869435531626317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125.50615549487452</v>
      </c>
      <c r="T137" s="62">
        <f t="shared" si="142"/>
        <v>156.05798578195993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0.49871916928142807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2.1988587280487768E-15</v>
      </c>
      <c r="AC137" s="24">
        <f t="shared" si="111"/>
        <v>0.49871916928143029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125.50615549487452</v>
      </c>
      <c r="T138" s="62">
        <f t="shared" si="142"/>
        <v>156.05798578195993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0.48893959056047637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1.5548279174745167E-15</v>
      </c>
      <c r="AC138" s="24">
        <f t="shared" si="111"/>
        <v>0.48893959056047792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125.50615549487452</v>
      </c>
      <c r="T139" s="62">
        <f t="shared" si="142"/>
        <v>156.05798578195993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0.47935178341328855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1.0994293640243884E-15</v>
      </c>
      <c r="AC139" s="24">
        <f t="shared" si="111"/>
        <v>0.47935178341328966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125.50615549487452</v>
      </c>
      <c r="T140" s="62">
        <f t="shared" si="142"/>
        <v>156.05798578195993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0.46995198731627214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7.7741395873725834E-16</v>
      </c>
      <c r="AC140" s="24">
        <f t="shared" si="111"/>
        <v>0.46995198731627291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125.50615549487452</v>
      </c>
      <c r="T141" s="62">
        <f t="shared" si="142"/>
        <v>156.05798578195993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0.46073651548740874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5.4971468201219421E-16</v>
      </c>
      <c r="AC141" s="24">
        <f t="shared" si="111"/>
        <v>0.46073651548740929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125.50615549487452</v>
      </c>
      <c r="T142" s="62">
        <f t="shared" si="142"/>
        <v>156.05798578195993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0.45170175344022651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3.8870697936862917E-16</v>
      </c>
      <c r="AC142" s="24">
        <f t="shared" si="111"/>
        <v>0.45170175344022689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125.50615549487452</v>
      </c>
      <c r="T143" s="62">
        <f t="shared" si="142"/>
        <v>156.05798578195993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0.44284415756612883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2.748573410060971E-16</v>
      </c>
      <c r="AC143" s="24">
        <f t="shared" si="111"/>
        <v>0.4428441575661291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125.50615549487452</v>
      </c>
      <c r="T144" s="62">
        <f t="shared" si="142"/>
        <v>156.05798578195993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0.43416025374452216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1.9435348968431459E-16</v>
      </c>
      <c r="AC144" s="24">
        <f t="shared" si="111"/>
        <v>0.43416025374452238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125.50615549487452</v>
      </c>
      <c r="T145" s="62">
        <f t="shared" si="142"/>
        <v>156.05798578195993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0.42564663598019892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1.3742867050304855E-16</v>
      </c>
      <c r="AC145" s="24">
        <f t="shared" si="111"/>
        <v>0.42564663598019903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125.50615549487452</v>
      </c>
      <c r="T146" s="62">
        <f t="shared" si="142"/>
        <v>156.05798578195993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0.41729996506743994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9.7176744842157293E-17</v>
      </c>
      <c r="AC146" s="24">
        <f t="shared" si="111"/>
        <v>0.41729996506744005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125.50615549487452</v>
      </c>
      <c r="T147" s="62">
        <f t="shared" si="142"/>
        <v>156.05798578195993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0.4091169672803136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6.8714335251524276E-17</v>
      </c>
      <c r="AC147" s="24">
        <f t="shared" si="111"/>
        <v>0.40911696728031366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125.50615549487452</v>
      </c>
      <c r="T148" s="62">
        <f t="shared" si="142"/>
        <v>156.05798578195993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0.401094433088657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4.8588372421078646E-17</v>
      </c>
      <c r="AC148" s="24">
        <f t="shared" si="111"/>
        <v>0.40109443308865705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125.50615549487452</v>
      </c>
      <c r="T149" s="62">
        <f t="shared" si="142"/>
        <v>156.05798578195993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0.3932292158992361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3.4357167625762138E-17</v>
      </c>
      <c r="AC149" s="24">
        <f t="shared" si="111"/>
        <v>0.39322921589923615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125.50615549487452</v>
      </c>
      <c r="T150" s="62">
        <f t="shared" si="142"/>
        <v>156.05798578195993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0.38551823082159092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2.4294186210539323E-17</v>
      </c>
      <c r="AC150" s="24">
        <f t="shared" si="111"/>
        <v>0.38551823082159092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125.50615549487452</v>
      </c>
      <c r="T151" s="62">
        <f t="shared" si="142"/>
        <v>156.05798578195993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0.37795845345808188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1.7178583812881069E-17</v>
      </c>
      <c r="AC151" s="24">
        <f t="shared" si="111"/>
        <v>0.37795845345808188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125.50615549487452</v>
      </c>
      <c r="T152" s="62">
        <f t="shared" si="142"/>
        <v>156.05798578195993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0.37054691871766238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1.2147093105269662E-17</v>
      </c>
      <c r="AC152" s="24">
        <f t="shared" si="111"/>
        <v>0.37054691871766238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125.50615549487452</v>
      </c>
      <c r="T153" s="62">
        <f t="shared" si="142"/>
        <v>156.05798578195993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0.3632807196529127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8.5892919064405345E-18</v>
      </c>
      <c r="AC153" s="24">
        <f t="shared" si="111"/>
        <v>0.3632807196529127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125.50615549487452</v>
      </c>
      <c r="T154" s="62">
        <f t="shared" si="142"/>
        <v>156.05798578195993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0.3561570063198789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6.0735465526348308E-18</v>
      </c>
      <c r="AC154" s="24">
        <f t="shared" ref="AC154:AC203" si="163">SUM(Z154:AB154)</f>
        <v>0.3561570063198789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125.50615549487452</v>
      </c>
      <c r="T155" s="62">
        <f t="shared" si="142"/>
        <v>156.05798578195993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0.3491729846602698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4.2946459532202673E-18</v>
      </c>
      <c r="AC155" s="24">
        <f t="shared" si="163"/>
        <v>0.3491729846602698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125.50615549487452</v>
      </c>
      <c r="T156" s="62">
        <f t="shared" si="142"/>
        <v>156.05798578195993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0.34232591540557306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3.0367732763174154E-18</v>
      </c>
      <c r="AC156" s="24">
        <f t="shared" si="163"/>
        <v>0.34232591540557306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125.50615549487452</v>
      </c>
      <c r="T157" s="62">
        <f t="shared" si="142"/>
        <v>156.05798578195993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0.33561311300266106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2.1473229766101336E-18</v>
      </c>
      <c r="AC157" s="24">
        <f t="shared" si="163"/>
        <v>0.33561311300266106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125.50615549487452</v>
      </c>
      <c r="T158" s="62">
        <f t="shared" si="142"/>
        <v>156.05798578195993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0.32903194456046497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1.5183866381587077E-18</v>
      </c>
      <c r="AC158" s="24">
        <f t="shared" si="163"/>
        <v>0.32903194456046497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125.50615549487452</v>
      </c>
      <c r="T159" s="62">
        <f t="shared" si="142"/>
        <v>156.05798578195993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0.32257982881730396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1.0736614883050668E-18</v>
      </c>
      <c r="AC159" s="24">
        <f t="shared" si="163"/>
        <v>0.32257982881730396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125.50615549487452</v>
      </c>
      <c r="T160" s="62">
        <f t="shared" si="142"/>
        <v>156.05798578195993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0.31625423512846434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7.5919331907935385E-19</v>
      </c>
      <c r="AC160" s="24">
        <f t="shared" si="163"/>
        <v>0.31625423512846434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125.50615549487452</v>
      </c>
      <c r="T161" s="62">
        <f t="shared" si="142"/>
        <v>156.05798578195993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0.31005268247363171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5.3683074415253341E-19</v>
      </c>
      <c r="AC161" s="24">
        <f t="shared" si="163"/>
        <v>0.31005268247363171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125.50615549487452</v>
      </c>
      <c r="T162" s="62">
        <f t="shared" si="142"/>
        <v>156.05798578195993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0.3039727384837867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3.7959665953967692E-19</v>
      </c>
      <c r="AC162" s="24">
        <f t="shared" si="163"/>
        <v>0.3039727384837867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125.50615549487452</v>
      </c>
      <c r="T163" s="62">
        <f t="shared" si="142"/>
        <v>156.05798578195993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0.29801201848718289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2.684153720762667E-19</v>
      </c>
      <c r="AC163" s="24">
        <f t="shared" si="163"/>
        <v>0.29801201848718289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125.50615549487452</v>
      </c>
      <c r="T164" s="62">
        <f t="shared" si="142"/>
        <v>156.05798578195993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0.29216818457403226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1.8979832976983846E-19</v>
      </c>
      <c r="AC164" s="24">
        <f t="shared" si="163"/>
        <v>0.29216818457403226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125.50615549487452</v>
      </c>
      <c r="T165" s="62">
        <f t="shared" si="142"/>
        <v>156.05798578195993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0.28643894467953179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1.3420768603813335E-19</v>
      </c>
      <c r="AC165" s="24">
        <f t="shared" si="163"/>
        <v>0.28643894467953179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125.50615549487452</v>
      </c>
      <c r="T166" s="62">
        <f t="shared" si="142"/>
        <v>156.05798578195993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0.28082205168487118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9.4899164884919231E-20</v>
      </c>
      <c r="AC166" s="24">
        <f t="shared" si="163"/>
        <v>0.28082205168487118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125.50615549487452</v>
      </c>
      <c r="T167" s="62">
        <f t="shared" si="142"/>
        <v>156.05798578195993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0.27531530253586944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6.7103843019066676E-20</v>
      </c>
      <c r="AC167" s="24">
        <f t="shared" si="163"/>
        <v>0.27531530253586944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125.50615549487452</v>
      </c>
      <c r="T168" s="62">
        <f t="shared" si="142"/>
        <v>156.05798578195993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0.26991653737889432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4.7449582442459615E-20</v>
      </c>
      <c r="AC168" s="24">
        <f t="shared" si="163"/>
        <v>0.26991653737889432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125.50615549487452</v>
      </c>
      <c r="T169" s="62">
        <f t="shared" si="142"/>
        <v>156.05798578195993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0.26462363871372585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3.3551921509533338E-20</v>
      </c>
      <c r="AC169" s="24">
        <f t="shared" si="163"/>
        <v>0.26462363871372585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125.50615549487452</v>
      </c>
      <c r="T170" s="62">
        <f t="shared" si="142"/>
        <v>156.05798578195993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0.25943453056303195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2.3724791221229808E-20</v>
      </c>
      <c r="AC170" s="24">
        <f t="shared" si="163"/>
        <v>0.25943453056303195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125.50615549487452</v>
      </c>
      <c r="T171" s="62">
        <f t="shared" si="142"/>
        <v>156.05798578195993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0.2543471776581297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1.6775960754766669E-20</v>
      </c>
      <c r="AC171" s="24">
        <f t="shared" si="163"/>
        <v>0.2543471776581297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125.50615549487452</v>
      </c>
      <c r="T172" s="62">
        <f t="shared" si="142"/>
        <v>156.05798578195993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0.2493595846407137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1.1862395610614904E-20</v>
      </c>
      <c r="AC172" s="24">
        <f t="shared" si="163"/>
        <v>0.2493595846407137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125.50615549487452</v>
      </c>
      <c r="T173" s="62">
        <f t="shared" si="142"/>
        <v>156.05798578195993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0.24446979528023788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8.3879803773833345E-21</v>
      </c>
      <c r="AC173" s="24">
        <f t="shared" si="163"/>
        <v>0.24446979528023788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125.50615549487452</v>
      </c>
      <c r="T174" s="62">
        <f t="shared" si="142"/>
        <v>156.05798578195993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0.23967589170664397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5.9311978053074519E-21</v>
      </c>
      <c r="AC174" s="24">
        <f t="shared" si="163"/>
        <v>0.23967589170664397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125.50615549487452</v>
      </c>
      <c r="T175" s="62">
        <f t="shared" si="142"/>
        <v>156.05798578195993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0.23497599365813576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4.1939901886916672E-21</v>
      </c>
      <c r="AC175" s="24">
        <f t="shared" si="163"/>
        <v>0.23497599365813576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125.50615549487452</v>
      </c>
      <c r="T176" s="62">
        <f t="shared" si="142"/>
        <v>156.05798578195993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0.23036825774370406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2.965598902653726E-21</v>
      </c>
      <c r="AC176" s="24">
        <f t="shared" si="163"/>
        <v>0.23036825774370406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125.50615549487452</v>
      </c>
      <c r="T177" s="62">
        <f t="shared" si="142"/>
        <v>156.05798578195993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0.22585087672011298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2.0969950943458336E-21</v>
      </c>
      <c r="AC177" s="24">
        <f t="shared" si="163"/>
        <v>0.22585087672011298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125.50615549487452</v>
      </c>
      <c r="T178" s="62">
        <f t="shared" si="142"/>
        <v>156.05798578195993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0.22142207878306414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1.482799451326863E-21</v>
      </c>
      <c r="AC178" s="24">
        <f t="shared" si="163"/>
        <v>0.22142207878306414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125.50615549487452</v>
      </c>
      <c r="T179" s="62">
        <f t="shared" si="142"/>
        <v>156.05798578195993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0.21708012687226083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1.0484975471729168E-21</v>
      </c>
      <c r="AC179" s="24">
        <f t="shared" si="163"/>
        <v>0.21708012687226083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125.50615549487452</v>
      </c>
      <c r="T180" s="62">
        <f t="shared" si="142"/>
        <v>156.05798578195993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0.21282331799009921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7.4139972566343149E-22</v>
      </c>
      <c r="AC180" s="24">
        <f t="shared" si="163"/>
        <v>0.21282331799009921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125.50615549487452</v>
      </c>
      <c r="T181" s="62">
        <f t="shared" si="142"/>
        <v>156.05798578195993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0.20864998253371972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5.2424877358645841E-22</v>
      </c>
      <c r="AC181" s="24">
        <f t="shared" si="163"/>
        <v>0.20864998253371972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125.50615549487452</v>
      </c>
      <c r="T182" s="62">
        <f t="shared" si="142"/>
        <v>156.05798578195993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0.20455848364015655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3.7069986283171575E-22</v>
      </c>
      <c r="AC182" s="24">
        <f t="shared" si="163"/>
        <v>0.20455848364015655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125.50615549487452</v>
      </c>
      <c r="T183" s="62">
        <f t="shared" si="142"/>
        <v>156.05798578195993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0.20054721654432825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2.621243867932292E-22</v>
      </c>
      <c r="AC183" s="24">
        <f t="shared" si="163"/>
        <v>0.20054721654432825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125.50615549487452</v>
      </c>
      <c r="T184" s="62">
        <f t="shared" si="142"/>
        <v>156.05798578195993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0.1966146079496178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1.8534993141585787E-22</v>
      </c>
      <c r="AC184" s="24">
        <f t="shared" si="163"/>
        <v>0.1966146079496178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125.50615549487452</v>
      </c>
      <c r="T185" s="62">
        <f t="shared" si="142"/>
        <v>156.05798578195993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0.19275911541079521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1.310621933966146E-22</v>
      </c>
      <c r="AC185" s="24">
        <f t="shared" si="163"/>
        <v>0.19275911541079521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125.50615549487452</v>
      </c>
      <c r="T186" s="62">
        <f t="shared" si="142"/>
        <v>156.05798578195993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0.18897922672904069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9.2674965707928937E-23</v>
      </c>
      <c r="AC186" s="24">
        <f t="shared" si="163"/>
        <v>0.18897922672904069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125.50615549487452</v>
      </c>
      <c r="T187" s="62">
        <f t="shared" si="142"/>
        <v>156.05798578195993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0.18527345935883094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6.5531096698307301E-23</v>
      </c>
      <c r="AC187" s="24">
        <f t="shared" si="163"/>
        <v>0.18527345935883094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125.50615549487452</v>
      </c>
      <c r="T188" s="62">
        <f t="shared" si="142"/>
        <v>156.05798578195993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0.1816403598264561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4.6337482853964468E-23</v>
      </c>
      <c r="AC188" s="24">
        <f t="shared" si="163"/>
        <v>0.1816403598264561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125.50615549487452</v>
      </c>
      <c r="T189" s="62">
        <f t="shared" si="142"/>
        <v>156.05798578195993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0.17807850315993923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3.276554834915365E-23</v>
      </c>
      <c r="AC189" s="24">
        <f t="shared" si="163"/>
        <v>0.17807850315993923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125.50615549487452</v>
      </c>
      <c r="T190" s="62">
        <f t="shared" si="142"/>
        <v>156.05798578195993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0.17458649233013468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2.3168741426982234E-23</v>
      </c>
      <c r="AC190" s="24">
        <f t="shared" si="163"/>
        <v>0.17458649233013468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125.50615549487452</v>
      </c>
      <c r="T191" s="62">
        <f t="shared" si="142"/>
        <v>156.05798578195993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0.17116295770278631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1.6382774174576825E-23</v>
      </c>
      <c r="AC191" s="24">
        <f t="shared" si="163"/>
        <v>0.17116295770278631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125.50615549487452</v>
      </c>
      <c r="T192" s="62">
        <f t="shared" si="142"/>
        <v>156.05798578195993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0.16780655650133031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1.1584370713491117E-23</v>
      </c>
      <c r="AC192" s="24">
        <f t="shared" si="163"/>
        <v>0.16780655650133031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125.50615549487452</v>
      </c>
      <c r="T193" s="62">
        <f t="shared" si="142"/>
        <v>156.05798578195993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0.16451597228023226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8.1913870872884126E-24</v>
      </c>
      <c r="AC193" s="24">
        <f t="shared" si="163"/>
        <v>0.16451597228023226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125.50615549487452</v>
      </c>
      <c r="T194" s="62">
        <f t="shared" si="142"/>
        <v>156.05798578195993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0.16128991440865176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5.7921853567455585E-24</v>
      </c>
      <c r="AC194" s="24">
        <f t="shared" si="163"/>
        <v>0.16128991440865176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125.50615549487452</v>
      </c>
      <c r="T195" s="62">
        <f t="shared" si="142"/>
        <v>156.05798578195993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0.15812711756423195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4.0956935436442063E-24</v>
      </c>
      <c r="AC195" s="24">
        <f t="shared" si="163"/>
        <v>0.15812711756423195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125.50615549487452</v>
      </c>
      <c r="T196" s="62">
        <f t="shared" si="142"/>
        <v>156.05798578195993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0.15502634123681563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2.8960926783727793E-24</v>
      </c>
      <c r="AC196" s="24">
        <f t="shared" si="163"/>
        <v>0.15502634123681563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125.50615549487452</v>
      </c>
      <c r="T197" s="62">
        <f t="shared" ref="T197:T203" si="204">$T$3</f>
        <v>156.05798578195993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0.15198636924189313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2.0478467718221031E-24</v>
      </c>
      <c r="AC197" s="24">
        <f t="shared" si="163"/>
        <v>0.15198636924189313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125.50615549487452</v>
      </c>
      <c r="T198" s="62">
        <f t="shared" si="204"/>
        <v>156.05798578195993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0.14900600924359123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1.4480463391863896E-24</v>
      </c>
      <c r="AC198" s="24">
        <f t="shared" si="163"/>
        <v>0.14900600924359123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125.50615549487452</v>
      </c>
      <c r="T199" s="62">
        <f t="shared" si="204"/>
        <v>156.05798578195993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0.14608409228701591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1.0239233859110516E-24</v>
      </c>
      <c r="AC199" s="24">
        <f t="shared" si="163"/>
        <v>0.14608409228701591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125.50615549487452</v>
      </c>
      <c r="T200" s="62">
        <f t="shared" si="204"/>
        <v>156.05798578195993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0.14321947233976567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7.2402316959319482E-25</v>
      </c>
      <c r="AC200" s="24">
        <f t="shared" si="163"/>
        <v>0.14321947233976567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125.50615549487452</v>
      </c>
      <c r="T201" s="62">
        <f t="shared" si="204"/>
        <v>156.05798578195993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0.14041102584243539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5.1196169295552579E-25</v>
      </c>
      <c r="AC201" s="24">
        <f t="shared" si="163"/>
        <v>0.14041102584243539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125.50615549487452</v>
      </c>
      <c r="T202" s="62">
        <f t="shared" si="204"/>
        <v>156.05798578195993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0.13765765126793453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3.6201158479659741E-25</v>
      </c>
      <c r="AC202" s="24">
        <f t="shared" si="163"/>
        <v>0.13765765126793453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125.50615549487452</v>
      </c>
      <c r="T203" s="62">
        <f t="shared" si="204"/>
        <v>156.05798578195993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0.13495826868944696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2.5598084647776289E-25</v>
      </c>
      <c r="AC203" s="24">
        <f t="shared" si="163"/>
        <v>0.13495826868944696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1.2529907072018422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3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4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3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5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5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4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3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4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8" sqref="G1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17" t="s">
        <v>191</v>
      </c>
      <c r="C2" s="318"/>
      <c r="D2" s="318"/>
      <c r="E2" s="318"/>
      <c r="F2" s="318"/>
      <c r="G2" s="319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16"/>
      <c r="C4" s="316"/>
      <c r="D4" s="316"/>
      <c r="E4" s="316"/>
      <c r="F4" s="316"/>
      <c r="G4" s="316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" workbookViewId="0">
      <selection activeCell="L24" sqref="L24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17" t="s">
        <v>271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9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17.670000000000002</v>
      </c>
      <c r="C6" s="156">
        <f ca="1">IF(OR('Données projet'!B9="",'Données projet'!C9="",'Données projet'!C9=0%),0,Calculateur!S3)</f>
        <v>125.50615549487452</v>
      </c>
      <c r="D6" s="156">
        <f>IF(OR('Données projet'!B9="",'Données projet'!C9="",'Données projet'!C9=0%),0,Calculateur!T3)</f>
        <v>156.05798578195993</v>
      </c>
      <c r="E6" s="156">
        <f ca="1">MIN(C6,D6)</f>
        <v>125.50615549487452</v>
      </c>
      <c r="F6" s="156">
        <f ca="1">E6*B6</f>
        <v>2217.6937675944328</v>
      </c>
      <c r="G6" s="156">
        <f ca="1">F6*(100%-'Données projet'!$C$24)*(100%-'Données projet'!$C$25)*(100%-'Données projet'!$C$26)*(100%-'Données projet'!$C$27)</f>
        <v>1696.5357322097411</v>
      </c>
      <c r="H6" s="157">
        <f>IF(OR('Données projet'!B9="",'Données projet'!C9="",'Données projet'!C9=0%),0,AVERAGE(Calculateur!$AC$3:$AC$33)*B6)</f>
        <v>67.775505458614447</v>
      </c>
      <c r="I6" s="158">
        <f>H6*(100%-'Données projet'!$C$24)*(100%-'Données projet'!$C$25)*(100%-'Données projet'!$C$26)*(100%-'Données projet'!$C$27)</f>
        <v>51.84826167584005</v>
      </c>
      <c r="J6" s="159">
        <f>IF(OR('Données projet'!B9="",'Données projet'!C9="",'Données projet'!C9=0%),0,SUM(Calculateur!$V$3:$V$33)*VLOOKUP('Données projet'!$B$9,Paramètres!$A$1:$I$89,9,0)*B6)</f>
        <v>708.92039999999997</v>
      </c>
      <c r="K6" s="160">
        <f>J6*(100%-'Données projet'!$C$24)*(100%-'Données projet'!$C$25)*(100%-'Données projet'!$C$26)*(100%-'Données projet'!$C$27)</f>
        <v>542.32410600000003</v>
      </c>
      <c r="L6" s="161">
        <f ca="1">G6+I6+K6</f>
        <v>2290.7080998855813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2217.6937675944328</v>
      </c>
      <c r="G16" s="175">
        <f t="shared" ca="1" si="3"/>
        <v>1696.5357322097411</v>
      </c>
      <c r="H16" s="176">
        <f t="shared" si="3"/>
        <v>67.775505458614447</v>
      </c>
      <c r="I16" s="176">
        <f t="shared" si="3"/>
        <v>51.84826167584005</v>
      </c>
      <c r="J16" s="177">
        <f t="shared" si="3"/>
        <v>708.92039999999997</v>
      </c>
      <c r="K16" s="177">
        <f t="shared" si="3"/>
        <v>542.32410600000003</v>
      </c>
      <c r="L16" s="178">
        <f t="shared" ca="1" si="3"/>
        <v>2290.7080998855813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F1" zoomScale="90" zoomScaleNormal="90" workbookViewId="0">
      <selection activeCell="K19" sqref="K19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17" t="s">
        <v>272</v>
      </c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9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871.64336401563719</v>
      </c>
      <c r="U10" s="190">
        <f>'Données projet'!D9</f>
        <v>17.670000000000002</v>
      </c>
      <c r="V10" s="189">
        <f>U10*T10</f>
        <v>15401.938242156311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>
        <v>60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59.999999999999957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>
        <v>10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599.99999999999955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0</v>
      </c>
      <c r="I20" s="204">
        <v>2065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120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v>250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21</v>
      </c>
      <c r="B23" s="193">
        <f>'Données projet'!D36</f>
        <v>30</v>
      </c>
      <c r="C23" s="206">
        <v>9</v>
      </c>
      <c r="D23" s="194">
        <f>B23*C23</f>
        <v>270</v>
      </c>
      <c r="E23" s="206"/>
      <c r="F23" s="261"/>
      <c r="H23" s="203">
        <v>3</v>
      </c>
      <c r="I23" s="204">
        <v>1165</v>
      </c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-45199.987284128278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28</v>
      </c>
      <c r="B24" s="193">
        <f>'Données projet'!D37</f>
        <v>38</v>
      </c>
      <c r="C24" s="206">
        <v>11</v>
      </c>
      <c r="D24" s="194">
        <f t="shared" ref="D24:D42" si="2">B24*C24</f>
        <v>418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755.80606579240339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30</v>
      </c>
      <c r="B25" s="193">
        <f>'Données projet'!D38</f>
        <v>0</v>
      </c>
      <c r="C25" s="206">
        <v>29</v>
      </c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-45955.793349920685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36</v>
      </c>
      <c r="B26" s="193">
        <f>'Données projet'!D39</f>
        <v>48</v>
      </c>
      <c r="C26" s="206">
        <v>36</v>
      </c>
      <c r="D26" s="194">
        <f t="shared" si="2"/>
        <v>1728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45</v>
      </c>
      <c r="B27" s="193">
        <f>'Données projet'!D40</f>
        <v>55</v>
      </c>
      <c r="C27" s="206">
        <v>38</v>
      </c>
      <c r="D27" s="194">
        <f t="shared" si="2"/>
        <v>2090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55</v>
      </c>
      <c r="B28" s="193">
        <f>'Données projet'!D41</f>
        <v>247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str">
        <f>IF(O88+1&lt;=MIN('Données projet'!$E$9:$E$18),O88+1,"STOP")</f>
        <v>STOP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Calculateur</vt:lpstr>
      <vt:lpstr>Paramètres</vt:lpstr>
      <vt:lpstr>Scénario référence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2024-08-19T13:24:41Z</dcterms:modified>
</cp:coreProperties>
</file>