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LE RIALET - GF du CATIE\Dossier à déposer\"/>
    </mc:Choice>
  </mc:AlternateContent>
  <xr:revisionPtr revIDLastSave="0" documentId="13_ncr:1_{82F86D57-1BE5-4E2D-BEDF-01EC4495F854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DH156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I163" i="2"/>
  <c r="EA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C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A193" i="2"/>
  <c r="ED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D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86" i="2" a="1"/>
  <c r="DN186" i="2" s="1"/>
  <c r="DN41" i="2" a="1"/>
  <c r="DN41" i="2" s="1"/>
  <c r="DN153" i="2" a="1"/>
  <c r="DN153" i="2" s="1"/>
  <c r="DN188" i="2" a="1"/>
  <c r="DN188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114" i="2" a="1"/>
  <c r="CS114" i="2" s="1"/>
  <c r="DN49" i="2" a="1"/>
  <c r="DN49" i="2" s="1"/>
  <c r="DN16" i="2" a="1"/>
  <c r="DN16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76" i="2" a="1"/>
  <c r="DN176" i="2" s="1"/>
  <c r="DN6" i="2" a="1"/>
  <c r="DN6" i="2" s="1"/>
  <c r="DO6" i="2" s="1"/>
  <c r="DN30" i="2" a="1"/>
  <c r="DN30" i="2" s="1"/>
  <c r="CS134" i="2" a="1"/>
  <c r="CS134" i="2" s="1"/>
  <c r="DN45" i="2" a="1"/>
  <c r="DN45" i="2" s="1"/>
  <c r="FD82" i="2" a="1"/>
  <c r="FD82" i="2" s="1"/>
  <c r="DN187" i="2" a="1"/>
  <c r="DN187" i="2" s="1"/>
  <c r="HJ202" i="2"/>
  <c r="EY202" i="2"/>
  <c r="AX200" i="2"/>
  <c r="CS77" i="2" l="1" a="1"/>
  <c r="CS77" i="2" s="1"/>
  <c r="CS72" i="2" a="1"/>
  <c r="CS72" i="2" s="1"/>
  <c r="CS120" i="2" a="1"/>
  <c r="CS120" i="2" s="1"/>
  <c r="CS56" i="2" a="1"/>
  <c r="CS56" i="2" s="1"/>
  <c r="DN114" i="2" a="1"/>
  <c r="DN114" i="2" s="1"/>
  <c r="DN129" i="2" a="1"/>
  <c r="DN129" i="2" s="1"/>
  <c r="DN164" i="2" a="1"/>
  <c r="DN164" i="2" s="1"/>
  <c r="DN103" i="2" a="1"/>
  <c r="DN103" i="2" s="1"/>
  <c r="DN113" i="2" a="1"/>
  <c r="DN113" i="2" s="1"/>
  <c r="DN190" i="2" a="1"/>
  <c r="DN190" i="2" s="1"/>
  <c r="DN135" i="2" a="1"/>
  <c r="DN135" i="2" s="1"/>
  <c r="DN25" i="2" a="1"/>
  <c r="DN25" i="2" s="1"/>
  <c r="DN133" i="2" a="1"/>
  <c r="DN133" i="2" s="1"/>
  <c r="DN38" i="2" a="1"/>
  <c r="DN38" i="2" s="1"/>
  <c r="DN150" i="2" a="1"/>
  <c r="DN150" i="2" s="1"/>
  <c r="DN184" i="2" a="1"/>
  <c r="DN184" i="2" s="1"/>
  <c r="DN192" i="2" a="1"/>
  <c r="DN192" i="2" s="1"/>
  <c r="DN152" i="2" a="1"/>
  <c r="DN152" i="2" s="1"/>
  <c r="DN63" i="2" a="1"/>
  <c r="DN63" i="2" s="1"/>
  <c r="DN66" i="2" a="1"/>
  <c r="DN66" i="2" s="1"/>
  <c r="DN29" i="2" a="1"/>
  <c r="DN29" i="2" s="1"/>
  <c r="DN86" i="2" a="1"/>
  <c r="DN86" i="2" s="1"/>
  <c r="DN43" i="2" a="1"/>
  <c r="DN43" i="2" s="1"/>
  <c r="DN177" i="2" a="1"/>
  <c r="DN177" i="2" s="1"/>
  <c r="DN132" i="2" a="1"/>
  <c r="DN132" i="2" s="1"/>
  <c r="DN167" i="2" a="1"/>
  <c r="DN167" i="2" s="1"/>
  <c r="DN115" i="2" a="1"/>
  <c r="DN115" i="2" s="1"/>
  <c r="DN155" i="2" a="1"/>
  <c r="DN155" i="2" s="1"/>
  <c r="DN46" i="2" a="1"/>
  <c r="DN46" i="2" s="1"/>
  <c r="DN162" i="2" a="1"/>
  <c r="DN162" i="2" s="1"/>
  <c r="DN170" i="2" a="1"/>
  <c r="DN170" i="2" s="1"/>
  <c r="AH19" i="2" a="1"/>
  <c r="AH19" i="2" s="1"/>
  <c r="AH90" i="2" a="1"/>
  <c r="AH90" i="2" s="1"/>
  <c r="BC32" i="2" a="1"/>
  <c r="BC32" i="2" s="1"/>
  <c r="DN137" i="2" a="1"/>
  <c r="DN137" i="2" s="1"/>
  <c r="DN124" i="2" a="1"/>
  <c r="DN124" i="2" s="1"/>
  <c r="DN56" i="2" a="1"/>
  <c r="DN56" i="2" s="1"/>
  <c r="DN123" i="2" a="1"/>
  <c r="DN123" i="2" s="1"/>
  <c r="DN50" i="2" a="1"/>
  <c r="DN50" i="2" s="1"/>
  <c r="CS52" i="2" a="1"/>
  <c r="CS52" i="2" s="1"/>
  <c r="CS66" i="2" a="1"/>
  <c r="CS66" i="2" s="1"/>
  <c r="CS137" i="2" a="1"/>
  <c r="CS137" i="2" s="1"/>
  <c r="CS38" i="2" a="1"/>
  <c r="CS38" i="2" s="1"/>
  <c r="CS24" i="2" a="1"/>
  <c r="CS24" i="2" s="1"/>
  <c r="CS105" i="2" a="1"/>
  <c r="CS105" i="2" s="1"/>
  <c r="CS129" i="2" a="1"/>
  <c r="CS129" i="2" s="1"/>
  <c r="CS116" i="2" a="1"/>
  <c r="CS116" i="2" s="1"/>
  <c r="CS161" i="2" a="1"/>
  <c r="CS161" i="2" s="1"/>
  <c r="BX107" i="2" a="1"/>
  <c r="BX107" i="2" s="1"/>
  <c r="BC117" i="2" a="1"/>
  <c r="BC117" i="2" s="1"/>
  <c r="BC83" i="2" a="1"/>
  <c r="BC83" i="2" s="1"/>
  <c r="BC181" i="2" a="1"/>
  <c r="BC181" i="2" s="1"/>
  <c r="BC65" i="2" a="1"/>
  <c r="BC65" i="2" s="1"/>
  <c r="BC31" i="2" a="1"/>
  <c r="BC31" i="2" s="1"/>
  <c r="BC7" i="2" a="1"/>
  <c r="BC7" i="2" s="1"/>
  <c r="BC84" i="2" a="1"/>
  <c r="BC84" i="2" s="1"/>
  <c r="BC114" i="2" a="1"/>
  <c r="BC114" i="2" s="1"/>
  <c r="BC126" i="2" a="1"/>
  <c r="BC126" i="2" s="1"/>
  <c r="BC55" i="2" a="1"/>
  <c r="BC55" i="2" s="1"/>
  <c r="BC164" i="2" a="1"/>
  <c r="BC164" i="2" s="1"/>
  <c r="BC192" i="2" a="1"/>
  <c r="BC192" i="2" s="1"/>
  <c r="BC82" i="2" a="1"/>
  <c r="BC82" i="2" s="1"/>
  <c r="BC18" i="2" a="1"/>
  <c r="BC18" i="2" s="1"/>
  <c r="BC130" i="2" a="1"/>
  <c r="BC130" i="2" s="1"/>
  <c r="BC47" i="2" a="1"/>
  <c r="BC47" i="2" s="1"/>
  <c r="BC38" i="2" a="1"/>
  <c r="BC38" i="2" s="1"/>
  <c r="BC151" i="2" a="1"/>
  <c r="BC151" i="2" s="1"/>
  <c r="BC68" i="2" a="1"/>
  <c r="BC68" i="2" s="1"/>
  <c r="BC58" i="2" a="1"/>
  <c r="BC58" i="2" s="1"/>
  <c r="BC185" i="2" a="1"/>
  <c r="BC185" i="2" s="1"/>
  <c r="BC143" i="2" a="1"/>
  <c r="BC143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<sst xmlns="http://schemas.openxmlformats.org/spreadsheetml/2006/main" count="1174" uniqueCount="324">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</sst>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5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10.221654860295478</c:v>
                </c:pt>
                <c:pt idx="2">
                  <c:v>19.998949519771983</c:v>
                </c:pt>
                <c:pt idx="3">
                  <c:v>29.6327381398707</c:v>
                </c:pt>
                <c:pt idx="4">
                  <c:v>39.178066298279745</c:v>
                </c:pt>
                <c:pt idx="5">
                  <c:v>48.659882455320734</c:v>
                </c:pt>
                <c:pt idx="6">
                  <c:v>58.092418254388406</c:v>
                </c:pt>
                <c:pt idx="7">
                  <c:v>67.484848285704871</c:v>
                </c:pt>
                <c:pt idx="8">
                  <c:v>76.843563013572378</c:v>
                </c:pt>
                <c:pt idx="9">
                  <c:v>86.173259510546401</c:v>
                </c:pt>
                <c:pt idx="10">
                  <c:v>95.477529820975846</c:v>
                </c:pt>
                <c:pt idx="11">
                  <c:v>104.7592060079386</c:v>
                </c:pt>
                <c:pt idx="12">
                  <c:v>114.02057567980363</c:v>
                </c:pt>
                <c:pt idx="13">
                  <c:v>123.26352343536469</c:v>
                </c:pt>
                <c:pt idx="14">
                  <c:v>132.48962746478011</c:v>
                </c:pt>
                <c:pt idx="15">
                  <c:v>141.70022772708563</c:v>
                </c:pt>
                <c:pt idx="16">
                  <c:v>150.89647541242331</c:v>
                </c:pt>
                <c:pt idx="17">
                  <c:v>160.07936967898286</c:v>
                </c:pt>
                <c:pt idx="18">
                  <c:v>169.24978549655808</c:v>
                </c:pt>
                <c:pt idx="19">
                  <c:v>178.40849512525776</c:v>
                </c:pt>
                <c:pt idx="20">
                  <c:v>187.55618494338475</c:v>
                </c:pt>
                <c:pt idx="21">
                  <c:v>196.69346881409535</c:v>
                </c:pt>
                <c:pt idx="22">
                  <c:v>205.82089883389031</c:v>
                </c:pt>
                <c:pt idx="23">
                  <c:v>214.9389740715925</c:v>
                </c:pt>
                <c:pt idx="24">
                  <c:v>224.04814774461713</c:v>
                </c:pt>
                <c:pt idx="25">
                  <c:v>233.14883316549523</c:v>
                </c:pt>
                <c:pt idx="26">
                  <c:v>242.24140871017039</c:v>
                </c:pt>
                <c:pt idx="27">
                  <c:v>251.32622200044386</c:v>
                </c:pt>
                <c:pt idx="28">
                  <c:v>260.40359344937906</c:v>
                </c:pt>
                <c:pt idx="29">
                  <c:v>269.47381928598719</c:v>
                </c:pt>
                <c:pt idx="30">
                  <c:v>278.53717415099356</c:v>
                </c:pt>
                <c:pt idx="31">
                  <c:v>287.59391333677951</c:v>
                </c:pt>
                <c:pt idx="32">
                  <c:v>296.64427473018031</c:v>
                </c:pt>
                <c:pt idx="33">
                  <c:v>305.68848050561127</c:v>
                </c:pt>
                <c:pt idx="34">
                  <c:v>314.72673860720062</c:v>
                </c:pt>
                <c:pt idx="35">
                  <c:v>323.75924405165341</c:v>
                </c:pt>
                <c:pt idx="36">
                  <c:v>332.78618007803192</c:v>
                </c:pt>
                <c:pt idx="37">
                  <c:v>341.80771916619102</c:v>
                </c:pt>
                <c:pt idx="38">
                  <c:v>350.82402394201648</c:v>
                </c:pt>
                <c:pt idx="39">
                  <c:v>359.83524798469381</c:v>
                </c:pt>
                <c:pt idx="40">
                  <c:v>368.84153654885125</c:v>
                </c:pt>
                <c:pt idx="41">
                  <c:v>377.8430272124553</c:v>
                </c:pt>
                <c:pt idx="42">
                  <c:v>386.83985045971781</c:v>
                </c:pt>
                <c:pt idx="43">
                  <c:v>297.21717518827523</c:v>
                </c:pt>
                <c:pt idx="44">
                  <c:v>317.58724822366509</c:v>
                </c:pt>
                <c:pt idx="45">
                  <c:v>337.92839403108047</c:v>
                </c:pt>
                <c:pt idx="46">
                  <c:v>358.24259793484299</c:v>
                </c:pt>
                <c:pt idx="47">
                  <c:v>378.53160178526781</c:v>
                </c:pt>
                <c:pt idx="48">
                  <c:v>398.79694553728058</c:v>
                </c:pt>
                <c:pt idx="49">
                  <c:v>341.42696956725382</c:v>
                </c:pt>
                <c:pt idx="50">
                  <c:v>361.90308592785345</c:v>
                </c:pt>
                <c:pt idx="51">
                  <c:v>382.35388351937019</c:v>
                </c:pt>
                <c:pt idx="52">
                  <c:v>402.78090627015791</c:v>
                </c:pt>
                <c:pt idx="53">
                  <c:v>423.18552880120905</c:v>
                </c:pt>
                <c:pt idx="54">
                  <c:v>443.56898242812048</c:v>
                </c:pt>
                <c:pt idx="55">
                  <c:v>377.70056009818182</c:v>
                </c:pt>
                <c:pt idx="56">
                  <c:v>397.46876752677173</c:v>
                </c:pt>
                <c:pt idx="57">
                  <c:v>417.21568777134922</c:v>
                </c:pt>
                <c:pt idx="58">
                  <c:v>436.94246952460384</c:v>
                </c:pt>
                <c:pt idx="59">
                  <c:v>456.65014935173781</c:v>
                </c:pt>
                <c:pt idx="60">
                  <c:v>476.3396671012872</c:v>
                </c:pt>
                <c:pt idx="61">
                  <c:v>411.90761674960089</c:v>
                </c:pt>
                <c:pt idx="62">
                  <c:v>430.97676436350366</c:v>
                </c:pt>
                <c:pt idx="63">
                  <c:v>450.0277904288144</c:v>
                </c:pt>
                <c:pt idx="64">
                  <c:v>469.06156958966</c:v>
                </c:pt>
                <c:pt idx="65">
                  <c:v>488.07889975735389</c:v>
                </c:pt>
                <c:pt idx="66">
                  <c:v>507.08051163078659</c:v>
                </c:pt>
                <c:pt idx="67">
                  <c:v>438.10226396786555</c:v>
                </c:pt>
                <c:pt idx="68">
                  <c:v>456.48461552128629</c:v>
                </c:pt>
                <c:pt idx="69">
                  <c:v>474.85115911139542</c:v>
                </c:pt>
                <c:pt idx="70">
                  <c:v>493.2025918734027</c:v>
                </c:pt>
                <c:pt idx="71">
                  <c:v>511.53955486237896</c:v>
                </c:pt>
                <c:pt idx="72">
                  <c:v>529.86263945423718</c:v>
                </c:pt>
                <c:pt idx="73">
                  <c:v>460.62257788351417</c:v>
                </c:pt>
                <c:pt idx="74">
                  <c:v>477.66270222958747</c:v>
                </c:pt>
                <c:pt idx="75">
                  <c:v>494.68990346234278</c:v>
                </c:pt>
                <c:pt idx="76">
                  <c:v>511.70468879561594</c:v>
                </c:pt>
                <c:pt idx="77">
                  <c:v>528.70752897913144</c:v>
                </c:pt>
                <c:pt idx="78">
                  <c:v>545.69886203239582</c:v>
                </c:pt>
                <c:pt idx="79">
                  <c:v>480.47389339882125</c:v>
                </c:pt>
                <c:pt idx="80">
                  <c:v>496.50760006666104</c:v>
                </c:pt>
                <c:pt idx="81">
                  <c:v>512.53034158476851</c:v>
                </c:pt>
                <c:pt idx="82">
                  <c:v>528.5425088623582</c:v>
                </c:pt>
                <c:pt idx="83">
                  <c:v>544.54446720340138</c:v>
                </c:pt>
                <c:pt idx="84">
                  <c:v>560.53655870248656</c:v>
                </c:pt>
                <c:pt idx="85">
                  <c:v>560.53655870248656</c:v>
                </c:pt>
                <c:pt idx="86">
                  <c:v>560.53655870248656</c:v>
                </c:pt>
                <c:pt idx="87">
                  <c:v>560.53655870248656</c:v>
                </c:pt>
                <c:pt idx="88">
                  <c:v>560.53655870248656</c:v>
                </c:pt>
                <c:pt idx="89">
                  <c:v>560.53655870248656</c:v>
                </c:pt>
                <c:pt idx="90">
                  <c:v>560.53655870248656</c:v>
                </c:pt>
                <c:pt idx="91">
                  <c:v>560.53655870248656</c:v>
                </c:pt>
                <c:pt idx="92">
                  <c:v>560.53655870248656</c:v>
                </c:pt>
                <c:pt idx="93">
                  <c:v>560.53655870248656</c:v>
                </c:pt>
                <c:pt idx="94">
                  <c:v>560.53655870248656</c:v>
                </c:pt>
                <c:pt idx="95">
                  <c:v>560.53655870248656</c:v>
                </c:pt>
                <c:pt idx="96">
                  <c:v>560.53655870248656</c:v>
                </c:pt>
                <c:pt idx="97">
                  <c:v>560.53655870248656</c:v>
                </c:pt>
                <c:pt idx="98">
                  <c:v>560.53655870248656</c:v>
                </c:pt>
                <c:pt idx="99">
                  <c:v>560.53655870248656</c:v>
                </c:pt>
                <c:pt idx="100">
                  <c:v>560.53655870248656</c:v>
                </c:pt>
                <c:pt idx="101">
                  <c:v>560.53655870248656</c:v>
                </c:pt>
                <c:pt idx="102">
                  <c:v>560.53655870248656</c:v>
                </c:pt>
                <c:pt idx="103">
                  <c:v>560.53655870248656</c:v>
                </c:pt>
                <c:pt idx="104">
                  <c:v>560.53655870248656</c:v>
                </c:pt>
                <c:pt idx="105">
                  <c:v>560.53655870248656</c:v>
                </c:pt>
                <c:pt idx="106">
                  <c:v>560.53655870248656</c:v>
                </c:pt>
                <c:pt idx="107">
                  <c:v>560.53655870248656</c:v>
                </c:pt>
                <c:pt idx="108">
                  <c:v>560.53655870248656</c:v>
                </c:pt>
                <c:pt idx="109">
                  <c:v>560.53655870248656</c:v>
                </c:pt>
                <c:pt idx="110">
                  <c:v>560.53655870248656</c:v>
                </c:pt>
                <c:pt idx="111">
                  <c:v>560.53655870248656</c:v>
                </c:pt>
                <c:pt idx="112">
                  <c:v>560.53655870248656</c:v>
                </c:pt>
                <c:pt idx="113">
                  <c:v>560.53655870248656</c:v>
                </c:pt>
                <c:pt idx="114">
                  <c:v>560.53655870248656</c:v>
                </c:pt>
                <c:pt idx="115">
                  <c:v>560.53655870248656</c:v>
                </c:pt>
                <c:pt idx="116">
                  <c:v>560.53655870248656</c:v>
                </c:pt>
                <c:pt idx="117">
                  <c:v>560.53655870248656</c:v>
                </c:pt>
                <c:pt idx="118">
                  <c:v>560.53655870248656</c:v>
                </c:pt>
                <c:pt idx="119">
                  <c:v>560.53655870248656</c:v>
                </c:pt>
                <c:pt idx="120">
                  <c:v>560.53655870248656</c:v>
                </c:pt>
                <c:pt idx="121">
                  <c:v>560.53655870248656</c:v>
                </c:pt>
                <c:pt idx="122">
                  <c:v>560.53655870248656</c:v>
                </c:pt>
                <c:pt idx="123">
                  <c:v>560.53655870248656</c:v>
                </c:pt>
                <c:pt idx="124">
                  <c:v>560.53655870248656</c:v>
                </c:pt>
                <c:pt idx="125">
                  <c:v>560.53655870248656</c:v>
                </c:pt>
                <c:pt idx="126">
                  <c:v>560.53655870248656</c:v>
                </c:pt>
                <c:pt idx="127">
                  <c:v>560.53655870248656</c:v>
                </c:pt>
                <c:pt idx="128">
                  <c:v>560.53655870248656</c:v>
                </c:pt>
                <c:pt idx="129">
                  <c:v>560.53655870248656</c:v>
                </c:pt>
                <c:pt idx="130">
                  <c:v>560.53655870248656</c:v>
                </c:pt>
                <c:pt idx="131">
                  <c:v>560.53655870248656</c:v>
                </c:pt>
                <c:pt idx="132">
                  <c:v>560.53655870248656</c:v>
                </c:pt>
                <c:pt idx="133">
                  <c:v>560.53655870248656</c:v>
                </c:pt>
                <c:pt idx="134">
                  <c:v>560.53655870248656</c:v>
                </c:pt>
                <c:pt idx="135">
                  <c:v>560.53655870248656</c:v>
                </c:pt>
                <c:pt idx="136">
                  <c:v>560.53655870248656</c:v>
                </c:pt>
                <c:pt idx="137">
                  <c:v>560.53655870248656</c:v>
                </c:pt>
                <c:pt idx="138">
                  <c:v>560.53655870248656</c:v>
                </c:pt>
                <c:pt idx="139">
                  <c:v>560.53655870248656</c:v>
                </c:pt>
                <c:pt idx="140">
                  <c:v>560.53655870248656</c:v>
                </c:pt>
                <c:pt idx="141">
                  <c:v>560.53655870248656</c:v>
                </c:pt>
                <c:pt idx="142">
                  <c:v>560.53655870248656</c:v>
                </c:pt>
                <c:pt idx="143">
                  <c:v>560.53655870248656</c:v>
                </c:pt>
                <c:pt idx="144">
                  <c:v>560.53655870248656</c:v>
                </c:pt>
                <c:pt idx="145">
                  <c:v>560.53655870248656</c:v>
                </c:pt>
                <c:pt idx="146">
                  <c:v>560.53655870248656</c:v>
                </c:pt>
                <c:pt idx="147">
                  <c:v>560.53655870248656</c:v>
                </c:pt>
                <c:pt idx="148">
                  <c:v>560.53655870248656</c:v>
                </c:pt>
                <c:pt idx="149">
                  <c:v>560.53655870248656</c:v>
                </c:pt>
                <c:pt idx="150">
                  <c:v>560.53655870248656</c:v>
                </c:pt>
                <c:pt idx="151">
                  <c:v>560.53655870248656</c:v>
                </c:pt>
                <c:pt idx="152">
                  <c:v>560.53655870248656</c:v>
                </c:pt>
                <c:pt idx="153">
                  <c:v>560.53655870248656</c:v>
                </c:pt>
                <c:pt idx="154">
                  <c:v>560.53655870248656</c:v>
                </c:pt>
                <c:pt idx="155">
                  <c:v>560.53655870248656</c:v>
                </c:pt>
                <c:pt idx="156">
                  <c:v>560.53655870248656</c:v>
                </c:pt>
                <c:pt idx="157">
                  <c:v>560.53655870248656</c:v>
                </c:pt>
                <c:pt idx="158">
                  <c:v>560.53655870248656</c:v>
                </c:pt>
                <c:pt idx="159">
                  <c:v>560.53655870248656</c:v>
                </c:pt>
                <c:pt idx="160">
                  <c:v>560.53655870248656</c:v>
                </c:pt>
                <c:pt idx="161">
                  <c:v>560.53655870248656</c:v>
                </c:pt>
                <c:pt idx="162">
                  <c:v>560.53655870248656</c:v>
                </c:pt>
                <c:pt idx="163">
                  <c:v>560.53655870248656</c:v>
                </c:pt>
                <c:pt idx="164">
                  <c:v>560.53655870248656</c:v>
                </c:pt>
                <c:pt idx="165">
                  <c:v>560.53655870248656</c:v>
                </c:pt>
                <c:pt idx="166">
                  <c:v>560.53655870248656</c:v>
                </c:pt>
                <c:pt idx="167">
                  <c:v>560.53655870248656</c:v>
                </c:pt>
                <c:pt idx="168">
                  <c:v>560.53655870248656</c:v>
                </c:pt>
                <c:pt idx="169">
                  <c:v>560.53655870248656</c:v>
                </c:pt>
                <c:pt idx="170">
                  <c:v>560.53655870248656</c:v>
                </c:pt>
                <c:pt idx="171">
                  <c:v>560.53655870248656</c:v>
                </c:pt>
                <c:pt idx="172">
                  <c:v>560.53655870248656</c:v>
                </c:pt>
                <c:pt idx="173">
                  <c:v>560.53655870248656</c:v>
                </c:pt>
                <c:pt idx="174">
                  <c:v>560.53655870248656</c:v>
                </c:pt>
                <c:pt idx="175">
                  <c:v>560.53655870248656</c:v>
                </c:pt>
                <c:pt idx="176">
                  <c:v>560.53655870248656</c:v>
                </c:pt>
                <c:pt idx="177">
                  <c:v>560.53655870248656</c:v>
                </c:pt>
                <c:pt idx="178">
                  <c:v>560.53655870248656</c:v>
                </c:pt>
                <c:pt idx="179">
                  <c:v>560.53655870248656</c:v>
                </c:pt>
                <c:pt idx="180">
                  <c:v>560.53655870248656</c:v>
                </c:pt>
                <c:pt idx="181">
                  <c:v>560.53655870248656</c:v>
                </c:pt>
                <c:pt idx="182">
                  <c:v>560.53655870248656</c:v>
                </c:pt>
                <c:pt idx="183">
                  <c:v>560.53655870248656</c:v>
                </c:pt>
                <c:pt idx="184">
                  <c:v>560.53655870248656</c:v>
                </c:pt>
                <c:pt idx="185">
                  <c:v>560.53655870248656</c:v>
                </c:pt>
                <c:pt idx="186">
                  <c:v>560.53655870248656</c:v>
                </c:pt>
                <c:pt idx="187">
                  <c:v>560.53655870248656</c:v>
                </c:pt>
                <c:pt idx="188">
                  <c:v>560.53655870248656</c:v>
                </c:pt>
                <c:pt idx="189">
                  <c:v>560.53655870248656</c:v>
                </c:pt>
                <c:pt idx="190">
                  <c:v>560.53655870248656</c:v>
                </c:pt>
                <c:pt idx="191">
                  <c:v>560.53655870248656</c:v>
                </c:pt>
                <c:pt idx="192">
                  <c:v>560.53655870248656</c:v>
                </c:pt>
                <c:pt idx="193">
                  <c:v>560.53655870248656</c:v>
                </c:pt>
                <c:pt idx="194">
                  <c:v>560.53655870248656</c:v>
                </c:pt>
                <c:pt idx="195">
                  <c:v>560.53655870248656</c:v>
                </c:pt>
                <c:pt idx="196">
                  <c:v>560.53655870248656</c:v>
                </c:pt>
                <c:pt idx="197">
                  <c:v>560.53655870248656</c:v>
                </c:pt>
                <c:pt idx="198">
                  <c:v>560.53655870248656</c:v>
                </c:pt>
                <c:pt idx="199">
                  <c:v>560.53655870248656</c:v>
                </c:pt>
                <c:pt idx="200">
                  <c:v>560.53655870248656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03" t="s">
        <v>291</v>
      </c>
      <c r="C12" s="303"/>
      <c r="D12" s="303"/>
      <c r="E12" s="303"/>
      <c r="F12" s="303"/>
      <c r="G12" s="303"/>
      <c r="H12" s="303"/>
      <c r="I12" s="303"/>
      <c r="J12" s="303"/>
      <c r="K12" s="303"/>
      <c r="L12" s="303"/>
      <c r="M12" s="303"/>
    </row>
    <row r="13" spans="2:13" ht="15" customHeight="1" x14ac:dyDescent="0.25"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</row>
    <row r="14" spans="2:13" ht="15" customHeight="1" x14ac:dyDescent="0.25"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</row>
    <row r="15" spans="2:13" ht="18.75" customHeight="1" x14ac:dyDescent="0.25"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</row>
    <row r="16" spans="2:13" ht="18.75" customHeight="1" x14ac:dyDescent="0.25"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</row>
    <row r="18" spans="2:13" ht="12" customHeight="1" x14ac:dyDescent="0.25">
      <c r="B18" s="303" t="s">
        <v>292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</row>
    <row r="19" spans="2:13" ht="12" customHeight="1" x14ac:dyDescent="0.25">
      <c r="B19" s="303"/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</row>
    <row r="20" spans="2:13" ht="12" customHeight="1" x14ac:dyDescent="0.25"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</row>
    <row r="21" spans="2:13" ht="12" customHeight="1" x14ac:dyDescent="0.25"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</row>
    <row r="22" spans="2:13" ht="12" customHeight="1" x14ac:dyDescent="0.25"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</row>
    <row r="23" spans="2:13" ht="12" customHeight="1" x14ac:dyDescent="0.25">
      <c r="B23" s="303"/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</row>
    <row r="24" spans="2:13" ht="12" customHeight="1" x14ac:dyDescent="0.25"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</row>
    <row r="25" spans="2:13" ht="12" customHeight="1" x14ac:dyDescent="0.25"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2:13" ht="12" customHeight="1" x14ac:dyDescent="0.25"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</row>
    <row r="27" spans="2:13" ht="12" customHeight="1" x14ac:dyDescent="0.25"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</row>
    <row r="28" spans="2:13" ht="12" customHeight="1" x14ac:dyDescent="0.25"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</row>
    <row r="29" spans="2:13" ht="12" customHeight="1" x14ac:dyDescent="0.25">
      <c r="B29" s="303"/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</row>
    <row r="30" spans="2:13" ht="12" customHeight="1" x14ac:dyDescent="0.25">
      <c r="B30" s="303"/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</row>
    <row r="31" spans="2:13" ht="12" customHeight="1" x14ac:dyDescent="0.25"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G23" sqref="G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08" t="s">
        <v>190</v>
      </c>
      <c r="D1" s="308"/>
      <c r="E1" s="30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9" t="s">
        <v>192</v>
      </c>
      <c r="C3" s="310"/>
      <c r="D3" s="310"/>
      <c r="E3" s="310"/>
      <c r="F3" s="31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15" t="s">
        <v>231</v>
      </c>
      <c r="B5" s="315"/>
      <c r="C5" s="26">
        <v>4.25</v>
      </c>
      <c r="D5" s="316" t="s">
        <v>229</v>
      </c>
      <c r="E5" s="31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13" t="s">
        <v>226</v>
      </c>
      <c r="B7" s="31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0.34300000000000003</v>
      </c>
      <c r="D9" s="36">
        <f t="shared" ref="D9:D18" si="0">C9*$C$5</f>
        <v>1.4577500000000001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0.19400000000000001</v>
      </c>
      <c r="D10" s="36">
        <f t="shared" si="0"/>
        <v>0.82450000000000001</v>
      </c>
      <c r="E10" s="37">
        <v>84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0.17599999999999999</v>
      </c>
      <c r="D11" s="36">
        <f t="shared" si="0"/>
        <v>0.748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36</v>
      </c>
      <c r="C12" s="35">
        <v>0.114</v>
      </c>
      <c r="D12" s="36">
        <f t="shared" si="0"/>
        <v>0.48450000000000004</v>
      </c>
      <c r="E12" s="37">
        <v>34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18</v>
      </c>
      <c r="C13" s="35">
        <v>8.6999999999999994E-2</v>
      </c>
      <c r="D13" s="36">
        <f t="shared" si="0"/>
        <v>0.36974999999999997</v>
      </c>
      <c r="E13" s="37">
        <v>70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40</v>
      </c>
      <c r="C14" s="35">
        <v>8.4000000000000005E-2</v>
      </c>
      <c r="D14" s="36">
        <f t="shared" si="0"/>
        <v>0.35700000000000004</v>
      </c>
      <c r="E14" s="37">
        <v>82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0.998</v>
      </c>
      <c r="D19" s="41">
        <f>SUM(D9:D18)</f>
        <v>4.2415000000000003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12" t="s">
        <v>232</v>
      </c>
      <c r="B22" s="31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14" t="s">
        <v>227</v>
      </c>
      <c r="B30" s="31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04" t="s">
        <v>186</v>
      </c>
      <c r="D34" s="304"/>
      <c r="E34" s="305" t="s">
        <v>187</v>
      </c>
      <c r="F34" s="306"/>
      <c r="G34" s="306"/>
      <c r="H34" s="30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04" t="s">
        <v>186</v>
      </c>
      <c r="D60" s="304"/>
      <c r="E60" s="305" t="s">
        <v>187</v>
      </c>
      <c r="F60" s="306"/>
      <c r="G60" s="306"/>
      <c r="H60" s="30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293">
        <v>42</v>
      </c>
      <c r="B62" s="295">
        <v>379</v>
      </c>
      <c r="C62" s="295">
        <v>1</v>
      </c>
      <c r="D62" s="295">
        <v>110</v>
      </c>
      <c r="E62" s="294"/>
      <c r="F62" s="294"/>
      <c r="G62" s="294"/>
      <c r="H62" s="294"/>
      <c r="I62" s="56">
        <f>IFERROR(B62/A62,"")</f>
        <v>9.0238095238095237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293">
        <v>48</v>
      </c>
      <c r="B63" s="295">
        <v>391</v>
      </c>
      <c r="C63" s="295">
        <v>2</v>
      </c>
      <c r="D63" s="295">
        <v>78</v>
      </c>
      <c r="E63" s="294"/>
      <c r="F63" s="294"/>
      <c r="G63" s="294"/>
      <c r="H63" s="294"/>
      <c r="I63" s="52">
        <f>IF(A63&lt;&gt;0,(B63-(B62-D62))/(A63-A62),"")</f>
        <v>20.333333333333332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293">
        <v>54</v>
      </c>
      <c r="B64" s="295">
        <v>436</v>
      </c>
      <c r="C64" s="295">
        <v>3</v>
      </c>
      <c r="D64" s="295">
        <v>86</v>
      </c>
      <c r="E64" s="294"/>
      <c r="F64" s="294"/>
      <c r="G64" s="294"/>
      <c r="H64" s="294"/>
      <c r="I64" s="52">
        <f>IF(A64&lt;&gt;0,(B64-(B63-D63))/(A64-A63),"")</f>
        <v>20.5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293">
        <v>60</v>
      </c>
      <c r="B65" s="295">
        <v>469</v>
      </c>
      <c r="C65" s="295">
        <v>4</v>
      </c>
      <c r="D65" s="295">
        <v>84</v>
      </c>
      <c r="E65" s="294"/>
      <c r="F65" s="294"/>
      <c r="G65" s="294"/>
      <c r="H65" s="294"/>
      <c r="I65" s="52">
        <f>IF(A65&lt;&gt;0,(B65-(B64-D64))/(A65-A64),"")</f>
        <v>19.833333333333332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293">
        <v>66</v>
      </c>
      <c r="B66" s="295">
        <v>500</v>
      </c>
      <c r="C66" s="295">
        <v>5</v>
      </c>
      <c r="D66" s="295">
        <v>88</v>
      </c>
      <c r="E66" s="294"/>
      <c r="F66" s="294"/>
      <c r="G66" s="294"/>
      <c r="H66" s="294"/>
      <c r="I66" s="52">
        <f t="shared" ref="I66:I81" si="2">IF(A66&lt;&gt;0,(B66-(B65-D65))/(A66-A65),"")</f>
        <v>19.166666666666668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72</v>
      </c>
      <c r="B67" s="63">
        <v>523</v>
      </c>
      <c r="C67" s="63">
        <v>6</v>
      </c>
      <c r="D67" s="63">
        <v>87</v>
      </c>
      <c r="E67" s="54"/>
      <c r="F67" s="54"/>
      <c r="G67" s="54"/>
      <c r="H67" s="54"/>
      <c r="I67" s="52">
        <f t="shared" si="2"/>
        <v>18.5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78</v>
      </c>
      <c r="B68" s="63">
        <v>539</v>
      </c>
      <c r="C68" s="63">
        <v>7</v>
      </c>
      <c r="D68" s="63">
        <v>82</v>
      </c>
      <c r="E68" s="54"/>
      <c r="F68" s="54"/>
      <c r="G68" s="54"/>
      <c r="H68" s="54"/>
      <c r="I68" s="52">
        <f t="shared" si="2"/>
        <v>17.166666666666668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84</v>
      </c>
      <c r="B69" s="53">
        <v>554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16.166666666666668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04" t="s">
        <v>186</v>
      </c>
      <c r="D86" s="304"/>
      <c r="E86" s="305" t="s">
        <v>187</v>
      </c>
      <c r="F86" s="306"/>
      <c r="G86" s="306"/>
      <c r="H86" s="30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132</v>
      </c>
      <c r="C88" s="63">
        <v>1</v>
      </c>
      <c r="D88" s="63">
        <v>50</v>
      </c>
      <c r="E88" s="54">
        <v>0</v>
      </c>
      <c r="F88" s="54"/>
      <c r="G88" s="54">
        <v>0.7</v>
      </c>
      <c r="H88" s="93">
        <v>0.3</v>
      </c>
      <c r="I88" s="56">
        <f>IFERROR(B88/A88,"")</f>
        <v>6.6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143</v>
      </c>
      <c r="C89" s="63">
        <v>2</v>
      </c>
      <c r="D89" s="63">
        <v>37</v>
      </c>
      <c r="E89" s="54">
        <v>0</v>
      </c>
      <c r="F89" s="54"/>
      <c r="G89" s="54">
        <v>0.6</v>
      </c>
      <c r="H89" s="93">
        <v>0.4</v>
      </c>
      <c r="I89" s="56">
        <f t="shared" ref="I89:I107" si="3">IF(A89&lt;&gt;0,(B89-(B88-D88))/(A89-A88),"")</f>
        <v>12.2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163</v>
      </c>
      <c r="C90" s="63">
        <v>3</v>
      </c>
      <c r="D90" s="63">
        <v>37</v>
      </c>
      <c r="E90" s="93">
        <v>0</v>
      </c>
      <c r="F90" s="93"/>
      <c r="G90" s="93">
        <v>0.5</v>
      </c>
      <c r="H90" s="93">
        <v>0.5</v>
      </c>
      <c r="I90" s="56">
        <f t="shared" si="3"/>
        <v>11.4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179</v>
      </c>
      <c r="C91" s="63">
        <v>4</v>
      </c>
      <c r="D91" s="63">
        <v>36</v>
      </c>
      <c r="E91" s="93"/>
      <c r="F91" s="93"/>
      <c r="G91" s="93"/>
      <c r="H91" s="93"/>
      <c r="I91" s="56">
        <f t="shared" si="3"/>
        <v>10.6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191</v>
      </c>
      <c r="C92" s="63">
        <v>5</v>
      </c>
      <c r="D92" s="63">
        <v>33</v>
      </c>
      <c r="E92" s="93"/>
      <c r="F92" s="93"/>
      <c r="G92" s="93"/>
      <c r="H92" s="93"/>
      <c r="I92" s="56">
        <f t="shared" si="3"/>
        <v>9.6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201</v>
      </c>
      <c r="C93" s="63">
        <v>6</v>
      </c>
      <c r="D93" s="63">
        <v>31</v>
      </c>
      <c r="E93" s="93"/>
      <c r="F93" s="93"/>
      <c r="G93" s="93"/>
      <c r="H93" s="93"/>
      <c r="I93" s="56">
        <f t="shared" si="3"/>
        <v>8.6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209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7.8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215</v>
      </c>
      <c r="C95" s="63">
        <v>8</v>
      </c>
      <c r="D95" s="63">
        <v>25</v>
      </c>
      <c r="E95" s="93"/>
      <c r="F95" s="93"/>
      <c r="G95" s="93"/>
      <c r="H95" s="93"/>
      <c r="I95" s="56">
        <f t="shared" si="3"/>
        <v>6.8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220</v>
      </c>
      <c r="C96" s="63">
        <v>9</v>
      </c>
      <c r="D96" s="63">
        <v>22</v>
      </c>
      <c r="E96" s="93"/>
      <c r="F96" s="93"/>
      <c r="G96" s="93"/>
      <c r="H96" s="93"/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224</v>
      </c>
      <c r="C97" s="63">
        <v>10</v>
      </c>
      <c r="D97" s="63">
        <v>20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227</v>
      </c>
      <c r="C98" s="63">
        <v>11</v>
      </c>
      <c r="D98" s="63">
        <v>17</v>
      </c>
      <c r="E98" s="93"/>
      <c r="F98" s="93"/>
      <c r="G98" s="93"/>
      <c r="H98" s="93"/>
      <c r="I98" s="56">
        <f t="shared" si="3"/>
        <v>4.5999999999999996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230</v>
      </c>
      <c r="C99" s="63">
        <v>12</v>
      </c>
      <c r="D99" s="63">
        <v>15</v>
      </c>
      <c r="E99" s="93"/>
      <c r="F99" s="93"/>
      <c r="G99" s="93"/>
      <c r="H99" s="93"/>
      <c r="I99" s="56">
        <f t="shared" si="3"/>
        <v>4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233</v>
      </c>
      <c r="C100" s="63">
        <v>13</v>
      </c>
      <c r="D100" s="63">
        <v>13</v>
      </c>
      <c r="E100" s="68"/>
      <c r="F100" s="68"/>
      <c r="G100" s="68"/>
      <c r="H100" s="68"/>
      <c r="I100" s="56">
        <f t="shared" si="3"/>
        <v>3.6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235</v>
      </c>
      <c r="C101" s="63">
        <v>14</v>
      </c>
      <c r="D101" s="63">
        <v>12</v>
      </c>
      <c r="E101" s="68"/>
      <c r="F101" s="68"/>
      <c r="G101" s="68"/>
      <c r="H101" s="68"/>
      <c r="I101" s="56">
        <f t="shared" si="3"/>
        <v>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236</v>
      </c>
      <c r="C102" s="63">
        <v>15</v>
      </c>
      <c r="D102" s="53">
        <v>236</v>
      </c>
      <c r="E102" s="57"/>
      <c r="F102" s="57"/>
      <c r="G102" s="57"/>
      <c r="H102" s="57"/>
      <c r="I102" s="56">
        <f t="shared" si="3"/>
        <v>2.6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maritime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04" t="s">
        <v>186</v>
      </c>
      <c r="D112" s="304"/>
      <c r="E112" s="305" t="s">
        <v>187</v>
      </c>
      <c r="F112" s="306"/>
      <c r="G112" s="306"/>
      <c r="H112" s="30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296">
        <v>13</v>
      </c>
      <c r="B114" s="298">
        <v>101</v>
      </c>
      <c r="C114" s="298">
        <v>1</v>
      </c>
      <c r="D114" s="298">
        <v>28</v>
      </c>
      <c r="E114" s="297"/>
      <c r="F114" s="297"/>
      <c r="G114" s="297">
        <v>1</v>
      </c>
      <c r="H114" s="299"/>
      <c r="I114" s="56">
        <f>IFERROR(B114/A114,"")</f>
        <v>7.7692307692307692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296">
        <v>18</v>
      </c>
      <c r="B115" s="298">
        <v>166</v>
      </c>
      <c r="C115" s="298">
        <v>2</v>
      </c>
      <c r="D115" s="298">
        <v>40</v>
      </c>
      <c r="E115" s="297">
        <v>0.25</v>
      </c>
      <c r="F115" s="297"/>
      <c r="G115" s="297">
        <v>0.75</v>
      </c>
      <c r="H115" s="299"/>
      <c r="I115" s="56">
        <f t="shared" ref="I115:I133" si="4">IF(A115&lt;&gt;0,(B115-(B114-D114))/(A115-A114),"")</f>
        <v>18.600000000000001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296">
        <v>23</v>
      </c>
      <c r="B116" s="298">
        <v>215</v>
      </c>
      <c r="C116" s="298">
        <v>3</v>
      </c>
      <c r="D116" s="298">
        <v>52</v>
      </c>
      <c r="E116" s="299">
        <v>0.5</v>
      </c>
      <c r="F116" s="299"/>
      <c r="G116" s="299">
        <v>0.5</v>
      </c>
      <c r="H116" s="299"/>
      <c r="I116" s="56">
        <f t="shared" si="4"/>
        <v>17.8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296">
        <v>30</v>
      </c>
      <c r="B117" s="298">
        <v>269</v>
      </c>
      <c r="C117" s="298">
        <v>4</v>
      </c>
      <c r="D117" s="298">
        <v>0</v>
      </c>
      <c r="E117" s="299"/>
      <c r="F117" s="299"/>
      <c r="G117" s="299"/>
      <c r="H117" s="299"/>
      <c r="I117" s="56">
        <f t="shared" si="4"/>
        <v>15.142857142857142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296">
        <v>34</v>
      </c>
      <c r="B118" s="298">
        <v>325</v>
      </c>
      <c r="C118" s="298">
        <v>5</v>
      </c>
      <c r="D118" s="298">
        <v>325</v>
      </c>
      <c r="E118" s="299">
        <v>0.7</v>
      </c>
      <c r="F118" s="299"/>
      <c r="G118" s="299">
        <v>0.3</v>
      </c>
      <c r="H118" s="299"/>
      <c r="I118" s="56">
        <f t="shared" si="4"/>
        <v>14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Douglas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04" t="s">
        <v>186</v>
      </c>
      <c r="D138" s="304"/>
      <c r="E138" s="305" t="s">
        <v>187</v>
      </c>
      <c r="F138" s="306"/>
      <c r="G138" s="306"/>
      <c r="H138" s="30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300">
        <v>19</v>
      </c>
      <c r="B140" s="302">
        <v>154.44</v>
      </c>
      <c r="C140" s="300">
        <v>1</v>
      </c>
      <c r="D140" s="302">
        <v>0</v>
      </c>
      <c r="E140" s="301">
        <v>0.1</v>
      </c>
      <c r="F140" s="301">
        <v>0.4</v>
      </c>
      <c r="G140" s="301">
        <v>0.5</v>
      </c>
      <c r="H140" s="301">
        <v>0</v>
      </c>
      <c r="I140" s="60">
        <f>IFERROR(B140/A140,"")</f>
        <v>8.1284210526315785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300">
        <v>21</v>
      </c>
      <c r="B141" s="302">
        <v>195.15</v>
      </c>
      <c r="C141" s="300">
        <v>2</v>
      </c>
      <c r="D141" s="302">
        <v>64.58</v>
      </c>
      <c r="E141" s="301">
        <v>0.3</v>
      </c>
      <c r="F141" s="301">
        <v>0.3</v>
      </c>
      <c r="G141" s="301">
        <v>0.4</v>
      </c>
      <c r="H141" s="301">
        <v>0</v>
      </c>
      <c r="I141" s="60">
        <f t="shared" ref="I141:I159" si="5">IF(A141&lt;&gt;0,(B141-(B140-D140))/(A141-A140),"")</f>
        <v>20.355000000000004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300">
        <v>28</v>
      </c>
      <c r="B142" s="302">
        <v>281.86</v>
      </c>
      <c r="C142" s="300">
        <v>3</v>
      </c>
      <c r="D142" s="302">
        <v>67.61</v>
      </c>
      <c r="E142" s="301">
        <v>0.5</v>
      </c>
      <c r="F142" s="301">
        <v>0.2</v>
      </c>
      <c r="G142" s="301">
        <v>0.3</v>
      </c>
      <c r="H142" s="301">
        <v>0</v>
      </c>
      <c r="I142" s="60">
        <f t="shared" si="5"/>
        <v>21.612857142857145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300">
        <v>35</v>
      </c>
      <c r="B143" s="302">
        <v>377.12</v>
      </c>
      <c r="C143" s="300">
        <v>4</v>
      </c>
      <c r="D143" s="302">
        <v>86.68</v>
      </c>
      <c r="E143" s="301"/>
      <c r="F143" s="301"/>
      <c r="G143" s="301"/>
      <c r="H143" s="301"/>
      <c r="I143" s="60">
        <f t="shared" si="5"/>
        <v>23.267142857142858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300">
        <v>42</v>
      </c>
      <c r="B144" s="302">
        <v>450.23</v>
      </c>
      <c r="C144" s="300">
        <v>5</v>
      </c>
      <c r="D144" s="302">
        <v>99.98</v>
      </c>
      <c r="E144" s="301"/>
      <c r="F144" s="301"/>
      <c r="G144" s="301"/>
      <c r="H144" s="301"/>
      <c r="I144" s="60">
        <f t="shared" si="5"/>
        <v>22.82714285714286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49</v>
      </c>
      <c r="B145" s="63">
        <v>503.83</v>
      </c>
      <c r="C145" s="53">
        <v>6</v>
      </c>
      <c r="D145" s="63">
        <v>112.61</v>
      </c>
      <c r="E145" s="54"/>
      <c r="F145" s="54"/>
      <c r="G145" s="54"/>
      <c r="H145" s="54"/>
      <c r="I145" s="60">
        <f t="shared" si="5"/>
        <v>21.939999999999998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56</v>
      </c>
      <c r="B146" s="63">
        <v>533.49</v>
      </c>
      <c r="C146" s="53">
        <v>7</v>
      </c>
      <c r="D146" s="63">
        <v>94.57</v>
      </c>
      <c r="E146" s="54"/>
      <c r="F146" s="54"/>
      <c r="G146" s="54"/>
      <c r="H146" s="54"/>
      <c r="I146" s="60">
        <f t="shared" si="5"/>
        <v>20.324285714285718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63</v>
      </c>
      <c r="B147" s="63">
        <v>569</v>
      </c>
      <c r="C147" s="53">
        <v>8</v>
      </c>
      <c r="D147" s="63">
        <v>99.49</v>
      </c>
      <c r="E147" s="54"/>
      <c r="F147" s="54"/>
      <c r="G147" s="54"/>
      <c r="H147" s="54"/>
      <c r="I147" s="60">
        <f>IF(A147&lt;&gt;0,(B147-(B146-D146))/(A147-A146),"")</f>
        <v>18.58285714285714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69</v>
      </c>
      <c r="B148" s="63">
        <v>569.98</v>
      </c>
      <c r="C148" s="53">
        <v>9</v>
      </c>
      <c r="D148" s="63">
        <v>0</v>
      </c>
      <c r="E148" s="54"/>
      <c r="F148" s="54"/>
      <c r="G148" s="54"/>
      <c r="H148" s="54"/>
      <c r="I148" s="60">
        <f t="shared" si="5"/>
        <v>16.745000000000005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v>586.05999999999995</v>
      </c>
      <c r="C149" s="53">
        <v>10</v>
      </c>
      <c r="D149" s="63">
        <v>586.05999999999995</v>
      </c>
      <c r="E149" s="54"/>
      <c r="F149" s="54"/>
      <c r="G149" s="54"/>
      <c r="H149" s="54"/>
      <c r="I149" s="60">
        <f t="shared" si="5"/>
        <v>16.079999999999927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Pin de Salzmann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04" t="s">
        <v>186</v>
      </c>
      <c r="D164" s="304"/>
      <c r="E164" s="305" t="s">
        <v>187</v>
      </c>
      <c r="F164" s="306"/>
      <c r="G164" s="306"/>
      <c r="H164" s="30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300">
        <v>22</v>
      </c>
      <c r="B166" s="63">
        <v>123</v>
      </c>
      <c r="C166" s="63">
        <v>1</v>
      </c>
      <c r="D166" s="63">
        <v>16</v>
      </c>
      <c r="E166" s="54"/>
      <c r="F166" s="54"/>
      <c r="G166" s="54">
        <v>1</v>
      </c>
      <c r="H166" s="54"/>
      <c r="I166" s="52">
        <f>IFERROR(B166/A166,"")</f>
        <v>5.5909090909090908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300">
        <v>25</v>
      </c>
      <c r="B167" s="63">
        <v>144</v>
      </c>
      <c r="C167" s="63">
        <v>2</v>
      </c>
      <c r="D167" s="63">
        <v>17</v>
      </c>
      <c r="E167" s="54"/>
      <c r="F167" s="54"/>
      <c r="G167" s="54">
        <v>1</v>
      </c>
      <c r="H167" s="54"/>
      <c r="I167" s="52">
        <f t="shared" ref="I167:I185" si="6">IF(A167&lt;&gt;0,(B167-(B166-D166))/(A167-A166),"")</f>
        <v>12.333333333333334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300">
        <v>30</v>
      </c>
      <c r="B168" s="63">
        <v>194</v>
      </c>
      <c r="C168" s="63">
        <v>3</v>
      </c>
      <c r="D168" s="63">
        <v>34</v>
      </c>
      <c r="E168" s="54"/>
      <c r="F168" s="54"/>
      <c r="G168" s="54">
        <v>1</v>
      </c>
      <c r="H168" s="54"/>
      <c r="I168" s="52">
        <f t="shared" si="6"/>
        <v>13.4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300">
        <v>35</v>
      </c>
      <c r="B169" s="63">
        <v>233</v>
      </c>
      <c r="C169" s="63">
        <v>4</v>
      </c>
      <c r="D169" s="63">
        <v>41</v>
      </c>
      <c r="E169" s="54"/>
      <c r="F169" s="54"/>
      <c r="G169" s="54"/>
      <c r="H169" s="54"/>
      <c r="I169" s="52">
        <f t="shared" si="6"/>
        <v>14.6</v>
      </c>
      <c r="K169" s="292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300">
        <v>40</v>
      </c>
      <c r="B170" s="63">
        <v>264</v>
      </c>
      <c r="C170" s="63">
        <v>5</v>
      </c>
      <c r="D170" s="63">
        <v>41</v>
      </c>
      <c r="E170" s="54"/>
      <c r="F170" s="54"/>
      <c r="G170" s="54"/>
      <c r="H170" s="54"/>
      <c r="I170" s="52">
        <f t="shared" si="6"/>
        <v>14.4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300">
        <v>45</v>
      </c>
      <c r="B171" s="63">
        <v>306</v>
      </c>
      <c r="C171" s="63">
        <v>6</v>
      </c>
      <c r="D171" s="63">
        <v>53</v>
      </c>
      <c r="E171" s="54"/>
      <c r="F171" s="54"/>
      <c r="G171" s="54"/>
      <c r="H171" s="54"/>
      <c r="I171" s="52">
        <f t="shared" si="6"/>
        <v>16.600000000000001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3">
        <v>340</v>
      </c>
      <c r="C172" s="63">
        <v>7</v>
      </c>
      <c r="D172" s="63">
        <v>53</v>
      </c>
      <c r="E172" s="54"/>
      <c r="F172" s="54"/>
      <c r="G172" s="54"/>
      <c r="H172" s="54"/>
      <c r="I172" s="52">
        <f t="shared" si="6"/>
        <v>17.399999999999999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58</v>
      </c>
      <c r="B173" s="53">
        <v>428</v>
      </c>
      <c r="C173" s="53">
        <v>8</v>
      </c>
      <c r="D173" s="53">
        <v>78</v>
      </c>
      <c r="E173" s="54"/>
      <c r="F173" s="54"/>
      <c r="G173" s="54"/>
      <c r="H173" s="54"/>
      <c r="I173" s="52">
        <f t="shared" si="6"/>
        <v>17.625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66</v>
      </c>
      <c r="B174" s="53">
        <v>483</v>
      </c>
      <c r="C174" s="53">
        <v>9</v>
      </c>
      <c r="D174" s="53">
        <v>65</v>
      </c>
      <c r="E174" s="54"/>
      <c r="F174" s="54"/>
      <c r="G174" s="54"/>
      <c r="H174" s="54"/>
      <c r="I174" s="52">
        <f t="shared" si="6"/>
        <v>16.625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74</v>
      </c>
      <c r="B175" s="53">
        <v>521</v>
      </c>
      <c r="C175" s="53">
        <v>10</v>
      </c>
      <c r="D175" s="53">
        <v>37</v>
      </c>
      <c r="E175" s="54"/>
      <c r="F175" s="54"/>
      <c r="G175" s="54"/>
      <c r="H175" s="54"/>
      <c r="I175" s="52">
        <f t="shared" si="6"/>
        <v>12.875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82</v>
      </c>
      <c r="B176" s="53">
        <v>555</v>
      </c>
      <c r="C176" s="53">
        <v>11</v>
      </c>
      <c r="D176" s="53">
        <v>555</v>
      </c>
      <c r="E176" s="54"/>
      <c r="F176" s="54"/>
      <c r="G176" s="54"/>
      <c r="H176" s="54"/>
      <c r="I176" s="52">
        <f t="shared" si="6"/>
        <v>8.875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04" t="s">
        <v>186</v>
      </c>
      <c r="D190" s="304"/>
      <c r="E190" s="305" t="s">
        <v>187</v>
      </c>
      <c r="F190" s="306"/>
      <c r="G190" s="306"/>
      <c r="H190" s="30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04" t="s">
        <v>186</v>
      </c>
      <c r="D216" s="304"/>
      <c r="E216" s="305" t="s">
        <v>187</v>
      </c>
      <c r="F216" s="306"/>
      <c r="G216" s="306"/>
      <c r="H216" s="30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04" t="s">
        <v>186</v>
      </c>
      <c r="D242" s="304"/>
      <c r="E242" s="305" t="s">
        <v>187</v>
      </c>
      <c r="F242" s="306"/>
      <c r="G242" s="306"/>
      <c r="H242" s="30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04" t="s">
        <v>186</v>
      </c>
      <c r="D268" s="304"/>
      <c r="E268" s="305" t="s">
        <v>187</v>
      </c>
      <c r="F268" s="306"/>
      <c r="G268" s="306"/>
      <c r="H268" s="30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9" t="s">
        <v>191</v>
      </c>
      <c r="C2" s="320"/>
      <c r="D2" s="320"/>
      <c r="E2" s="320"/>
      <c r="F2" s="320"/>
      <c r="G2" s="32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8"/>
      <c r="C4" s="318"/>
      <c r="D4" s="318"/>
      <c r="E4" s="318"/>
      <c r="F4" s="318"/>
      <c r="G4" s="31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25" t="s">
        <v>176</v>
      </c>
      <c r="C1" s="326"/>
      <c r="D1" s="326"/>
      <c r="E1" s="326"/>
      <c r="F1" s="326"/>
      <c r="G1" s="326"/>
      <c r="H1" s="327"/>
      <c r="I1" s="322" t="str">
        <f>IF('Données projet'!$B$9="","",'Données projet'!$B$9)</f>
        <v>Chêne sessile</v>
      </c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4"/>
      <c r="AD1" s="323" t="str">
        <f>IF('Données projet'!$B$10="","",'Données projet'!$B$10)</f>
        <v>Cèdre de l'Atlas</v>
      </c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4"/>
      <c r="AY1" s="322" t="str">
        <f>IF('Données projet'!$B$11="","",'Données projet'!$B$11)</f>
        <v>Chêne rouge d'Amérique</v>
      </c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323"/>
      <c r="BS1" s="324"/>
      <c r="BT1" s="322" t="str">
        <f>IF('Données projet'!$B$12="","",'Données projet'!$B$12)</f>
        <v>Pin maritime</v>
      </c>
      <c r="BU1" s="323"/>
      <c r="BV1" s="323"/>
      <c r="BW1" s="323"/>
      <c r="BX1" s="323"/>
      <c r="BY1" s="323"/>
      <c r="BZ1" s="323"/>
      <c r="CA1" s="323"/>
      <c r="CB1" s="323"/>
      <c r="CC1" s="323"/>
      <c r="CD1" s="323"/>
      <c r="CE1" s="323"/>
      <c r="CF1" s="323"/>
      <c r="CG1" s="323"/>
      <c r="CH1" s="323"/>
      <c r="CI1" s="323"/>
      <c r="CJ1" s="323"/>
      <c r="CK1" s="323"/>
      <c r="CL1" s="323"/>
      <c r="CM1" s="323"/>
      <c r="CN1" s="324"/>
      <c r="CO1" s="322" t="str">
        <f>IF('Données projet'!$B$13="","",'Données projet'!$B$13)</f>
        <v>Douglas</v>
      </c>
      <c r="CP1" s="323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DC1" s="323"/>
      <c r="DD1" s="323"/>
      <c r="DE1" s="323"/>
      <c r="DF1" s="323"/>
      <c r="DG1" s="323"/>
      <c r="DH1" s="323"/>
      <c r="DI1" s="324"/>
      <c r="DJ1" s="322" t="str">
        <f>IF('Données projet'!$B$14="","",'Données projet'!$B$14)</f>
        <v>Pin de Salzmann</v>
      </c>
      <c r="DK1" s="323"/>
      <c r="DL1" s="323"/>
      <c r="DM1" s="323"/>
      <c r="DN1" s="323"/>
      <c r="DO1" s="323"/>
      <c r="DP1" s="323"/>
      <c r="DQ1" s="323"/>
      <c r="DR1" s="323"/>
      <c r="DS1" s="323"/>
      <c r="DT1" s="323"/>
      <c r="DU1" s="323"/>
      <c r="DV1" s="323"/>
      <c r="DW1" s="323"/>
      <c r="DX1" s="323"/>
      <c r="DY1" s="323"/>
      <c r="DZ1" s="323"/>
      <c r="EA1" s="323"/>
      <c r="EB1" s="323"/>
      <c r="EC1" s="323"/>
      <c r="ED1" s="324"/>
      <c r="EE1" s="322" t="str">
        <f>IF('Données projet'!$B$15="","",'Données projet'!$B$15)</f>
        <v/>
      </c>
      <c r="EF1" s="323"/>
      <c r="EG1" s="323"/>
      <c r="EH1" s="323"/>
      <c r="EI1" s="323"/>
      <c r="EJ1" s="323"/>
      <c r="EK1" s="323"/>
      <c r="EL1" s="323"/>
      <c r="EM1" s="323"/>
      <c r="EN1" s="323"/>
      <c r="EO1" s="323"/>
      <c r="EP1" s="323"/>
      <c r="EQ1" s="323"/>
      <c r="ER1" s="323"/>
      <c r="ES1" s="323"/>
      <c r="ET1" s="323"/>
      <c r="EU1" s="323"/>
      <c r="EV1" s="323"/>
      <c r="EW1" s="323"/>
      <c r="EX1" s="323"/>
      <c r="EY1" s="324"/>
      <c r="EZ1" s="322" t="str">
        <f>IF('Données projet'!$B$16="","",'Données projet'!$B$16)</f>
        <v/>
      </c>
      <c r="FA1" s="323"/>
      <c r="FB1" s="323"/>
      <c r="FC1" s="323"/>
      <c r="FD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FS1" s="323"/>
      <c r="FT1" s="324"/>
      <c r="FU1" s="322" t="str">
        <f>IF('Données projet'!$B$17="","",'Données projet'!$B$17)</f>
        <v/>
      </c>
      <c r="FV1" s="323"/>
      <c r="FW1" s="323"/>
      <c r="FX1" s="323"/>
      <c r="FY1" s="323"/>
      <c r="FZ1" s="323"/>
      <c r="GA1" s="323"/>
      <c r="GB1" s="323"/>
      <c r="GC1" s="323"/>
      <c r="GD1" s="323"/>
      <c r="GE1" s="323"/>
      <c r="GF1" s="323"/>
      <c r="GG1" s="323"/>
      <c r="GH1" s="323"/>
      <c r="GI1" s="323"/>
      <c r="GJ1" s="323"/>
      <c r="GK1" s="323"/>
      <c r="GL1" s="323"/>
      <c r="GM1" s="323"/>
      <c r="GN1" s="323"/>
      <c r="GO1" s="324"/>
      <c r="GP1" s="322" t="str">
        <f>IF('Données projet'!$B$18="","",'Données projet'!$B$18)</f>
        <v/>
      </c>
      <c r="GQ1" s="323"/>
      <c r="GR1" s="323"/>
      <c r="GS1" s="323"/>
      <c r="GT1" s="323"/>
      <c r="GU1" s="323"/>
      <c r="GV1" s="323"/>
      <c r="GW1" s="323"/>
      <c r="GX1" s="323"/>
      <c r="GY1" s="323"/>
      <c r="GZ1" s="323"/>
      <c r="HA1" s="323"/>
      <c r="HB1" s="323"/>
      <c r="HC1" s="323"/>
      <c r="HD1" s="323"/>
      <c r="HE1" s="323"/>
      <c r="HF1" s="323"/>
      <c r="HG1" s="323"/>
      <c r="HH1" s="323"/>
      <c r="HI1" s="323"/>
      <c r="HJ1" s="32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344.36303707479811</v>
      </c>
      <c r="T3" s="62">
        <f>IF('Données projet'!E9&gt;30,$R$33-$H$33,LOOKUP('Données projet'!$E$9,$A$3:$A$203,R3:R203)-LOOKUP('Données projet'!$E$9,$A$3:$A$203,$H$3:$H$203))</f>
        <v>207.92972431357452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273.94989417245978</v>
      </c>
      <c r="AO3" s="62">
        <f>IF('Données projet'!E10&gt;30,$AM$33-$H$33,LOOKUP('Données projet'!$E$10,$A$3:$A$203,AM3:AM203)-LOOKUP('Données projet'!$E$10,$A$3:$A$203,$H$3:$H$203))</f>
        <v>244.91615281423549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247.81726778334098</v>
      </c>
      <c r="BJ3" s="62">
        <f>IF('Données projet'!E11&gt;30,$BH$33-$H$33,LOOKUP('Données projet'!$E$11,$A$3:$A$203,BH3:BH203)-LOOKUP('Données projet'!$E$11,$A$3:$A$203,$H$3:$H$203))</f>
        <v>278.55937893537259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156.11420010556668</v>
      </c>
      <c r="CE3" s="62">
        <f>IF('Données projet'!E12&gt;30,$CC$33-$H$33,LOOKUP('Données projet'!$E$12,$A$3:$A$203,CC3:CC203)-LOOKUP('Données projet'!$E$12,$A$3:$A$203,$H$3:$H$203))</f>
        <v>318.01952986326501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321.56347025977988</v>
      </c>
      <c r="CZ3" s="62">
        <f>IF('Données projet'!E13&gt;30,$CX$33-$H$33,LOOKUP('Données projet'!$E$13,$A$3:$A$203,CX3:CX203)-LOOKUP('Données projet'!$E$13,$A$3:$A$203,$H$3:$H$203))</f>
        <v>285.79375360040717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287.69656598881124</v>
      </c>
      <c r="DU3" s="62">
        <f>IF('Données projet'!E14&gt;30,$DS$33-$H$33,LOOKUP('Données projet'!$E$14,$A$3:$A$203,DS3:DS203)-LOOKUP('Données projet'!$E$14,$A$3:$A$203,$H$3:$H$203))</f>
        <v>221.9773436301067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296.17432310550635</v>
      </c>
      <c r="S4" s="62">
        <f ca="1">AVERAGE(OFFSET($R$3,0,0,'Données projet'!$E$9+1,1))-AVERAGE(OFFSET($H$3,0,0,'Données projet'!$E$9+1,1))</f>
        <v>344.36303707479811</v>
      </c>
      <c r="T4" s="62">
        <f>$T$3</f>
        <v>207.92972431357452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9.0238095238095237</v>
      </c>
      <c r="AI4" s="14">
        <f>IF('Données projet'!$A$62&gt;35,AI3+AH4-AQ3,IF(A4&lt;'Données projet'!$A$62,$AF$205^A4,IF(A4='Données projet'!$A$62,'Données projet'!$B$62,AI3+AH4-AQ3)))</f>
        <v>9.0238095238095237</v>
      </c>
      <c r="AJ4" s="14">
        <f>AI4*VLOOKUP('Données projet'!$B$10,Paramètres!$A$1:$I$89,3,0)*VLOOKUP('Données projet'!$B$10,Paramètres!$A$1:$I$89,5,0)</f>
        <v>4.2231428571428564</v>
      </c>
      <c r="AK4" s="14">
        <f>EXP(-1.0587+0.8836*LN(AJ4)+0.284)</f>
        <v>1.645749885610529</v>
      </c>
      <c r="AL4" s="22">
        <f t="shared" ref="AL4:AL67" si="4">(AJ4+AK4)*0.475*44/12</f>
        <v>10.221654860295478</v>
      </c>
      <c r="AM4" s="62">
        <f t="shared" ref="AM4:AM67" si="5">AL4+(AD4+AE4)*44/12</f>
        <v>303.55498819362879</v>
      </c>
      <c r="AN4" s="62">
        <f ca="1">AVERAGE(OFFSET($AM$3,0,0,'Données projet'!$E$10+1,1))-AVERAGE(OFFSET($H$3,0,0,'Données projet'!$E$10+1,1))</f>
        <v>273.94989417245978</v>
      </c>
      <c r="AO4" s="62">
        <f>$AO$3</f>
        <v>244.91615281423549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6.6</v>
      </c>
      <c r="BD4" s="13">
        <f>IF('Données projet'!$A$88&gt;35,BD3+BC4-BL3,IF(A4&lt;'Données projet'!$A$88,$BA$205^A4,IF(A4='Données projet'!$A$88,'Données projet'!$B$88,BD3+BC4-BL3)))</f>
        <v>1.2765231539157764</v>
      </c>
      <c r="BE4" s="14">
        <f>BD4*VLOOKUP('Données projet'!$B$11,Paramètres!$A$1:$I$89,3,0)*VLOOKUP('Données projet'!$B$11,Paramètres!$A$1:$I$89,5,0)</f>
        <v>1.1151706272608224</v>
      </c>
      <c r="BF4" s="14">
        <f>EXP(-1.0587+0.8836*LN(BE4)+0.284)</f>
        <v>0.50743784838663863</v>
      </c>
      <c r="BG4" s="22">
        <f t="shared" ref="BG4:BG67" si="7">(BE4+BF4)*0.475*44/12</f>
        <v>2.8260430950859945</v>
      </c>
      <c r="BH4" s="62">
        <f t="shared" ref="BH4:BH67" si="8">BG4+(AY4+AZ4)*44/12</f>
        <v>296.15937642841931</v>
      </c>
      <c r="BI4" s="62">
        <f ca="1">AVERAGE(OFFSET($BH$3,0,0,'Données projet'!$E$11+1,1))-AVERAGE(OFFSET($H$3,0,0,'Données projet'!$E$11+1,1))</f>
        <v>247.81726778334098</v>
      </c>
      <c r="BJ4" s="62">
        <f>$BJ$3</f>
        <v>278.55937893537259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7.7692307692307692</v>
      </c>
      <c r="BY4" s="13">
        <f>IF('Données projet'!$A$114&gt;35,BY3+BX4-CG3,IF(A4&lt;'Données projet'!$A$114,$BV$205^A4,IF(A4='Données projet'!$A$114,'Données projet'!$B$114,BY3+BX4-CG3)))</f>
        <v>1.4261938757879591</v>
      </c>
      <c r="BZ4" s="14">
        <f>BY4*VLOOKUP('Données projet'!$B$12,Paramètres!$A$1:$I$89,3,0)*VLOOKUP('Données projet'!$B$12,Paramètres!$A$1:$I$89,5,0)</f>
        <v>0.85286393772119951</v>
      </c>
      <c r="CA4" s="14">
        <f>EXP(-1.0587+0.8836*LN(BZ4)+0.284)</f>
        <v>0.40038464441801103</v>
      </c>
      <c r="CB4" s="22">
        <f t="shared" ref="CB4:CB67" si="10">(BZ4+CA4)*0.475*44/12</f>
        <v>2.1827412805591249</v>
      </c>
      <c r="CC4" s="62">
        <f t="shared" ref="CC4:CC67" si="11">CB4+(BT4+BU4)*44/12</f>
        <v>295.51607461389244</v>
      </c>
      <c r="CD4" s="62">
        <f ca="1">AVERAGE(OFFSET($CC$3,0,0,'Données projet'!$E$12+1,1))-AVERAGE(OFFSET($H$3,0,0,'Données projet'!$E$12+1,1))</f>
        <v>156.11420010556668</v>
      </c>
      <c r="CE4" s="62">
        <f>$CE$3</f>
        <v>318.01952986326501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8.1284210526315785</v>
      </c>
      <c r="CT4" s="13">
        <f>IF('Données projet'!$A$140&gt;35,CT3+CS4-DB3,IF(A4&lt;'Données projet'!$A$140,$CQ$205^A4,IF(A4='Données projet'!$A$140,'Données projet'!$B$140,CT3+CS4-DB3)))</f>
        <v>1.3037606943669584</v>
      </c>
      <c r="CU4" s="18">
        <f>CT4*VLOOKUP('Données projet'!$B$13,Paramètres!$A$1:$I$89,3,0)*VLOOKUP('Données projet'!$B$13,Paramètres!$A$1:$I$89,5,0)</f>
        <v>0.72880222815112972</v>
      </c>
      <c r="CV4" s="14">
        <f>EXP(-1.0587+0.8836*LN(CU4)+0.284)</f>
        <v>0.34846084744582984</v>
      </c>
      <c r="CW4" s="22">
        <f t="shared" ref="CW4:CW67" si="13">(CU4+CV4)*0.475*44/12</f>
        <v>1.876233189998038</v>
      </c>
      <c r="CX4" s="62">
        <f t="shared" ref="CX4:CX67" si="14">CW4+(CO4+CP4)*44/12</f>
        <v>295.20956652333138</v>
      </c>
      <c r="CY4" s="62">
        <f ca="1">AVERAGE(OFFSET($CX$3,0,0,'Données projet'!$E$13+1,1))-AVERAGE(OFFSET($H$3,0,0,'Données projet'!$E$13+1,1))</f>
        <v>321.56347025977988</v>
      </c>
      <c r="CZ4" s="62">
        <f>$CZ$3</f>
        <v>285.79375360040717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5.5909090909090908</v>
      </c>
      <c r="DO4" s="13">
        <f>IF('Données projet'!$A$166&gt;35,DO3+DN4-DW3,IF(A4&lt;'Données projet'!$A$166,$DL$205^A4,IF(A4='Données projet'!$A$166,'Données projet'!$B$166,DO3+DN4-DW3)))</f>
        <v>1.244502252163008</v>
      </c>
      <c r="DP4" s="18">
        <f>DO4*VLOOKUP('Données projet'!$B$14,Paramètres!$A$1:$I$89,3,0)*VLOOKUP('Données projet'!$B$14,Paramètres!$A$1:$I$89,5,0)</f>
        <v>0.74421234679347892</v>
      </c>
      <c r="DQ4" s="14">
        <f>EXP(-1.0587+0.8836*LN(DP4)+0.284)</f>
        <v>0.3549632728022305</v>
      </c>
      <c r="DR4" s="22">
        <f t="shared" ref="DR4:DR67" si="16">(DP4+DQ4)*0.475*44/12</f>
        <v>1.9143975374625271</v>
      </c>
      <c r="DS4" s="62">
        <f t="shared" ref="DS4:DS67" si="17">DR4+(DJ4+DK4)*44/12</f>
        <v>295.24773087079586</v>
      </c>
      <c r="DT4" s="62">
        <f ca="1">AVERAGE(OFFSET($DS$3,0,0,'Données projet'!$E$14+1,1))-AVERAGE(OFFSET($H$3,0,0,'Données projet'!$E$14+1,1))</f>
        <v>287.69656598881124</v>
      </c>
      <c r="DU4" s="62">
        <f>$DU$3</f>
        <v>221.9773436301067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296.82694711009896</v>
      </c>
      <c r="S5" s="62">
        <f ca="1">AVERAGE(OFFSET($R$3,0,0,'Données projet'!$E$9+1,1))-AVERAGE(OFFSET($H$3,0,0,'Données projet'!$E$9+1,1))</f>
        <v>344.36303707479811</v>
      </c>
      <c r="T5" s="62">
        <f t="shared" ref="T5:T68" si="34">$T$3</f>
        <v>207.92972431357452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9.0238095238095237</v>
      </c>
      <c r="AI5" s="14">
        <f>IF('Données projet'!$A$62&gt;35,AI4+AH5-AQ4,IF(A5&lt;'Données projet'!$A$62,$AF$205^A5,IF(A5='Données projet'!$A$62,'Données projet'!$B$62,AI4+AH5-AQ4)))</f>
        <v>18.047619047619047</v>
      </c>
      <c r="AJ5" s="14">
        <f>AI5*VLOOKUP('Données projet'!$B$10,Paramètres!$A$1:$I$89,3,0)*VLOOKUP('Données projet'!$B$10,Paramètres!$A$1:$I$89,5,0)</f>
        <v>8.4462857142857128</v>
      </c>
      <c r="AK5" s="14">
        <f t="shared" ref="AK5:AK68" si="35">EXP(-1.0587+0.8836*LN(AJ5)+0.284)</f>
        <v>3.0363647276886327</v>
      </c>
      <c r="AL5" s="22">
        <f t="shared" si="4"/>
        <v>19.998949519771983</v>
      </c>
      <c r="AM5" s="62">
        <f t="shared" si="5"/>
        <v>313.33228285310531</v>
      </c>
      <c r="AN5" s="62">
        <f ca="1">AVERAGE(OFFSET($AM$3,0,0,'Données projet'!$E$10+1,1))-AVERAGE(OFFSET($H$3,0,0,'Données projet'!$E$10+1,1))</f>
        <v>273.94989417245978</v>
      </c>
      <c r="AO5" s="62">
        <f t="shared" ref="AO5:AO68" si="36">$AO$3</f>
        <v>244.91615281423549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6.6</v>
      </c>
      <c r="BD5" s="13">
        <f>IF('Données projet'!$A$88&gt;35,BD4+BC5-BL4,IF(A5&lt;'Données projet'!$A$88,$BA$205^A5,IF(A5='Données projet'!$A$88,'Données projet'!$B$88,BD4+BC5-BL4)))</f>
        <v>1.629511362483081</v>
      </c>
      <c r="BE5" s="14">
        <f>BD5*VLOOKUP('Données projet'!$B$11,Paramètres!$A$1:$I$89,3,0)*VLOOKUP('Données projet'!$B$11,Paramètres!$A$1:$I$89,5,0)</f>
        <v>1.4235411262652198</v>
      </c>
      <c r="BF5" s="14">
        <f t="shared" ref="BF5:BF68" si="37">EXP(-1.0587+0.8836*LN(BE5)+0.284)</f>
        <v>0.62960738463416654</v>
      </c>
      <c r="BG5" s="22">
        <f t="shared" si="7"/>
        <v>3.5759003231497637</v>
      </c>
      <c r="BH5" s="62">
        <f t="shared" si="8"/>
        <v>296.90923365648308</v>
      </c>
      <c r="BI5" s="62">
        <f ca="1">AVERAGE(OFFSET($BH$3,0,0,'Données projet'!$E$11+1,1))-AVERAGE(OFFSET($H$3,0,0,'Données projet'!$E$11+1,1))</f>
        <v>247.81726778334098</v>
      </c>
      <c r="BJ5" s="62">
        <f t="shared" ref="BJ5:BJ68" si="38">$BJ$3</f>
        <v>278.55937893537259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7.7692307692307692</v>
      </c>
      <c r="BY5" s="13">
        <f>IF('Données projet'!$A$114&gt;35,BY4+BX5-CG4,IF(A5&lt;'Données projet'!$A$114,$BV$205^A5,IF(A5='Données projet'!$A$114,'Données projet'!$B$114,BY4+BX5-CG4)))</f>
        <v>2.0340289713350805</v>
      </c>
      <c r="BZ5" s="14">
        <f>BY5*VLOOKUP('Données projet'!$B$12,Paramètres!$A$1:$I$89,3,0)*VLOOKUP('Données projet'!$B$12,Paramètres!$A$1:$I$89,5,0)</f>
        <v>1.2163493248583781</v>
      </c>
      <c r="CA5" s="14">
        <f t="shared" ref="CA5:CA68" si="39">EXP(-1.0587+0.8836*LN(BZ5)+0.284)</f>
        <v>0.54791046443869817</v>
      </c>
      <c r="CB5" s="22">
        <f t="shared" si="10"/>
        <v>3.072752466359074</v>
      </c>
      <c r="CC5" s="62">
        <f t="shared" si="11"/>
        <v>296.40608579969239</v>
      </c>
      <c r="CD5" s="62">
        <f ca="1">AVERAGE(OFFSET($CC$3,0,0,'Données projet'!$E$12+1,1))-AVERAGE(OFFSET($H$3,0,0,'Données projet'!$E$12+1,1))</f>
        <v>156.11420010556668</v>
      </c>
      <c r="CE5" s="62">
        <f t="shared" ref="CE5:CE68" si="40">$CE$3</f>
        <v>318.01952986326501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8.1284210526315785</v>
      </c>
      <c r="CT5" s="13">
        <f>IF('Données projet'!$A$140&gt;35,CT4+CS5-DB4,IF(A5&lt;'Données projet'!$A$140,$CQ$205^A5,IF(A5='Données projet'!$A$140,'Données projet'!$B$140,CT4+CS5-DB4)))</f>
        <v>1.6997919481762136</v>
      </c>
      <c r="CU5" s="18">
        <f>CT5*VLOOKUP('Données projet'!$B$13,Paramètres!$A$1:$I$89,3,0)*VLOOKUP('Données projet'!$B$13,Paramètres!$A$1:$I$89,5,0)</f>
        <v>0.95018369903050348</v>
      </c>
      <c r="CV5" s="14">
        <f t="shared" ref="CV5:CV68" si="41">EXP(-1.0587+0.8836*LN(CU5)+0.284)</f>
        <v>0.44049688197714731</v>
      </c>
      <c r="CW5" s="22">
        <f t="shared" si="13"/>
        <v>2.4221020119216585</v>
      </c>
      <c r="CX5" s="62">
        <f t="shared" si="14"/>
        <v>295.75543534525497</v>
      </c>
      <c r="CY5" s="62">
        <f ca="1">AVERAGE(OFFSET($CX$3,0,0,'Données projet'!$E$13+1,1))-AVERAGE(OFFSET($H$3,0,0,'Données projet'!$E$13+1,1))</f>
        <v>321.56347025977988</v>
      </c>
      <c r="CZ5" s="62">
        <f t="shared" ref="CZ5:CZ68" si="42">$CZ$3</f>
        <v>285.79375360040717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5.5909090909090908</v>
      </c>
      <c r="DO5" s="13">
        <f>IF('Données projet'!$A$166&gt;35,DO4+DN5-DW4,IF(A5&lt;'Données projet'!$A$166,$DL$205^A5,IF(A5='Données projet'!$A$166,'Données projet'!$B$166,DO4+DN5-DW4)))</f>
        <v>1.5487858556387992</v>
      </c>
      <c r="DP5" s="18">
        <f>DO5*VLOOKUP('Données projet'!$B$14,Paramètres!$A$1:$I$89,3,0)*VLOOKUP('Données projet'!$B$14,Paramètres!$A$1:$I$89,5,0)</f>
        <v>0.92617394167200195</v>
      </c>
      <c r="DQ5" s="14">
        <f t="shared" ref="DQ5:DQ68" si="43">EXP(-1.0587+0.8836*LN(DP5)+0.284)</f>
        <v>0.43064718121421069</v>
      </c>
      <c r="DR5" s="22">
        <f t="shared" si="16"/>
        <v>2.3631301223601535</v>
      </c>
      <c r="DS5" s="62">
        <f t="shared" si="17"/>
        <v>295.69646345569345</v>
      </c>
      <c r="DT5" s="62">
        <f ca="1">AVERAGE(OFFSET($DS$3,0,0,'Données projet'!$E$14+1,1))-AVERAGE(OFFSET($H$3,0,0,'Données projet'!$E$14+1,1))</f>
        <v>287.69656598881124</v>
      </c>
      <c r="DU5" s="62">
        <f t="shared" ref="DU5:DU68" si="44">$DU$3</f>
        <v>221.9773436301067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297.63006022433916</v>
      </c>
      <c r="S6" s="62">
        <f ca="1">AVERAGE(OFFSET($R$3,0,0,'Données projet'!$E$9+1,1))-AVERAGE(OFFSET($H$3,0,0,'Données projet'!$E$9+1,1))</f>
        <v>344.36303707479811</v>
      </c>
      <c r="T6" s="62">
        <f t="shared" si="34"/>
        <v>207.92972431357452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9.0238095238095237</v>
      </c>
      <c r="AI6" s="14">
        <f>IF('Données projet'!$A$62&gt;35,AI5+AH6-AQ5,IF(A6&lt;'Données projet'!$A$62,$AF$205^A6,IF(A6='Données projet'!$A$62,'Données projet'!$B$62,AI5+AH6-AQ5)))</f>
        <v>27.071428571428569</v>
      </c>
      <c r="AJ6" s="14">
        <f>AI6*VLOOKUP('Données projet'!$B$10,Paramètres!$A$1:$I$89,3,0)*VLOOKUP('Données projet'!$B$10,Paramètres!$A$1:$I$89,5,0)</f>
        <v>12.66942857142857</v>
      </c>
      <c r="AK6" s="14">
        <f t="shared" si="35"/>
        <v>4.3445837576837958</v>
      </c>
      <c r="AL6" s="22">
        <f t="shared" si="4"/>
        <v>29.6327381398707</v>
      </c>
      <c r="AM6" s="62">
        <f t="shared" si="5"/>
        <v>322.96607147320401</v>
      </c>
      <c r="AN6" s="62">
        <f ca="1">AVERAGE(OFFSET($AM$3,0,0,'Données projet'!$E$10+1,1))-AVERAGE(OFFSET($H$3,0,0,'Données projet'!$E$10+1,1))</f>
        <v>273.94989417245978</v>
      </c>
      <c r="AO6" s="62">
        <f t="shared" si="36"/>
        <v>244.91615281423549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6.6</v>
      </c>
      <c r="BD6" s="13">
        <f>IF('Données projet'!$A$88&gt;35,BD5+BC6-BL5,IF(A6&lt;'Données projet'!$A$88,$BA$205^A6,IF(A6='Données projet'!$A$88,'Données projet'!$B$88,BD5+BC6-BL5)))</f>
        <v>2.0801089837784965</v>
      </c>
      <c r="BE6" s="14">
        <f>BD6*VLOOKUP('Données projet'!$B$11,Paramètres!$A$1:$I$89,3,0)*VLOOKUP('Données projet'!$B$11,Paramètres!$A$1:$I$89,5,0)</f>
        <v>1.8171832082288948</v>
      </c>
      <c r="BF6" s="14">
        <f t="shared" si="37"/>
        <v>0.7811901694881791</v>
      </c>
      <c r="BG6" s="22">
        <f t="shared" si="7"/>
        <v>4.5255002995239044</v>
      </c>
      <c r="BH6" s="62">
        <f t="shared" si="8"/>
        <v>297.85883363285723</v>
      </c>
      <c r="BI6" s="62">
        <f ca="1">AVERAGE(OFFSET($BH$3,0,0,'Données projet'!$E$11+1,1))-AVERAGE(OFFSET($H$3,0,0,'Données projet'!$E$11+1,1))</f>
        <v>247.81726778334098</v>
      </c>
      <c r="BJ6" s="62">
        <f t="shared" si="38"/>
        <v>278.55937893537259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7.7692307692307692</v>
      </c>
      <c r="BY6" s="13">
        <f>IF('Données projet'!$A$114&gt;35,BY5+BX6-CG5,IF(A6&lt;'Données projet'!$A$114,$BV$205^A6,IF(A6='Données projet'!$A$114,'Données projet'!$B$114,BY5+BX6-CG5)))</f>
        <v>2.9009196620933739</v>
      </c>
      <c r="BZ6" s="14">
        <f>BY6*VLOOKUP('Données projet'!$B$12,Paramètres!$A$1:$I$89,3,0)*VLOOKUP('Données projet'!$B$12,Paramètres!$A$1:$I$89,5,0)</f>
        <v>1.7347499579318377</v>
      </c>
      <c r="CA6" s="14">
        <f t="shared" si="39"/>
        <v>0.74979368271678282</v>
      </c>
      <c r="CB6" s="22">
        <f t="shared" si="10"/>
        <v>4.3272468407963478</v>
      </c>
      <c r="CC6" s="62">
        <f t="shared" si="11"/>
        <v>297.66058017412968</v>
      </c>
      <c r="CD6" s="62">
        <f ca="1">AVERAGE(OFFSET($CC$3,0,0,'Données projet'!$E$12+1,1))-AVERAGE(OFFSET($H$3,0,0,'Données projet'!$E$12+1,1))</f>
        <v>156.11420010556668</v>
      </c>
      <c r="CE6" s="62">
        <f t="shared" si="40"/>
        <v>318.01952986326501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8.1284210526315785</v>
      </c>
      <c r="CT6" s="13">
        <f>IF('Données projet'!$A$140&gt;35,CT5+CS6-DB5,IF(A6&lt;'Données projet'!$A$140,$CQ$205^A6,IF(A6='Données projet'!$A$140,'Données projet'!$B$140,CT5+CS6-DB5)))</f>
        <v>2.2161219306335851</v>
      </c>
      <c r="CU6" s="18">
        <f>CT6*VLOOKUP('Données projet'!$B$13,Paramètres!$A$1:$I$89,3,0)*VLOOKUP('Données projet'!$B$13,Paramètres!$A$1:$I$89,5,0)</f>
        <v>1.2388121592241741</v>
      </c>
      <c r="CV6" s="14">
        <f t="shared" si="41"/>
        <v>0.5568416206694583</v>
      </c>
      <c r="CW6" s="22">
        <f t="shared" si="13"/>
        <v>3.1274303333147428</v>
      </c>
      <c r="CX6" s="62">
        <f t="shared" si="14"/>
        <v>296.46076366664806</v>
      </c>
      <c r="CY6" s="62">
        <f ca="1">AVERAGE(OFFSET($CX$3,0,0,'Données projet'!$E$13+1,1))-AVERAGE(OFFSET($H$3,0,0,'Données projet'!$E$13+1,1))</f>
        <v>321.56347025977988</v>
      </c>
      <c r="CZ6" s="62">
        <f t="shared" si="42"/>
        <v>285.79375360040717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5.5909090909090908</v>
      </c>
      <c r="DO6" s="13">
        <f>IF('Données projet'!$A$166&gt;35,DO5+DN6-DW5,IF(A6&lt;'Données projet'!$A$166,$DL$205^A6,IF(A6='Données projet'!$A$166,'Données projet'!$B$166,DO5+DN6-DW5)))</f>
        <v>1.927467485460697</v>
      </c>
      <c r="DP6" s="18">
        <f>DO6*VLOOKUP('Données projet'!$B$14,Paramètres!$A$1:$I$89,3,0)*VLOOKUP('Données projet'!$B$14,Paramètres!$A$1:$I$89,5,0)</f>
        <v>1.152625556305497</v>
      </c>
      <c r="DQ6" s="14">
        <f t="shared" si="43"/>
        <v>0.52246812247269758</v>
      </c>
      <c r="DR6" s="22">
        <f t="shared" si="16"/>
        <v>2.9174548238720219</v>
      </c>
      <c r="DS6" s="62">
        <f t="shared" si="17"/>
        <v>296.25078815720536</v>
      </c>
      <c r="DT6" s="62">
        <f ca="1">AVERAGE(OFFSET($DS$3,0,0,'Données projet'!$E$14+1,1))-AVERAGE(OFFSET($H$3,0,0,'Données projet'!$E$14+1,1))</f>
        <v>287.69656598881124</v>
      </c>
      <c r="DU6" s="62">
        <f t="shared" si="44"/>
        <v>221.9773436301067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298.61848781128475</v>
      </c>
      <c r="S7" s="62">
        <f ca="1">AVERAGE(OFFSET($R$3,0,0,'Données projet'!$E$9+1,1))-AVERAGE(OFFSET($H$3,0,0,'Données projet'!$E$9+1,1))</f>
        <v>344.36303707479811</v>
      </c>
      <c r="T7" s="62">
        <f t="shared" si="34"/>
        <v>207.92972431357452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9.0238095238095237</v>
      </c>
      <c r="AI7" s="14">
        <f>IF('Données projet'!$A$62&gt;35,AI6+AH7-AQ6,IF(A7&lt;'Données projet'!$A$62,$AF$205^A7,IF(A7='Données projet'!$A$62,'Données projet'!$B$62,AI6+AH7-AQ6)))</f>
        <v>36.095238095238095</v>
      </c>
      <c r="AJ7" s="14">
        <f>AI7*VLOOKUP('Données projet'!$B$10,Paramètres!$A$1:$I$89,3,0)*VLOOKUP('Données projet'!$B$10,Paramètres!$A$1:$I$89,5,0)</f>
        <v>16.892571428571426</v>
      </c>
      <c r="AK7" s="14">
        <f t="shared" si="35"/>
        <v>5.6020120919719671</v>
      </c>
      <c r="AL7" s="22">
        <f t="shared" si="4"/>
        <v>39.178066298279745</v>
      </c>
      <c r="AM7" s="62">
        <f t="shared" si="5"/>
        <v>332.51139963161307</v>
      </c>
      <c r="AN7" s="62">
        <f ca="1">AVERAGE(OFFSET($AM$3,0,0,'Données projet'!$E$10+1,1))-AVERAGE(OFFSET($H$3,0,0,'Données projet'!$E$10+1,1))</f>
        <v>273.94989417245978</v>
      </c>
      <c r="AO7" s="62">
        <f t="shared" si="36"/>
        <v>244.91615281423549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6.6</v>
      </c>
      <c r="BD7" s="13">
        <f>IF('Données projet'!$A$88&gt;35,BD6+BC7-BL6,IF(A7&lt;'Données projet'!$A$88,$BA$205^A7,IF(A7='Données projet'!$A$88,'Données projet'!$B$88,BD6+BC7-BL6)))</f>
        <v>2.655307280461467</v>
      </c>
      <c r="BE7" s="14">
        <f>BD7*VLOOKUP('Données projet'!$B$11,Paramètres!$A$1:$I$89,3,0)*VLOOKUP('Données projet'!$B$11,Paramètres!$A$1:$I$89,5,0)</f>
        <v>2.3196764402111376</v>
      </c>
      <c r="BF7" s="14">
        <f t="shared" si="37"/>
        <v>0.96926766711854973</v>
      </c>
      <c r="BG7" s="22">
        <f t="shared" si="7"/>
        <v>5.7282443202658717</v>
      </c>
      <c r="BH7" s="62">
        <f t="shared" si="8"/>
        <v>299.06157765359916</v>
      </c>
      <c r="BI7" s="62">
        <f ca="1">AVERAGE(OFFSET($BH$3,0,0,'Données projet'!$E$11+1,1))-AVERAGE(OFFSET($H$3,0,0,'Données projet'!$E$11+1,1))</f>
        <v>247.81726778334098</v>
      </c>
      <c r="BJ7" s="62">
        <f t="shared" si="38"/>
        <v>278.55937893537259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7.7692307692307692</v>
      </c>
      <c r="BY7" s="13">
        <f>IF('Données projet'!$A$114&gt;35,BY6+BX7-CG6,IF(A7&lt;'Données projet'!$A$114,$BV$205^A7,IF(A7='Données projet'!$A$114,'Données projet'!$B$114,BY6+BX7-CG6)))</f>
        <v>4.1372738562304461</v>
      </c>
      <c r="BZ7" s="14">
        <f>BY7*VLOOKUP('Données projet'!$B$12,Paramètres!$A$1:$I$89,3,0)*VLOOKUP('Données projet'!$B$12,Paramètres!$A$1:$I$89,5,0)</f>
        <v>2.474089766025807</v>
      </c>
      <c r="CA7" s="14">
        <f t="shared" si="39"/>
        <v>1.0260628389675426</v>
      </c>
      <c r="CB7" s="22">
        <f t="shared" si="10"/>
        <v>6.0960991203634167</v>
      </c>
      <c r="CC7" s="62">
        <f t="shared" si="11"/>
        <v>299.42943245369673</v>
      </c>
      <c r="CD7" s="62">
        <f ca="1">AVERAGE(OFFSET($CC$3,0,0,'Données projet'!$E$12+1,1))-AVERAGE(OFFSET($H$3,0,0,'Données projet'!$E$12+1,1))</f>
        <v>156.11420010556668</v>
      </c>
      <c r="CE7" s="62">
        <f t="shared" si="40"/>
        <v>318.01952986326501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8.1284210526315785</v>
      </c>
      <c r="CT7" s="13">
        <f>IF('Données projet'!$A$140&gt;35,CT6+CS7-DB6,IF(A7&lt;'Données projet'!$A$140,$CQ$205^A7,IF(A7='Données projet'!$A$140,'Données projet'!$B$140,CT6+CS7-DB6)))</f>
        <v>2.8892926670846877</v>
      </c>
      <c r="CU7" s="18">
        <f>CT7*VLOOKUP('Données projet'!$B$13,Paramètres!$A$1:$I$89,3,0)*VLOOKUP('Données projet'!$B$13,Paramètres!$A$1:$I$89,5,0)</f>
        <v>1.6151146009003403</v>
      </c>
      <c r="CV7" s="14">
        <f t="shared" si="41"/>
        <v>0.70391551721783874</v>
      </c>
      <c r="CW7" s="22">
        <f t="shared" si="13"/>
        <v>4.0389774557224944</v>
      </c>
      <c r="CX7" s="62">
        <f t="shared" si="14"/>
        <v>297.3723107890558</v>
      </c>
      <c r="CY7" s="62">
        <f ca="1">AVERAGE(OFFSET($CX$3,0,0,'Données projet'!$E$13+1,1))-AVERAGE(OFFSET($H$3,0,0,'Données projet'!$E$13+1,1))</f>
        <v>321.56347025977988</v>
      </c>
      <c r="CZ7" s="62">
        <f t="shared" si="42"/>
        <v>285.79375360040717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5.5909090909090908</v>
      </c>
      <c r="DO7" s="13">
        <f>IF('Données projet'!$A$166&gt;35,DO6+DN7-DW6,IF(A7&lt;'Données projet'!$A$166,$DL$205^A7,IF(A7='Données projet'!$A$166,'Données projet'!$B$166,DO6+DN7-DW6)))</f>
        <v>2.3987376266268075</v>
      </c>
      <c r="DP7" s="18">
        <f>DO7*VLOOKUP('Données projet'!$B$14,Paramètres!$A$1:$I$89,3,0)*VLOOKUP('Données projet'!$B$14,Paramètres!$A$1:$I$89,5,0)</f>
        <v>1.4344451007228309</v>
      </c>
      <c r="DQ7" s="14">
        <f t="shared" si="43"/>
        <v>0.63386677286612625</v>
      </c>
      <c r="DR7" s="22">
        <f t="shared" si="16"/>
        <v>3.6023098465007668</v>
      </c>
      <c r="DS7" s="62">
        <f t="shared" si="17"/>
        <v>296.93564317983407</v>
      </c>
      <c r="DT7" s="62">
        <f ca="1">AVERAGE(OFFSET($DS$3,0,0,'Données projet'!$E$14+1,1))-AVERAGE(OFFSET($H$3,0,0,'Données projet'!$E$14+1,1))</f>
        <v>287.69656598881124</v>
      </c>
      <c r="DU7" s="62">
        <f t="shared" si="44"/>
        <v>221.9773436301067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299.83514117239878</v>
      </c>
      <c r="S8" s="62">
        <f ca="1">AVERAGE(OFFSET($R$3,0,0,'Données projet'!$E$9+1,1))-AVERAGE(OFFSET($H$3,0,0,'Données projet'!$E$9+1,1))</f>
        <v>344.36303707479811</v>
      </c>
      <c r="T8" s="62">
        <f t="shared" si="34"/>
        <v>207.92972431357452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9.0238095238095237</v>
      </c>
      <c r="AI8" s="14">
        <f>IF('Données projet'!$A$62&gt;35,AI7+AH8-AQ7,IF(A8&lt;'Données projet'!$A$62,$AF$205^A8,IF(A8='Données projet'!$A$62,'Données projet'!$B$62,AI7+AH8-AQ7)))</f>
        <v>45.11904761904762</v>
      </c>
      <c r="AJ8" s="14">
        <f>AI8*VLOOKUP('Données projet'!$B$10,Paramètres!$A$1:$I$89,3,0)*VLOOKUP('Données projet'!$B$10,Paramètres!$A$1:$I$89,5,0)</f>
        <v>21.115714285714287</v>
      </c>
      <c r="AK8" s="14">
        <f t="shared" si="35"/>
        <v>6.8229742053789595</v>
      </c>
      <c r="AL8" s="22">
        <f t="shared" si="4"/>
        <v>48.659882455320734</v>
      </c>
      <c r="AM8" s="62">
        <f t="shared" si="5"/>
        <v>341.99321578865403</v>
      </c>
      <c r="AN8" s="62">
        <f ca="1">AVERAGE(OFFSET($AM$3,0,0,'Données projet'!$E$10+1,1))-AVERAGE(OFFSET($H$3,0,0,'Données projet'!$E$10+1,1))</f>
        <v>273.94989417245978</v>
      </c>
      <c r="AO8" s="62">
        <f t="shared" si="36"/>
        <v>244.91615281423549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6.6</v>
      </c>
      <c r="BD8" s="13">
        <f>IF('Données projet'!$A$88&gt;35,BD7+BC8-BL7,IF(A8&lt;'Données projet'!$A$88,$BA$205^A8,IF(A8='Données projet'!$A$88,'Données projet'!$B$88,BD7+BC8-BL7)))</f>
        <v>3.3895612242701949</v>
      </c>
      <c r="BE8" s="14">
        <f>BD8*VLOOKUP('Données projet'!$B$11,Paramètres!$A$1:$I$89,3,0)*VLOOKUP('Données projet'!$B$11,Paramètres!$A$1:$I$89,5,0)</f>
        <v>2.9611206855224426</v>
      </c>
      <c r="BF8" s="14">
        <f t="shared" si="37"/>
        <v>1.2026262582604759</v>
      </c>
      <c r="BG8" s="22">
        <f t="shared" si="7"/>
        <v>7.2518592604219156</v>
      </c>
      <c r="BH8" s="62">
        <f t="shared" si="8"/>
        <v>300.58519259375521</v>
      </c>
      <c r="BI8" s="62">
        <f ca="1">AVERAGE(OFFSET($BH$3,0,0,'Données projet'!$E$11+1,1))-AVERAGE(OFFSET($H$3,0,0,'Données projet'!$E$11+1,1))</f>
        <v>247.81726778334098</v>
      </c>
      <c r="BJ8" s="62">
        <f t="shared" si="38"/>
        <v>278.55937893537259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7.7692307692307692</v>
      </c>
      <c r="BY8" s="13">
        <f>IF('Données projet'!$A$114&gt;35,BY7+BX8-CG7,IF(A8&lt;'Données projet'!$A$114,$BV$205^A8,IF(A8='Données projet'!$A$114,'Données projet'!$B$114,BY7+BX8-CG7)))</f>
        <v>5.9005546362134957</v>
      </c>
      <c r="BZ8" s="14">
        <f>BY8*VLOOKUP('Données projet'!$B$12,Paramètres!$A$1:$I$89,3,0)*VLOOKUP('Données projet'!$B$12,Paramètres!$A$1:$I$89,5,0)</f>
        <v>3.5285316724556708</v>
      </c>
      <c r="CA8" s="14">
        <f t="shared" si="39"/>
        <v>1.404126193348852</v>
      </c>
      <c r="CB8" s="22">
        <f t="shared" si="10"/>
        <v>8.5910457829428761</v>
      </c>
      <c r="CC8" s="62">
        <f t="shared" si="11"/>
        <v>301.92437911627621</v>
      </c>
      <c r="CD8" s="62">
        <f ca="1">AVERAGE(OFFSET($CC$3,0,0,'Données projet'!$E$12+1,1))-AVERAGE(OFFSET($H$3,0,0,'Données projet'!$E$12+1,1))</f>
        <v>156.11420010556668</v>
      </c>
      <c r="CE8" s="62">
        <f t="shared" si="40"/>
        <v>318.01952986326501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8.1284210526315785</v>
      </c>
      <c r="CT8" s="13">
        <f>IF('Données projet'!$A$140&gt;35,CT7+CS8-DB7,IF(A8&lt;'Données projet'!$A$140,$CQ$205^A8,IF(A8='Données projet'!$A$140,'Données projet'!$B$140,CT7+CS8-DB7)))</f>
        <v>3.7669462138676937</v>
      </c>
      <c r="CU8" s="18">
        <f>CT8*VLOOKUP('Données projet'!$B$13,Paramètres!$A$1:$I$89,3,0)*VLOOKUP('Données projet'!$B$13,Paramètres!$A$1:$I$89,5,0)</f>
        <v>2.1057229335520411</v>
      </c>
      <c r="CV8" s="14">
        <f t="shared" si="41"/>
        <v>0.88983480578256757</v>
      </c>
      <c r="CW8" s="22">
        <f t="shared" si="13"/>
        <v>5.2172630626744434</v>
      </c>
      <c r="CX8" s="62">
        <f t="shared" si="14"/>
        <v>298.55059639600773</v>
      </c>
      <c r="CY8" s="62">
        <f ca="1">AVERAGE(OFFSET($CX$3,0,0,'Données projet'!$E$13+1,1))-AVERAGE(OFFSET($H$3,0,0,'Données projet'!$E$13+1,1))</f>
        <v>321.56347025977988</v>
      </c>
      <c r="CZ8" s="62">
        <f t="shared" si="42"/>
        <v>285.79375360040717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5.5909090909090908</v>
      </c>
      <c r="DO8" s="13">
        <f>IF('Données projet'!$A$166&gt;35,DO7+DN8-DW7,IF(A8&lt;'Données projet'!$A$166,$DL$205^A8,IF(A8='Données projet'!$A$166,'Données projet'!$B$166,DO7+DN8-DW7)))</f>
        <v>2.9852343786852105</v>
      </c>
      <c r="DP8" s="18">
        <f>DO8*VLOOKUP('Données projet'!$B$14,Paramètres!$A$1:$I$89,3,0)*VLOOKUP('Données projet'!$B$14,Paramètres!$A$1:$I$89,5,0)</f>
        <v>1.785170158453756</v>
      </c>
      <c r="DQ8" s="14">
        <f t="shared" si="43"/>
        <v>0.7690174164926461</v>
      </c>
      <c r="DR8" s="22">
        <f t="shared" si="16"/>
        <v>4.4485433596983173</v>
      </c>
      <c r="DS8" s="62">
        <f t="shared" si="17"/>
        <v>297.78187669303162</v>
      </c>
      <c r="DT8" s="62">
        <f ca="1">AVERAGE(OFFSET($DS$3,0,0,'Données projet'!$E$14+1,1))-AVERAGE(OFFSET($H$3,0,0,'Données projet'!$E$14+1,1))</f>
        <v>287.69656598881124</v>
      </c>
      <c r="DU8" s="62">
        <f t="shared" si="44"/>
        <v>221.9773436301067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301.33290077663611</v>
      </c>
      <c r="S9" s="62">
        <f ca="1">AVERAGE(OFFSET($R$3,0,0,'Données projet'!$E$9+1,1))-AVERAGE(OFFSET($H$3,0,0,'Données projet'!$E$9+1,1))</f>
        <v>344.36303707479811</v>
      </c>
      <c r="T9" s="62">
        <f t="shared" si="34"/>
        <v>207.92972431357452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9.0238095238095237</v>
      </c>
      <c r="AI9" s="14">
        <f>IF('Données projet'!$A$62&gt;35,AI8+AH9-AQ8,IF(A9&lt;'Données projet'!$A$62,$AF$205^A9,IF(A9='Données projet'!$A$62,'Données projet'!$B$62,AI8+AH9-AQ8)))</f>
        <v>54.142857142857146</v>
      </c>
      <c r="AJ9" s="14">
        <f>AI9*VLOOKUP('Données projet'!$B$10,Paramètres!$A$1:$I$89,3,0)*VLOOKUP('Données projet'!$B$10,Paramètres!$A$1:$I$89,5,0)</f>
        <v>25.338857142857144</v>
      </c>
      <c r="AK9" s="14">
        <f t="shared" si="35"/>
        <v>8.0156413764089276</v>
      </c>
      <c r="AL9" s="22">
        <f t="shared" si="4"/>
        <v>58.092418254388406</v>
      </c>
      <c r="AM9" s="62">
        <f t="shared" si="5"/>
        <v>351.42575158772172</v>
      </c>
      <c r="AN9" s="62">
        <f ca="1">AVERAGE(OFFSET($AM$3,0,0,'Données projet'!$E$10+1,1))-AVERAGE(OFFSET($H$3,0,0,'Données projet'!$E$10+1,1))</f>
        <v>273.94989417245978</v>
      </c>
      <c r="AO9" s="62">
        <f t="shared" si="36"/>
        <v>244.91615281423549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6.6</v>
      </c>
      <c r="BD9" s="13">
        <f>IF('Données projet'!$A$88&gt;35,BD8+BC9-BL8,IF(A9&lt;'Données projet'!$A$88,$BA$205^A9,IF(A9='Données projet'!$A$88,'Données projet'!$B$88,BD8+BC9-BL8)))</f>
        <v>4.32685338439601</v>
      </c>
      <c r="BE9" s="14">
        <f>BD9*VLOOKUP('Données projet'!$B$11,Paramètres!$A$1:$I$89,3,0)*VLOOKUP('Données projet'!$B$11,Paramètres!$A$1:$I$89,5,0)</f>
        <v>3.7799391166083551</v>
      </c>
      <c r="BF9" s="14">
        <f t="shared" si="37"/>
        <v>1.4921677118944865</v>
      </c>
      <c r="BG9" s="22">
        <f t="shared" si="7"/>
        <v>9.1822527263091143</v>
      </c>
      <c r="BH9" s="62">
        <f t="shared" si="8"/>
        <v>302.51558605964243</v>
      </c>
      <c r="BI9" s="62">
        <f ca="1">AVERAGE(OFFSET($BH$3,0,0,'Données projet'!$E$11+1,1))-AVERAGE(OFFSET($H$3,0,0,'Données projet'!$E$11+1,1))</f>
        <v>247.81726778334098</v>
      </c>
      <c r="BJ9" s="62">
        <f t="shared" si="38"/>
        <v>278.55937893537259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7.7692307692307692</v>
      </c>
      <c r="BY9" s="13">
        <f>IF('Données projet'!$A$114&gt;35,BY8+BX9-CG8,IF(A9&lt;'Données projet'!$A$114,$BV$205^A9,IF(A9='Données projet'!$A$114,'Données projet'!$B$114,BY8+BX9-CG8)))</f>
        <v>8.4153348859199362</v>
      </c>
      <c r="BZ9" s="14">
        <f>BY9*VLOOKUP('Données projet'!$B$12,Paramètres!$A$1:$I$89,3,0)*VLOOKUP('Données projet'!$B$12,Paramètres!$A$1:$I$89,5,0)</f>
        <v>5.0323702617801223</v>
      </c>
      <c r="CA9" s="14">
        <f t="shared" si="39"/>
        <v>1.9214908599868947</v>
      </c>
      <c r="CB9" s="22">
        <f t="shared" si="10"/>
        <v>12.111308120410888</v>
      </c>
      <c r="CC9" s="62">
        <f t="shared" si="11"/>
        <v>305.44464145374423</v>
      </c>
      <c r="CD9" s="62">
        <f ca="1">AVERAGE(OFFSET($CC$3,0,0,'Données projet'!$E$12+1,1))-AVERAGE(OFFSET($H$3,0,0,'Données projet'!$E$12+1,1))</f>
        <v>156.11420010556668</v>
      </c>
      <c r="CE9" s="62">
        <f t="shared" si="40"/>
        <v>318.01952986326501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8.1284210526315785</v>
      </c>
      <c r="CT9" s="13">
        <f>IF('Données projet'!$A$140&gt;35,CT8+CS9-DB8,IF(A9&lt;'Données projet'!$A$140,$CQ$205^A9,IF(A9='Données projet'!$A$140,'Données projet'!$B$140,CT8+CS9-DB8)))</f>
        <v>4.911196411435129</v>
      </c>
      <c r="CU9" s="18">
        <f>CT9*VLOOKUP('Données projet'!$B$13,Paramètres!$A$1:$I$89,3,0)*VLOOKUP('Données projet'!$B$13,Paramètres!$A$1:$I$89,5,0)</f>
        <v>2.7453587939922373</v>
      </c>
      <c r="CV9" s="14">
        <f t="shared" si="41"/>
        <v>1.1248593932289483</v>
      </c>
      <c r="CW9" s="22">
        <f t="shared" si="13"/>
        <v>6.7406300094102312</v>
      </c>
      <c r="CX9" s="62">
        <f t="shared" si="14"/>
        <v>300.07396334274353</v>
      </c>
      <c r="CY9" s="62">
        <f ca="1">AVERAGE(OFFSET($CX$3,0,0,'Données projet'!$E$13+1,1))-AVERAGE(OFFSET($H$3,0,0,'Données projet'!$E$13+1,1))</f>
        <v>321.56347025977988</v>
      </c>
      <c r="CZ9" s="62">
        <f t="shared" si="42"/>
        <v>285.79375360040717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5.5909090909090908</v>
      </c>
      <c r="DO9" s="13">
        <f>IF('Données projet'!$A$166&gt;35,DO8+DN9-DW8,IF(A9&lt;'Données projet'!$A$166,$DL$205^A9,IF(A9='Données projet'!$A$166,'Données projet'!$B$166,DO8+DN9-DW8)))</f>
        <v>3.7151309075081826</v>
      </c>
      <c r="DP9" s="18">
        <f>DO9*VLOOKUP('Données projet'!$B$14,Paramètres!$A$1:$I$89,3,0)*VLOOKUP('Données projet'!$B$14,Paramètres!$A$1:$I$89,5,0)</f>
        <v>2.2216482826898933</v>
      </c>
      <c r="DQ9" s="14">
        <f t="shared" si="43"/>
        <v>0.93298436230530435</v>
      </c>
      <c r="DR9" s="22">
        <f t="shared" si="16"/>
        <v>5.4943185233666361</v>
      </c>
      <c r="DS9" s="62">
        <f t="shared" si="17"/>
        <v>298.82765185669996</v>
      </c>
      <c r="DT9" s="62">
        <f ca="1">AVERAGE(OFFSET($DS$3,0,0,'Données projet'!$E$14+1,1))-AVERAGE(OFFSET($H$3,0,0,'Données projet'!$E$14+1,1))</f>
        <v>287.69656598881124</v>
      </c>
      <c r="DU9" s="62">
        <f t="shared" si="44"/>
        <v>221.9773436301067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303.17693934275616</v>
      </c>
      <c r="S10" s="62">
        <f ca="1">AVERAGE(OFFSET($R$3,0,0,'Données projet'!$E$9+1,1))-AVERAGE(OFFSET($H$3,0,0,'Données projet'!$E$9+1,1))</f>
        <v>344.36303707479811</v>
      </c>
      <c r="T10" s="62">
        <f t="shared" si="34"/>
        <v>207.92972431357452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9.0238095238095237</v>
      </c>
      <c r="AI10" s="14">
        <f>IF('Données projet'!$A$62&gt;35,AI9+AH10-AQ9,IF(A10&lt;'Données projet'!$A$62,$AF$205^A10,IF(A10='Données projet'!$A$62,'Données projet'!$B$62,AI9+AH10-AQ9)))</f>
        <v>63.166666666666671</v>
      </c>
      <c r="AJ10" s="14">
        <f>AI10*VLOOKUP('Données projet'!$B$10,Paramètres!$A$1:$I$89,3,0)*VLOOKUP('Données projet'!$B$10,Paramètres!$A$1:$I$89,5,0)</f>
        <v>29.562000000000005</v>
      </c>
      <c r="AK10" s="14">
        <f t="shared" si="35"/>
        <v>9.1852813123664294</v>
      </c>
      <c r="AL10" s="22">
        <f t="shared" si="4"/>
        <v>67.484848285704871</v>
      </c>
      <c r="AM10" s="62">
        <f t="shared" si="5"/>
        <v>360.81818161903817</v>
      </c>
      <c r="AN10" s="62">
        <f ca="1">AVERAGE(OFFSET($AM$3,0,0,'Données projet'!$E$10+1,1))-AVERAGE(OFFSET($H$3,0,0,'Données projet'!$E$10+1,1))</f>
        <v>273.94989417245978</v>
      </c>
      <c r="AO10" s="62">
        <f t="shared" si="36"/>
        <v>244.91615281423549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6.6</v>
      </c>
      <c r="BD10" s="13">
        <f>IF('Données projet'!$A$88&gt;35,BD9+BC10-BL9,IF(A10&lt;'Données projet'!$A$88,$BA$205^A10,IF(A10='Données projet'!$A$88,'Données projet'!$B$88,BD9+BC10-BL9)))</f>
        <v>5.5233285287803451</v>
      </c>
      <c r="BE10" s="14">
        <f>BD10*VLOOKUP('Données projet'!$B$11,Paramètres!$A$1:$I$89,3,0)*VLOOKUP('Données projet'!$B$11,Paramètres!$A$1:$I$89,5,0)</f>
        <v>4.8251798027425101</v>
      </c>
      <c r="BF10" s="14">
        <f t="shared" si="37"/>
        <v>1.8514184811173284</v>
      </c>
      <c r="BG10" s="22">
        <f t="shared" si="7"/>
        <v>11.628408677722552</v>
      </c>
      <c r="BH10" s="62">
        <f t="shared" si="8"/>
        <v>304.96174201105589</v>
      </c>
      <c r="BI10" s="62">
        <f ca="1">AVERAGE(OFFSET($BH$3,0,0,'Données projet'!$E$11+1,1))-AVERAGE(OFFSET($H$3,0,0,'Données projet'!$E$11+1,1))</f>
        <v>247.81726778334098</v>
      </c>
      <c r="BJ10" s="62">
        <f t="shared" si="38"/>
        <v>278.55937893537259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7.7692307692307692</v>
      </c>
      <c r="BY10" s="13">
        <f>IF('Données projet'!$A$114&gt;35,BY9+BX10-CG9,IF(A10&lt;'Données projet'!$A$114,$BV$205^A10,IF(A10='Données projet'!$A$114,'Données projet'!$B$114,BY9+BX10-CG9)))</f>
        <v>12.001899077003776</v>
      </c>
      <c r="BZ10" s="14">
        <f>BY10*VLOOKUP('Données projet'!$B$12,Paramètres!$A$1:$I$89,3,0)*VLOOKUP('Données projet'!$B$12,Paramètres!$A$1:$I$89,5,0)</f>
        <v>7.1771356480482584</v>
      </c>
      <c r="CA10" s="14">
        <f t="shared" si="39"/>
        <v>2.6294838330787229</v>
      </c>
      <c r="CB10" s="22">
        <f t="shared" si="10"/>
        <v>17.079862262962827</v>
      </c>
      <c r="CC10" s="62">
        <f t="shared" si="11"/>
        <v>310.41319559629613</v>
      </c>
      <c r="CD10" s="62">
        <f ca="1">AVERAGE(OFFSET($CC$3,0,0,'Données projet'!$E$12+1,1))-AVERAGE(OFFSET($H$3,0,0,'Données projet'!$E$12+1,1))</f>
        <v>156.11420010556668</v>
      </c>
      <c r="CE10" s="62">
        <f t="shared" si="40"/>
        <v>318.01952986326501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8.1284210526315785</v>
      </c>
      <c r="CT10" s="13">
        <f>IF('Données projet'!$A$140&gt;35,CT9+CS10-DB9,IF(A10&lt;'Données projet'!$A$140,$CQ$205^A10,IF(A10='Données projet'!$A$140,'Données projet'!$B$140,CT9+CS10-DB9)))</f>
        <v>6.403024843545178</v>
      </c>
      <c r="CU10" s="18">
        <f>CT10*VLOOKUP('Données projet'!$B$13,Paramètres!$A$1:$I$89,3,0)*VLOOKUP('Données projet'!$B$13,Paramètres!$A$1:$I$89,5,0)</f>
        <v>3.5792908875417546</v>
      </c>
      <c r="CV10" s="14">
        <f t="shared" si="41"/>
        <v>1.4219590493795295</v>
      </c>
      <c r="CW10" s="22">
        <f t="shared" si="13"/>
        <v>8.7105103068045704</v>
      </c>
      <c r="CX10" s="62">
        <f t="shared" si="14"/>
        <v>302.04384364013788</v>
      </c>
      <c r="CY10" s="62">
        <f ca="1">AVERAGE(OFFSET($CX$3,0,0,'Données projet'!$E$13+1,1))-AVERAGE(OFFSET($H$3,0,0,'Données projet'!$E$13+1,1))</f>
        <v>321.56347025977988</v>
      </c>
      <c r="CZ10" s="62">
        <f t="shared" si="42"/>
        <v>285.79375360040717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5.5909090909090908</v>
      </c>
      <c r="DO10" s="13">
        <f>IF('Données projet'!$A$166&gt;35,DO9+DN10-DW9,IF(A10&lt;'Données projet'!$A$166,$DL$205^A10,IF(A10='Données projet'!$A$166,'Données projet'!$B$166,DO9+DN10-DW9)))</f>
        <v>4.6234887814743333</v>
      </c>
      <c r="DP10" s="18">
        <f>DO10*VLOOKUP('Données projet'!$B$14,Paramètres!$A$1:$I$89,3,0)*VLOOKUP('Données projet'!$B$14,Paramètres!$A$1:$I$89,5,0)</f>
        <v>2.7648462913216516</v>
      </c>
      <c r="DQ10" s="14">
        <f t="shared" si="43"/>
        <v>1.1319117118000401</v>
      </c>
      <c r="DR10" s="22">
        <f t="shared" si="16"/>
        <v>6.7868535221036126</v>
      </c>
      <c r="DS10" s="62">
        <f t="shared" si="17"/>
        <v>300.12018685543694</v>
      </c>
      <c r="DT10" s="62">
        <f ca="1">AVERAGE(OFFSET($DS$3,0,0,'Données projet'!$E$14+1,1))-AVERAGE(OFFSET($H$3,0,0,'Données projet'!$E$14+1,1))</f>
        <v>287.69656598881124</v>
      </c>
      <c r="DU10" s="62">
        <f t="shared" si="44"/>
        <v>221.9773436301067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305.44758777557922</v>
      </c>
      <c r="S11" s="62">
        <f ca="1">AVERAGE(OFFSET($R$3,0,0,'Données projet'!$E$9+1,1))-AVERAGE(OFFSET($H$3,0,0,'Données projet'!$E$9+1,1))</f>
        <v>344.36303707479811</v>
      </c>
      <c r="T11" s="62">
        <f t="shared" si="34"/>
        <v>207.92972431357452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9.0238095238095237</v>
      </c>
      <c r="AI11" s="14">
        <f>IF('Données projet'!$A$62&gt;35,AI10+AH11-AQ10,IF(A11&lt;'Données projet'!$A$62,$AF$205^A11,IF(A11='Données projet'!$A$62,'Données projet'!$B$62,AI10+AH11-AQ10)))</f>
        <v>72.19047619047619</v>
      </c>
      <c r="AJ11" s="14">
        <f>AI11*VLOOKUP('Données projet'!$B$10,Paramètres!$A$1:$I$89,3,0)*VLOOKUP('Données projet'!$B$10,Paramètres!$A$1:$I$89,5,0)</f>
        <v>33.785142857142851</v>
      </c>
      <c r="AK11" s="14">
        <f t="shared" si="35"/>
        <v>10.33556317935804</v>
      </c>
      <c r="AL11" s="22">
        <f t="shared" si="4"/>
        <v>76.843563013572378</v>
      </c>
      <c r="AM11" s="62">
        <f t="shared" si="5"/>
        <v>370.17689634690566</v>
      </c>
      <c r="AN11" s="62">
        <f ca="1">AVERAGE(OFFSET($AM$3,0,0,'Données projet'!$E$10+1,1))-AVERAGE(OFFSET($H$3,0,0,'Données projet'!$E$10+1,1))</f>
        <v>273.94989417245978</v>
      </c>
      <c r="AO11" s="62">
        <f t="shared" si="36"/>
        <v>244.91615281423549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6.6</v>
      </c>
      <c r="BD11" s="13">
        <f>IF('Données projet'!$A$88&gt;35,BD10+BC11-BL10,IF(A11&lt;'Données projet'!$A$88,$BA$205^A11,IF(A11='Données projet'!$A$88,'Données projet'!$B$88,BD10+BC11-BL10)))</f>
        <v>7.0506567536716718</v>
      </c>
      <c r="BE11" s="14">
        <f>BD11*VLOOKUP('Données projet'!$B$11,Paramètres!$A$1:$I$89,3,0)*VLOOKUP('Données projet'!$B$11,Paramètres!$A$1:$I$89,5,0)</f>
        <v>6.1594537400075735</v>
      </c>
      <c r="BF11" s="14">
        <f t="shared" si="37"/>
        <v>2.2971616158822084</v>
      </c>
      <c r="BG11" s="22">
        <f t="shared" si="7"/>
        <v>14.728605078174702</v>
      </c>
      <c r="BH11" s="62">
        <f t="shared" si="8"/>
        <v>308.06193841150804</v>
      </c>
      <c r="BI11" s="62">
        <f ca="1">AVERAGE(OFFSET($BH$3,0,0,'Données projet'!$E$11+1,1))-AVERAGE(OFFSET($H$3,0,0,'Données projet'!$E$11+1,1))</f>
        <v>247.81726778334098</v>
      </c>
      <c r="BJ11" s="62">
        <f t="shared" si="38"/>
        <v>278.55937893537259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7.7692307692307692</v>
      </c>
      <c r="BY11" s="13">
        <f>IF('Données projet'!$A$114&gt;35,BY10+BX11-CG10,IF(A11&lt;'Données projet'!$A$114,$BV$205^A11,IF(A11='Données projet'!$A$114,'Données projet'!$B$114,BY10+BX11-CG10)))</f>
        <v>17.117034961447946</v>
      </c>
      <c r="BZ11" s="14">
        <f>BY11*VLOOKUP('Données projet'!$B$12,Paramètres!$A$1:$I$89,3,0)*VLOOKUP('Données projet'!$B$12,Paramètres!$A$1:$I$89,5,0)</f>
        <v>10.235986906945872</v>
      </c>
      <c r="CA11" s="14">
        <f t="shared" si="39"/>
        <v>3.5983440631455994</v>
      </c>
      <c r="CB11" s="22">
        <f t="shared" si="10"/>
        <v>24.094793106242644</v>
      </c>
      <c r="CC11" s="62">
        <f t="shared" si="11"/>
        <v>317.42812643957598</v>
      </c>
      <c r="CD11" s="62">
        <f ca="1">AVERAGE(OFFSET($CC$3,0,0,'Données projet'!$E$12+1,1))-AVERAGE(OFFSET($H$3,0,0,'Données projet'!$E$12+1,1))</f>
        <v>156.11420010556668</v>
      </c>
      <c r="CE11" s="62">
        <f t="shared" si="40"/>
        <v>318.01952986326501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8.1284210526315785</v>
      </c>
      <c r="CT11" s="13">
        <f>IF('Données projet'!$A$140&gt;35,CT10+CS11-DB10,IF(A11&lt;'Données projet'!$A$140,$CQ$205^A11,IF(A11='Données projet'!$A$140,'Données projet'!$B$140,CT10+CS11-DB10)))</f>
        <v>8.3480121160693486</v>
      </c>
      <c r="CU11" s="18">
        <f>CT11*VLOOKUP('Données projet'!$B$13,Paramètres!$A$1:$I$89,3,0)*VLOOKUP('Données projet'!$B$13,Paramètres!$A$1:$I$89,5,0)</f>
        <v>4.6665387728827659</v>
      </c>
      <c r="CV11" s="14">
        <f t="shared" si="41"/>
        <v>1.7975291403383375</v>
      </c>
      <c r="CW11" s="22">
        <f t="shared" si="13"/>
        <v>11.258251615526754</v>
      </c>
      <c r="CX11" s="62">
        <f t="shared" si="14"/>
        <v>304.59158494886009</v>
      </c>
      <c r="CY11" s="62">
        <f ca="1">AVERAGE(OFFSET($CX$3,0,0,'Données projet'!$E$13+1,1))-AVERAGE(OFFSET($H$3,0,0,'Données projet'!$E$13+1,1))</f>
        <v>321.56347025977988</v>
      </c>
      <c r="CZ11" s="62">
        <f t="shared" si="42"/>
        <v>285.79375360040717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5.5909090909090908</v>
      </c>
      <c r="DO11" s="13">
        <f>IF('Données projet'!$A$166&gt;35,DO10+DN11-DW10,IF(A11&lt;'Données projet'!$A$166,$DL$205^A11,IF(A11='Données projet'!$A$166,'Données projet'!$B$166,DO10+DN11-DW10)))</f>
        <v>5.7539422013952093</v>
      </c>
      <c r="DP11" s="18">
        <f>DO11*VLOOKUP('Données projet'!$B$14,Paramètres!$A$1:$I$89,3,0)*VLOOKUP('Données projet'!$B$14,Paramètres!$A$1:$I$89,5,0)</f>
        <v>3.4408574364343356</v>
      </c>
      <c r="DQ11" s="14">
        <f t="shared" si="43"/>
        <v>1.3732535882427113</v>
      </c>
      <c r="DR11" s="22">
        <f t="shared" si="16"/>
        <v>8.3845767013125236</v>
      </c>
      <c r="DS11" s="62">
        <f t="shared" si="17"/>
        <v>301.71791003464585</v>
      </c>
      <c r="DT11" s="62">
        <f ca="1">AVERAGE(OFFSET($DS$3,0,0,'Données projet'!$E$14+1,1))-AVERAGE(OFFSET($H$3,0,0,'Données projet'!$E$14+1,1))</f>
        <v>287.69656598881124</v>
      </c>
      <c r="DU11" s="62">
        <f t="shared" si="44"/>
        <v>221.9773436301067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308.24387113376753</v>
      </c>
      <c r="S12" s="62">
        <f ca="1">AVERAGE(OFFSET($R$3,0,0,'Données projet'!$E$9+1,1))-AVERAGE(OFFSET($H$3,0,0,'Données projet'!$E$9+1,1))</f>
        <v>344.36303707479811</v>
      </c>
      <c r="T12" s="62">
        <f t="shared" si="34"/>
        <v>207.92972431357452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9.0238095238095237</v>
      </c>
      <c r="AI12" s="14">
        <f>IF('Données projet'!$A$62&gt;35,AI11+AH12-AQ11,IF(A12&lt;'Données projet'!$A$62,$AF$205^A12,IF(A12='Données projet'!$A$62,'Données projet'!$B$62,AI11+AH12-AQ11)))</f>
        <v>81.214285714285708</v>
      </c>
      <c r="AJ12" s="14">
        <f>AI12*VLOOKUP('Données projet'!$B$10,Paramètres!$A$1:$I$89,3,0)*VLOOKUP('Données projet'!$B$10,Paramètres!$A$1:$I$89,5,0)</f>
        <v>38.008285714285712</v>
      </c>
      <c r="AK12" s="14">
        <f t="shared" si="35"/>
        <v>11.469183861147634</v>
      </c>
      <c r="AL12" s="22">
        <f t="shared" si="4"/>
        <v>86.173259510546401</v>
      </c>
      <c r="AM12" s="62">
        <f t="shared" si="5"/>
        <v>379.50659284387973</v>
      </c>
      <c r="AN12" s="62">
        <f ca="1">AVERAGE(OFFSET($AM$3,0,0,'Données projet'!$E$10+1,1))-AVERAGE(OFFSET($H$3,0,0,'Données projet'!$E$10+1,1))</f>
        <v>273.94989417245978</v>
      </c>
      <c r="AO12" s="62">
        <f t="shared" si="36"/>
        <v>244.91615281423549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6.6</v>
      </c>
      <c r="BD12" s="13">
        <f>IF('Données projet'!$A$88&gt;35,BD11+BC12-BL11,IF(A12&lt;'Données projet'!$A$88,$BA$205^A12,IF(A12='Données projet'!$A$88,'Données projet'!$B$88,BD11+BC12-BL11)))</f>
        <v>9.0003265963745314</v>
      </c>
      <c r="BE12" s="14">
        <f>BD12*VLOOKUP('Données projet'!$B$11,Paramètres!$A$1:$I$89,3,0)*VLOOKUP('Données projet'!$B$11,Paramètres!$A$1:$I$89,5,0)</f>
        <v>7.8626853145927917</v>
      </c>
      <c r="BF12" s="14">
        <f t="shared" si="37"/>
        <v>2.8502208135558442</v>
      </c>
      <c r="BG12" s="22">
        <f t="shared" si="7"/>
        <v>18.658311506525539</v>
      </c>
      <c r="BH12" s="62">
        <f t="shared" si="8"/>
        <v>311.99164483985885</v>
      </c>
      <c r="BI12" s="62">
        <f ca="1">AVERAGE(OFFSET($BH$3,0,0,'Données projet'!$E$11+1,1))-AVERAGE(OFFSET($H$3,0,0,'Données projet'!$E$11+1,1))</f>
        <v>247.81726778334098</v>
      </c>
      <c r="BJ12" s="62">
        <f t="shared" si="38"/>
        <v>278.55937893537259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7.7692307692307692</v>
      </c>
      <c r="BY12" s="13">
        <f>IF('Données projet'!$A$114&gt;35,BY11+BX12-CG11,IF(A12&lt;'Données projet'!$A$114,$BV$205^A12,IF(A12='Données projet'!$A$114,'Données projet'!$B$114,BY11+BX12-CG11)))</f>
        <v>24.412210433665443</v>
      </c>
      <c r="BZ12" s="14">
        <f>BY12*VLOOKUP('Données projet'!$B$12,Paramètres!$A$1:$I$89,3,0)*VLOOKUP('Données projet'!$B$12,Paramètres!$A$1:$I$89,5,0)</f>
        <v>14.598501839331936</v>
      </c>
      <c r="CA12" s="14">
        <f t="shared" si="39"/>
        <v>4.9241907608973428</v>
      </c>
      <c r="CB12" s="22">
        <f t="shared" si="10"/>
        <v>34.002022945399325</v>
      </c>
      <c r="CC12" s="62">
        <f t="shared" si="11"/>
        <v>327.33535627873266</v>
      </c>
      <c r="CD12" s="62">
        <f ca="1">AVERAGE(OFFSET($CC$3,0,0,'Données projet'!$E$12+1,1))-AVERAGE(OFFSET($H$3,0,0,'Données projet'!$E$12+1,1))</f>
        <v>156.11420010556668</v>
      </c>
      <c r="CE12" s="62">
        <f t="shared" si="40"/>
        <v>318.01952986326501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8.1284210526315785</v>
      </c>
      <c r="CT12" s="13">
        <f>IF('Données projet'!$A$140&gt;35,CT11+CS12-DB11,IF(A12&lt;'Données projet'!$A$140,$CQ$205^A12,IF(A12='Données projet'!$A$140,'Données projet'!$B$140,CT11+CS12-DB11)))</f>
        <v>10.883810073030356</v>
      </c>
      <c r="CU12" s="18">
        <f>CT12*VLOOKUP('Données projet'!$B$13,Paramètres!$A$1:$I$89,3,0)*VLOOKUP('Données projet'!$B$13,Paramètres!$A$1:$I$89,5,0)</f>
        <v>6.084049830823969</v>
      </c>
      <c r="CV12" s="14">
        <f t="shared" si="41"/>
        <v>2.272295402441705</v>
      </c>
      <c r="CW12" s="22">
        <f t="shared" si="13"/>
        <v>14.553967947937716</v>
      </c>
      <c r="CX12" s="62">
        <f t="shared" si="14"/>
        <v>307.88730128127105</v>
      </c>
      <c r="CY12" s="62">
        <f ca="1">AVERAGE(OFFSET($CX$3,0,0,'Données projet'!$E$13+1,1))-AVERAGE(OFFSET($H$3,0,0,'Données projet'!$E$13+1,1))</f>
        <v>321.56347025977988</v>
      </c>
      <c r="CZ12" s="62">
        <f t="shared" si="42"/>
        <v>285.79375360040717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5.5909090909090908</v>
      </c>
      <c r="DO12" s="13">
        <f>IF('Données projet'!$A$166&gt;35,DO11+DN12-DW11,IF(A12&lt;'Données projet'!$A$166,$DL$205^A12,IF(A12='Données projet'!$A$166,'Données projet'!$B$166,DO11+DN12-DW11)))</f>
        <v>7.1607940284521145</v>
      </c>
      <c r="DP12" s="18">
        <f>DO12*VLOOKUP('Données projet'!$B$14,Paramètres!$A$1:$I$89,3,0)*VLOOKUP('Données projet'!$B$14,Paramètres!$A$1:$I$89,5,0)</f>
        <v>4.2821548290143649</v>
      </c>
      <c r="DQ12" s="14">
        <f t="shared" si="43"/>
        <v>1.6660534544894132</v>
      </c>
      <c r="DR12" s="22">
        <f t="shared" si="16"/>
        <v>10.359796093769079</v>
      </c>
      <c r="DS12" s="62">
        <f t="shared" si="17"/>
        <v>303.69312942710241</v>
      </c>
      <c r="DT12" s="62">
        <f ca="1">AVERAGE(OFFSET($DS$3,0,0,'Données projet'!$E$14+1,1))-AVERAGE(OFFSET($H$3,0,0,'Données projet'!$E$14+1,1))</f>
        <v>287.69656598881124</v>
      </c>
      <c r="DU12" s="62">
        <f t="shared" si="44"/>
        <v>221.9773436301067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311.68787167067455</v>
      </c>
      <c r="S13" s="62">
        <f ca="1">AVERAGE(OFFSET($R$3,0,0,'Données projet'!$E$9+1,1))-AVERAGE(OFFSET($H$3,0,0,'Données projet'!$E$9+1,1))</f>
        <v>344.36303707479811</v>
      </c>
      <c r="T13" s="62">
        <f t="shared" si="34"/>
        <v>207.92972431357452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9.0238095238095237</v>
      </c>
      <c r="AI13" s="14">
        <f>IF('Données projet'!$A$62&gt;35,AI12+AH13-AQ12,IF(A13&lt;'Données projet'!$A$62,$AF$205^A13,IF(A13='Données projet'!$A$62,'Données projet'!$B$62,AI12+AH13-AQ12)))</f>
        <v>90.238095238095227</v>
      </c>
      <c r="AJ13" s="14">
        <f>AI13*VLOOKUP('Données projet'!$B$10,Paramètres!$A$1:$I$89,3,0)*VLOOKUP('Données projet'!$B$10,Paramètres!$A$1:$I$89,5,0)</f>
        <v>42.231428571428566</v>
      </c>
      <c r="AK13" s="14">
        <f t="shared" si="35"/>
        <v>12.58820577554321</v>
      </c>
      <c r="AL13" s="22">
        <f t="shared" si="4"/>
        <v>95.477529820975846</v>
      </c>
      <c r="AM13" s="62">
        <f t="shared" si="5"/>
        <v>388.81086315430917</v>
      </c>
      <c r="AN13" s="62">
        <f ca="1">AVERAGE(OFFSET($AM$3,0,0,'Données projet'!$E$10+1,1))-AVERAGE(OFFSET($H$3,0,0,'Données projet'!$E$10+1,1))</f>
        <v>273.94989417245978</v>
      </c>
      <c r="AO13" s="62">
        <f t="shared" si="36"/>
        <v>244.91615281423549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6.6</v>
      </c>
      <c r="BD13" s="13">
        <f>IF('Données projet'!$A$88&gt;35,BD12+BC13-BL12,IF(A13&lt;'Données projet'!$A$88,$BA$205^A13,IF(A13='Données projet'!$A$88,'Données projet'!$B$88,BD12+BC13-BL12)))</f>
        <v>11.489125293076063</v>
      </c>
      <c r="BE13" s="14">
        <f>BD13*VLOOKUP('Données projet'!$B$11,Paramètres!$A$1:$I$89,3,0)*VLOOKUP('Données projet'!$B$11,Paramètres!$A$1:$I$89,5,0)</f>
        <v>10.036899856031249</v>
      </c>
      <c r="BF13" s="14">
        <f t="shared" si="37"/>
        <v>3.5364332356333024</v>
      </c>
      <c r="BG13" s="22">
        <f t="shared" si="7"/>
        <v>23.640221801315761</v>
      </c>
      <c r="BH13" s="62">
        <f t="shared" si="8"/>
        <v>316.97355513464908</v>
      </c>
      <c r="BI13" s="62">
        <f ca="1">AVERAGE(OFFSET($BH$3,0,0,'Données projet'!$E$11+1,1))-AVERAGE(OFFSET($H$3,0,0,'Données projet'!$E$11+1,1))</f>
        <v>247.81726778334098</v>
      </c>
      <c r="BJ13" s="62">
        <f t="shared" si="38"/>
        <v>278.55937893537259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7.7692307692307692</v>
      </c>
      <c r="BY13" s="13">
        <f>IF('Données projet'!$A$114&gt;35,BY12+BX13-CG12,IF(A13&lt;'Données projet'!$A$114,$BV$205^A13,IF(A13='Données projet'!$A$114,'Données projet'!$B$114,BY12+BX13-CG12)))</f>
        <v>34.816545014940573</v>
      </c>
      <c r="BZ13" s="14">
        <f>BY13*VLOOKUP('Données projet'!$B$12,Paramètres!$A$1:$I$89,3,0)*VLOOKUP('Données projet'!$B$12,Paramètres!$A$1:$I$89,5,0)</f>
        <v>20.820293918934464</v>
      </c>
      <c r="CA13" s="14">
        <f t="shared" si="39"/>
        <v>6.7385592439734481</v>
      </c>
      <c r="CB13" s="22">
        <f t="shared" si="10"/>
        <v>47.998335925397946</v>
      </c>
      <c r="CC13" s="62">
        <f t="shared" si="11"/>
        <v>341.33166925873127</v>
      </c>
      <c r="CD13" s="62">
        <f ca="1">AVERAGE(OFFSET($CC$3,0,0,'Données projet'!$E$12+1,1))-AVERAGE(OFFSET($H$3,0,0,'Données projet'!$E$12+1,1))</f>
        <v>156.11420010556668</v>
      </c>
      <c r="CE13" s="62">
        <f t="shared" si="40"/>
        <v>318.01952986326501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8.1284210526315785</v>
      </c>
      <c r="CT13" s="13">
        <f>IF('Données projet'!$A$140&gt;35,CT12+CS13-DB12,IF(A13&lt;'Données projet'!$A$140,$CQ$205^A13,IF(A13='Données projet'!$A$140,'Données projet'!$B$140,CT12+CS13-DB12)))</f>
        <v>14.189883778172153</v>
      </c>
      <c r="CU13" s="18">
        <f>CT13*VLOOKUP('Données projet'!$B$13,Paramètres!$A$1:$I$89,3,0)*VLOOKUP('Données projet'!$B$13,Paramètres!$A$1:$I$89,5,0)</f>
        <v>7.9321450319982336</v>
      </c>
      <c r="CV13" s="14">
        <f t="shared" si="41"/>
        <v>2.8724576865473512</v>
      </c>
      <c r="CW13" s="22">
        <f t="shared" si="13"/>
        <v>18.818016401466895</v>
      </c>
      <c r="CX13" s="62">
        <f t="shared" si="14"/>
        <v>312.15134973480019</v>
      </c>
      <c r="CY13" s="62">
        <f ca="1">AVERAGE(OFFSET($CX$3,0,0,'Données projet'!$E$13+1,1))-AVERAGE(OFFSET($H$3,0,0,'Données projet'!$E$13+1,1))</f>
        <v>321.56347025977988</v>
      </c>
      <c r="CZ13" s="62">
        <f t="shared" si="42"/>
        <v>285.79375360040717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5.5909090909090908</v>
      </c>
      <c r="DO13" s="13">
        <f>IF('Données projet'!$A$166&gt;35,DO12+DN13-DW12,IF(A13&lt;'Données projet'!$A$166,$DL$205^A13,IF(A13='Données projet'!$A$166,'Données projet'!$B$166,DO12+DN13-DW12)))</f>
        <v>8.9116242956840761</v>
      </c>
      <c r="DP13" s="18">
        <f>DO13*VLOOKUP('Données projet'!$B$14,Paramètres!$A$1:$I$89,3,0)*VLOOKUP('Données projet'!$B$14,Paramètres!$A$1:$I$89,5,0)</f>
        <v>5.3291513288190782</v>
      </c>
      <c r="DQ13" s="14">
        <f t="shared" si="43"/>
        <v>2.0212829858817885</v>
      </c>
      <c r="DR13" s="22">
        <f t="shared" si="16"/>
        <v>12.802006431437341</v>
      </c>
      <c r="DS13" s="62">
        <f t="shared" si="17"/>
        <v>306.13533976477066</v>
      </c>
      <c r="DT13" s="62">
        <f ca="1">AVERAGE(OFFSET($DS$3,0,0,'Données projet'!$E$14+1,1))-AVERAGE(OFFSET($H$3,0,0,'Données projet'!$E$14+1,1))</f>
        <v>287.69656598881124</v>
      </c>
      <c r="DU13" s="62">
        <f t="shared" si="44"/>
        <v>221.9773436301067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315.93011288122739</v>
      </c>
      <c r="S14" s="62">
        <f ca="1">AVERAGE(OFFSET($R$3,0,0,'Données projet'!$E$9+1,1))-AVERAGE(OFFSET($H$3,0,0,'Données projet'!$E$9+1,1))</f>
        <v>344.36303707479811</v>
      </c>
      <c r="T14" s="62">
        <f t="shared" si="34"/>
        <v>207.92972431357452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9.0238095238095237</v>
      </c>
      <c r="AI14" s="14">
        <f>IF('Données projet'!$A$62&gt;35,AI13+AH14-AQ13,IF(A14&lt;'Données projet'!$A$62,$AF$205^A14,IF(A14='Données projet'!$A$62,'Données projet'!$B$62,AI13+AH14-AQ13)))</f>
        <v>99.261904761904745</v>
      </c>
      <c r="AJ14" s="14">
        <f>AI14*VLOOKUP('Données projet'!$B$10,Paramètres!$A$1:$I$89,3,0)*VLOOKUP('Données projet'!$B$10,Paramètres!$A$1:$I$89,5,0)</f>
        <v>46.45457142857142</v>
      </c>
      <c r="AK14" s="14">
        <f t="shared" si="35"/>
        <v>13.694254987469888</v>
      </c>
      <c r="AL14" s="22">
        <f t="shared" si="4"/>
        <v>104.7592060079386</v>
      </c>
      <c r="AM14" s="62">
        <f t="shared" si="5"/>
        <v>398.0925393412719</v>
      </c>
      <c r="AN14" s="62">
        <f ca="1">AVERAGE(OFFSET($AM$3,0,0,'Données projet'!$E$10+1,1))-AVERAGE(OFFSET($H$3,0,0,'Données projet'!$E$10+1,1))</f>
        <v>273.94989417245978</v>
      </c>
      <c r="AO14" s="62">
        <f t="shared" si="36"/>
        <v>244.91615281423549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6.6</v>
      </c>
      <c r="BD14" s="13">
        <f>IF('Données projet'!$A$88&gt;35,BD13+BC14-BL13,IF(A14&lt;'Données projet'!$A$88,$BA$205^A14,IF(A14='Données projet'!$A$88,'Données projet'!$B$88,BD13+BC14-BL13)))</f>
        <v>14.666134454850974</v>
      </c>
      <c r="BE14" s="14">
        <f>BD14*VLOOKUP('Données projet'!$B$11,Paramètres!$A$1:$I$89,3,0)*VLOOKUP('Données projet'!$B$11,Paramètres!$A$1:$I$89,5,0)</f>
        <v>12.812335059757812</v>
      </c>
      <c r="BF14" s="14">
        <f t="shared" si="37"/>
        <v>4.3878565375042955</v>
      </c>
      <c r="BG14" s="22">
        <f t="shared" si="7"/>
        <v>29.957000365231504</v>
      </c>
      <c r="BH14" s="62">
        <f t="shared" si="8"/>
        <v>323.29033369856484</v>
      </c>
      <c r="BI14" s="62">
        <f ca="1">AVERAGE(OFFSET($BH$3,0,0,'Données projet'!$E$11+1,1))-AVERAGE(OFFSET($H$3,0,0,'Données projet'!$E$11+1,1))</f>
        <v>247.81726778334098</v>
      </c>
      <c r="BJ14" s="62">
        <f t="shared" si="38"/>
        <v>278.55937893537259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7.7692307692307692</v>
      </c>
      <c r="BY14" s="13">
        <f>IF('Données projet'!$A$114&gt;35,BY13+BX14-CG13,IF(A14&lt;'Données projet'!$A$114,$BV$205^A14,IF(A14='Données projet'!$A$114,'Données projet'!$B$114,BY13+BX14-CG13)))</f>
        <v>49.65514327640404</v>
      </c>
      <c r="BZ14" s="14">
        <f>BY14*VLOOKUP('Données projet'!$B$12,Paramètres!$A$1:$I$89,3,0)*VLOOKUP('Données projet'!$B$12,Paramètres!$A$1:$I$89,5,0)</f>
        <v>29.693775679289619</v>
      </c>
      <c r="CA14" s="14">
        <f t="shared" si="39"/>
        <v>9.2214503640117265</v>
      </c>
      <c r="CB14" s="22">
        <f t="shared" si="10"/>
        <v>67.777352025416505</v>
      </c>
      <c r="CC14" s="62">
        <f t="shared" si="11"/>
        <v>361.11068535874983</v>
      </c>
      <c r="CD14" s="62">
        <f ca="1">AVERAGE(OFFSET($CC$3,0,0,'Données projet'!$E$12+1,1))-AVERAGE(OFFSET($H$3,0,0,'Données projet'!$E$12+1,1))</f>
        <v>156.11420010556668</v>
      </c>
      <c r="CE14" s="62">
        <f t="shared" si="40"/>
        <v>318.01952986326501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8.1284210526315785</v>
      </c>
      <c r="CT14" s="13">
        <f>IF('Données projet'!$A$140&gt;35,CT13+CS14-DB13,IF(A14&lt;'Données projet'!$A$140,$CQ$205^A14,IF(A14='Données projet'!$A$140,'Données projet'!$B$140,CT13+CS14-DB13)))</f>
        <v>18.500212727616166</v>
      </c>
      <c r="CU14" s="18">
        <f>CT14*VLOOKUP('Données projet'!$B$13,Paramètres!$A$1:$I$89,3,0)*VLOOKUP('Données projet'!$B$13,Paramètres!$A$1:$I$89,5,0)</f>
        <v>10.341618914737436</v>
      </c>
      <c r="CV14" s="14">
        <f t="shared" si="41"/>
        <v>3.6311357898884093</v>
      </c>
      <c r="CW14" s="22">
        <f t="shared" si="13"/>
        <v>24.335881110556681</v>
      </c>
      <c r="CX14" s="62">
        <f t="shared" si="14"/>
        <v>317.66921444388998</v>
      </c>
      <c r="CY14" s="62">
        <f ca="1">AVERAGE(OFFSET($CX$3,0,0,'Données projet'!$E$13+1,1))-AVERAGE(OFFSET($H$3,0,0,'Données projet'!$E$13+1,1))</f>
        <v>321.56347025977988</v>
      </c>
      <c r="CZ14" s="62">
        <f t="shared" si="42"/>
        <v>285.79375360040717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5.5909090909090908</v>
      </c>
      <c r="DO14" s="13">
        <f>IF('Données projet'!$A$166&gt;35,DO13+DN14-DW13,IF(A14&lt;'Données projet'!$A$166,$DL$205^A14,IF(A14='Données projet'!$A$166,'Données projet'!$B$166,DO13+DN14-DW13)))</f>
        <v>11.090536506409412</v>
      </c>
      <c r="DP14" s="18">
        <f>DO14*VLOOKUP('Données projet'!$B$14,Paramètres!$A$1:$I$89,3,0)*VLOOKUP('Données projet'!$B$14,Paramètres!$A$1:$I$89,5,0)</f>
        <v>6.6321408308328289</v>
      </c>
      <c r="DQ14" s="14">
        <f t="shared" si="43"/>
        <v>2.4522531963221348</v>
      </c>
      <c r="DR14" s="22">
        <f t="shared" si="16"/>
        <v>15.821986263961561</v>
      </c>
      <c r="DS14" s="62">
        <f t="shared" si="17"/>
        <v>309.15531959729486</v>
      </c>
      <c r="DT14" s="62">
        <f ca="1">AVERAGE(OFFSET($DS$3,0,0,'Données projet'!$E$14+1,1))-AVERAGE(OFFSET($H$3,0,0,'Données projet'!$E$14+1,1))</f>
        <v>287.69656598881124</v>
      </c>
      <c r="DU14" s="62">
        <f t="shared" si="44"/>
        <v>221.9773436301067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321.15620406350808</v>
      </c>
      <c r="S15" s="62">
        <f ca="1">AVERAGE(OFFSET($R$3,0,0,'Données projet'!$E$9+1,1))-AVERAGE(OFFSET($H$3,0,0,'Données projet'!$E$9+1,1))</f>
        <v>344.36303707479811</v>
      </c>
      <c r="T15" s="62">
        <f t="shared" si="34"/>
        <v>207.92972431357452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9.0238095238095237</v>
      </c>
      <c r="AI15" s="14">
        <f>IF('Données projet'!$A$62&gt;35,AI14+AH15-AQ14,IF(A15&lt;'Données projet'!$A$62,$AF$205^A15,IF(A15='Données projet'!$A$62,'Données projet'!$B$62,AI14+AH15-AQ14)))</f>
        <v>108.28571428571426</v>
      </c>
      <c r="AJ15" s="14">
        <f>AI15*VLOOKUP('Données projet'!$B$10,Paramètres!$A$1:$I$89,3,0)*VLOOKUP('Données projet'!$B$10,Paramètres!$A$1:$I$89,5,0)</f>
        <v>50.677714285714281</v>
      </c>
      <c r="AK15" s="14">
        <f t="shared" si="35"/>
        <v>14.788644956278235</v>
      </c>
      <c r="AL15" s="22">
        <f t="shared" si="4"/>
        <v>114.02057567980363</v>
      </c>
      <c r="AM15" s="62">
        <f t="shared" si="5"/>
        <v>407.35390901313696</v>
      </c>
      <c r="AN15" s="62">
        <f ca="1">AVERAGE(OFFSET($AM$3,0,0,'Données projet'!$E$10+1,1))-AVERAGE(OFFSET($H$3,0,0,'Données projet'!$E$10+1,1))</f>
        <v>273.94989417245978</v>
      </c>
      <c r="AO15" s="62">
        <f t="shared" si="36"/>
        <v>244.91615281423549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6.6</v>
      </c>
      <c r="BD15" s="13">
        <f>IF('Données projet'!$A$88&gt;35,BD14+BC15-BL14,IF(A15&lt;'Données projet'!$A$88,$BA$205^A15,IF(A15='Données projet'!$A$88,'Données projet'!$B$88,BD14+BC15-BL14)))</f>
        <v>18.721660210059202</v>
      </c>
      <c r="BE15" s="14">
        <f>BD15*VLOOKUP('Données projet'!$B$11,Paramètres!$A$1:$I$89,3,0)*VLOOKUP('Données projet'!$B$11,Paramètres!$A$1:$I$89,5,0)</f>
        <v>16.35524235950772</v>
      </c>
      <c r="BF15" s="14">
        <f t="shared" si="37"/>
        <v>5.4442664998513175</v>
      </c>
      <c r="BG15" s="22">
        <f t="shared" si="7"/>
        <v>37.967477930050322</v>
      </c>
      <c r="BH15" s="62">
        <f t="shared" si="8"/>
        <v>331.30081126338365</v>
      </c>
      <c r="BI15" s="62">
        <f ca="1">AVERAGE(OFFSET($BH$3,0,0,'Données projet'!$E$11+1,1))-AVERAGE(OFFSET($H$3,0,0,'Données projet'!$E$11+1,1))</f>
        <v>247.81726778334098</v>
      </c>
      <c r="BJ15" s="62">
        <f t="shared" si="38"/>
        <v>278.55937893537259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7.7692307692307692</v>
      </c>
      <c r="BY15" s="13">
        <f>IF('Données projet'!$A$114&gt;35,BY14+BX15-CG14,IF(A15&lt;'Données projet'!$A$114,$BV$205^A15,IF(A15='Données projet'!$A$114,'Données projet'!$B$114,BY14+BX15-CG14)))</f>
        <v>70.81786124218111</v>
      </c>
      <c r="BZ15" s="14">
        <f>BY15*VLOOKUP('Données projet'!$B$12,Paramètres!$A$1:$I$89,3,0)*VLOOKUP('Données projet'!$B$12,Paramètres!$A$1:$I$89,5,0)</f>
        <v>42.349081022824308</v>
      </c>
      <c r="CA15" s="14">
        <f t="shared" si="39"/>
        <v>12.61918812867636</v>
      </c>
      <c r="CB15" s="22">
        <f t="shared" si="10"/>
        <v>95.736402105530317</v>
      </c>
      <c r="CC15" s="62">
        <f t="shared" si="11"/>
        <v>389.06973543886363</v>
      </c>
      <c r="CD15" s="62">
        <f ca="1">AVERAGE(OFFSET($CC$3,0,0,'Données projet'!$E$12+1,1))-AVERAGE(OFFSET($H$3,0,0,'Données projet'!$E$12+1,1))</f>
        <v>156.11420010556668</v>
      </c>
      <c r="CE15" s="62">
        <f t="shared" si="40"/>
        <v>318.01952986326501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8.1284210526315785</v>
      </c>
      <c r="CT15" s="13">
        <f>IF('Données projet'!$A$140&gt;35,CT14+CS15-DB14,IF(A15&lt;'Données projet'!$A$140,$CQ$205^A15,IF(A15='Données projet'!$A$140,'Données projet'!$B$140,CT14+CS15-DB14)))</f>
        <v>24.119850191693295</v>
      </c>
      <c r="CU15" s="18">
        <f>CT15*VLOOKUP('Données projet'!$B$13,Paramètres!$A$1:$I$89,3,0)*VLOOKUP('Données projet'!$B$13,Paramètres!$A$1:$I$89,5,0)</f>
        <v>13.482996257156552</v>
      </c>
      <c r="CV15" s="14">
        <f t="shared" si="41"/>
        <v>4.5901971633416325</v>
      </c>
      <c r="CW15" s="22">
        <f t="shared" si="13"/>
        <v>31.477478540701004</v>
      </c>
      <c r="CX15" s="62">
        <f t="shared" si="14"/>
        <v>324.8108118740343</v>
      </c>
      <c r="CY15" s="62">
        <f ca="1">AVERAGE(OFFSET($CX$3,0,0,'Données projet'!$E$13+1,1))-AVERAGE(OFFSET($H$3,0,0,'Données projet'!$E$13+1,1))</f>
        <v>321.56347025977988</v>
      </c>
      <c r="CZ15" s="62">
        <f t="shared" si="42"/>
        <v>285.79375360040717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5.5909090909090908</v>
      </c>
      <c r="DO15" s="13">
        <f>IF('Données projet'!$A$166&gt;35,DO14+DN15-DW14,IF(A15&lt;'Données projet'!$A$166,$DL$205^A15,IF(A15='Données projet'!$A$166,'Données projet'!$B$166,DO14+DN15-DW14)))</f>
        <v>13.802197659922571</v>
      </c>
      <c r="DP15" s="18">
        <f>DO15*VLOOKUP('Données projet'!$B$14,Paramètres!$A$1:$I$89,3,0)*VLOOKUP('Données projet'!$B$14,Paramètres!$A$1:$I$89,5,0)</f>
        <v>8.2537142006336985</v>
      </c>
      <c r="DQ15" s="14">
        <f t="shared" si="43"/>
        <v>2.9751132230743558</v>
      </c>
      <c r="DR15" s="22">
        <f t="shared" si="16"/>
        <v>19.556874429624859</v>
      </c>
      <c r="DS15" s="62">
        <f t="shared" si="17"/>
        <v>312.8902077629582</v>
      </c>
      <c r="DT15" s="62">
        <f ca="1">AVERAGE(OFFSET($DS$3,0,0,'Données projet'!$E$14+1,1))-AVERAGE(OFFSET($H$3,0,0,'Données projet'!$E$14+1,1))</f>
        <v>287.69656598881124</v>
      </c>
      <c r="DU15" s="62">
        <f t="shared" si="44"/>
        <v>221.9773436301067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327.59504121177019</v>
      </c>
      <c r="S16" s="62">
        <f ca="1">AVERAGE(OFFSET($R$3,0,0,'Données projet'!$E$9+1,1))-AVERAGE(OFFSET($H$3,0,0,'Données projet'!$E$9+1,1))</f>
        <v>344.36303707479811</v>
      </c>
      <c r="T16" s="62">
        <f t="shared" si="34"/>
        <v>207.92972431357452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9.0238095238095237</v>
      </c>
      <c r="AI16" s="14">
        <f>IF('Données projet'!$A$62&gt;35,AI15+AH16-AQ15,IF(A16&lt;'Données projet'!$A$62,$AF$205^A16,IF(A16='Données projet'!$A$62,'Données projet'!$B$62,AI15+AH16-AQ15)))</f>
        <v>117.30952380952378</v>
      </c>
      <c r="AJ16" s="14">
        <f>AI16*VLOOKUP('Données projet'!$B$10,Paramètres!$A$1:$I$89,3,0)*VLOOKUP('Données projet'!$B$10,Paramètres!$A$1:$I$89,5,0)</f>
        <v>54.900857142857127</v>
      </c>
      <c r="AK16" s="14">
        <f t="shared" si="35"/>
        <v>15.872457748261361</v>
      </c>
      <c r="AL16" s="22">
        <f t="shared" si="4"/>
        <v>123.26352343536469</v>
      </c>
      <c r="AM16" s="62">
        <f t="shared" si="5"/>
        <v>416.59685676869799</v>
      </c>
      <c r="AN16" s="62">
        <f ca="1">AVERAGE(OFFSET($AM$3,0,0,'Données projet'!$E$10+1,1))-AVERAGE(OFFSET($H$3,0,0,'Données projet'!$E$10+1,1))</f>
        <v>273.94989417245978</v>
      </c>
      <c r="AO16" s="62">
        <f t="shared" si="36"/>
        <v>244.91615281423549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6.6</v>
      </c>
      <c r="BD16" s="13">
        <f>IF('Données projet'!$A$88&gt;35,BD15+BC16-BL15,IF(A16&lt;'Données projet'!$A$88,$BA$205^A16,IF(A16='Données projet'!$A$88,'Données projet'!$B$88,BD15+BC16-BL15)))</f>
        <v>23.89863273788427</v>
      </c>
      <c r="BE16" s="14">
        <f>BD16*VLOOKUP('Données projet'!$B$11,Paramètres!$A$1:$I$89,3,0)*VLOOKUP('Données projet'!$B$11,Paramètres!$A$1:$I$89,5,0)</f>
        <v>20.8778455598157</v>
      </c>
      <c r="BF16" s="14">
        <f t="shared" si="37"/>
        <v>6.7550152262411558</v>
      </c>
      <c r="BG16" s="22">
        <f t="shared" si="7"/>
        <v>48.127232535715684</v>
      </c>
      <c r="BH16" s="62">
        <f t="shared" si="8"/>
        <v>341.46056586904899</v>
      </c>
      <c r="BI16" s="62">
        <f ca="1">AVERAGE(OFFSET($BH$3,0,0,'Données projet'!$E$11+1,1))-AVERAGE(OFFSET($H$3,0,0,'Données projet'!$E$11+1,1))</f>
        <v>247.81726778334098</v>
      </c>
      <c r="BJ16" s="62">
        <f t="shared" si="38"/>
        <v>278.55937893537259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>
        <f>VLOOKUP(A16,'Données projet'!$A$113:$I$133,2,0)</f>
        <v>101</v>
      </c>
      <c r="BW16" s="13">
        <f>VLOOKUP(A16,'Données projet'!$A$113:$I$133,9,0)</f>
        <v>7.7692307692307692</v>
      </c>
      <c r="BX16" s="13">
        <f t="array" ref="BX16">INDEX(BW:BW,MIN(IF(ISNUMBER(BW16:BW212),ROW(BW16:BW212),"")))</f>
        <v>7.7692307692307692</v>
      </c>
      <c r="BY16" s="13">
        <f>IF('Données projet'!$A$114&gt;35,BY15+BX16-CG15,IF(A16&lt;'Données projet'!$A$114,$BV$205^A16,IF(A16='Données projet'!$A$114,'Données projet'!$B$114,BY15+BX16-CG15)))</f>
        <v>101</v>
      </c>
      <c r="BZ16" s="14">
        <f>BY16*VLOOKUP('Données projet'!$B$12,Paramètres!$A$1:$I$89,3,0)*VLOOKUP('Données projet'!$B$12,Paramètres!$A$1:$I$89,5,0)</f>
        <v>60.398000000000003</v>
      </c>
      <c r="CA16" s="14">
        <f t="shared" si="39"/>
        <v>17.26885714728807</v>
      </c>
      <c r="CB16" s="22">
        <f t="shared" si="10"/>
        <v>135.26977619819337</v>
      </c>
      <c r="CC16" s="62">
        <f t="shared" si="11"/>
        <v>428.60310953152668</v>
      </c>
      <c r="CD16" s="62">
        <f ca="1">AVERAGE(OFFSET($CC$3,0,0,'Données projet'!$E$12+1,1))-AVERAGE(OFFSET($H$3,0,0,'Données projet'!$E$12+1,1))</f>
        <v>156.11420010556668</v>
      </c>
      <c r="CE16" s="62">
        <f t="shared" si="40"/>
        <v>318.01952986326501</v>
      </c>
      <c r="CF16" s="16">
        <f>IF(ISNA(VLOOKUP(A16,'Données projet'!$A$113:$I$133,3,0)),0,VLOOKUP(A16,'Données projet'!$A$113:$I$133,3,0))</f>
        <v>1</v>
      </c>
      <c r="CG16" s="16">
        <f>IF(ISNA(VLOOKUP(A16,'Données projet'!$A$113:$I$133,4,0)),0,VLOOKUP(A16,'Données projet'!$A$113:$I$133,4,0))</f>
        <v>28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1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18.958097589783147</v>
      </c>
      <c r="CN16" s="24">
        <f t="shared" si="12"/>
        <v>18.958097589783147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8.1284210526315785</v>
      </c>
      <c r="CT16" s="13">
        <f>IF('Données projet'!$A$140&gt;35,CT15+CS16-DB15,IF(A16&lt;'Données projet'!$A$140,$CQ$205^A16,IF(A16='Données projet'!$A$140,'Données projet'!$B$140,CT15+CS16-DB15)))</f>
        <v>31.446512633949066</v>
      </c>
      <c r="CU16" s="18">
        <f>CT16*VLOOKUP('Données projet'!$B$13,Paramètres!$A$1:$I$89,3,0)*VLOOKUP('Données projet'!$B$13,Paramètres!$A$1:$I$89,5,0)</f>
        <v>17.578600562377527</v>
      </c>
      <c r="CV16" s="14">
        <f t="shared" si="41"/>
        <v>5.8025673556529513</v>
      </c>
      <c r="CW16" s="22">
        <f t="shared" si="13"/>
        <v>40.722200790569744</v>
      </c>
      <c r="CX16" s="62">
        <f t="shared" si="14"/>
        <v>334.05553412390304</v>
      </c>
      <c r="CY16" s="62">
        <f ca="1">AVERAGE(OFFSET($CX$3,0,0,'Données projet'!$E$13+1,1))-AVERAGE(OFFSET($H$3,0,0,'Données projet'!$E$13+1,1))</f>
        <v>321.56347025977988</v>
      </c>
      <c r="CZ16" s="62">
        <f t="shared" si="42"/>
        <v>285.79375360040717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5.5909090909090908</v>
      </c>
      <c r="DO16" s="13">
        <f>IF('Données projet'!$A$166&gt;35,DO15+DN16-DW15,IF(A16&lt;'Données projet'!$A$166,$DL$205^A16,IF(A16='Données projet'!$A$166,'Données projet'!$B$166,DO15+DN16-DW15)))</f>
        <v>17.17686607257264</v>
      </c>
      <c r="DP16" s="18">
        <f>DO16*VLOOKUP('Données projet'!$B$14,Paramètres!$A$1:$I$89,3,0)*VLOOKUP('Données projet'!$B$14,Paramètres!$A$1:$I$89,5,0)</f>
        <v>10.27176591139844</v>
      </c>
      <c r="DQ16" s="14">
        <f t="shared" si="43"/>
        <v>3.609455460548272</v>
      </c>
      <c r="DR16" s="22">
        <f t="shared" si="16"/>
        <v>24.176460556140523</v>
      </c>
      <c r="DS16" s="62">
        <f t="shared" si="17"/>
        <v>317.50979388947383</v>
      </c>
      <c r="DT16" s="62">
        <f ca="1">AVERAGE(OFFSET($DS$3,0,0,'Données projet'!$E$14+1,1))-AVERAGE(OFFSET($H$3,0,0,'Données projet'!$E$14+1,1))</f>
        <v>287.69656598881124</v>
      </c>
      <c r="DU16" s="62">
        <f t="shared" si="44"/>
        <v>221.9773436301067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335.52892963000164</v>
      </c>
      <c r="S17" s="62">
        <f ca="1">AVERAGE(OFFSET($R$3,0,0,'Données projet'!$E$9+1,1))-AVERAGE(OFFSET($H$3,0,0,'Données projet'!$E$9+1,1))</f>
        <v>344.36303707479811</v>
      </c>
      <c r="T17" s="62">
        <f t="shared" si="34"/>
        <v>207.92972431357452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9.0238095238095237</v>
      </c>
      <c r="AI17" s="14">
        <f>IF('Données projet'!$A$62&gt;35,AI16+AH17-AQ16,IF(A17&lt;'Données projet'!$A$62,$AF$205^A17,IF(A17='Données projet'!$A$62,'Données projet'!$B$62,AI16+AH17-AQ16)))</f>
        <v>126.3333333333333</v>
      </c>
      <c r="AJ17" s="14">
        <f>AI17*VLOOKUP('Données projet'!$B$10,Paramètres!$A$1:$I$89,3,0)*VLOOKUP('Données projet'!$B$10,Paramètres!$A$1:$I$89,5,0)</f>
        <v>59.123999999999988</v>
      </c>
      <c r="AK17" s="14">
        <f t="shared" si="35"/>
        <v>16.946599501309151</v>
      </c>
      <c r="AL17" s="22">
        <f t="shared" si="4"/>
        <v>132.48962746478011</v>
      </c>
      <c r="AM17" s="62">
        <f t="shared" si="5"/>
        <v>425.8229607981134</v>
      </c>
      <c r="AN17" s="62">
        <f ca="1">AVERAGE(OFFSET($AM$3,0,0,'Données projet'!$E$10+1,1))-AVERAGE(OFFSET($H$3,0,0,'Données projet'!$E$10+1,1))</f>
        <v>273.94989417245978</v>
      </c>
      <c r="AO17" s="62">
        <f t="shared" si="36"/>
        <v>244.91615281423549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6.6</v>
      </c>
      <c r="BD17" s="13">
        <f>IF('Données projet'!$A$88&gt;35,BD16+BC17-BL16,IF(A17&lt;'Données projet'!$A$88,$BA$205^A17,IF(A17='Données projet'!$A$88,'Données projet'!$B$88,BD16+BC17-BL16)))</f>
        <v>30.50715803683886</v>
      </c>
      <c r="BE17" s="14">
        <f>BD17*VLOOKUP('Données projet'!$B$11,Paramètres!$A$1:$I$89,3,0)*VLOOKUP('Données projet'!$B$11,Paramètres!$A$1:$I$89,5,0)</f>
        <v>26.651053260982433</v>
      </c>
      <c r="BF17" s="14">
        <f t="shared" si="37"/>
        <v>8.3813367159737684</v>
      </c>
      <c r="BG17" s="22">
        <f t="shared" si="7"/>
        <v>61.014745876532061</v>
      </c>
      <c r="BH17" s="62">
        <f t="shared" si="8"/>
        <v>354.34807920986538</v>
      </c>
      <c r="BI17" s="62">
        <f ca="1">AVERAGE(OFFSET($BH$3,0,0,'Données projet'!$E$11+1,1))-AVERAGE(OFFSET($H$3,0,0,'Données projet'!$E$11+1,1))</f>
        <v>247.81726778334098</v>
      </c>
      <c r="BJ17" s="62">
        <f t="shared" si="38"/>
        <v>278.55937893537259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18.600000000000001</v>
      </c>
      <c r="BY17" s="13">
        <f>IF('Données projet'!$A$114&gt;35,BY16+BX17-CG16,IF(A17&lt;'Données projet'!$A$114,$BV$205^A17,IF(A17='Données projet'!$A$114,'Données projet'!$B$114,BY16+BX17-CG16)))</f>
        <v>91.6</v>
      </c>
      <c r="BZ17" s="14">
        <f>BY17*VLOOKUP('Données projet'!$B$12,Paramètres!$A$1:$I$89,3,0)*VLOOKUP('Données projet'!$B$12,Paramètres!$A$1:$I$89,5,0)</f>
        <v>54.776799999999994</v>
      </c>
      <c r="CA17" s="14">
        <f t="shared" si="39"/>
        <v>15.840762095818524</v>
      </c>
      <c r="CB17" s="22">
        <f t="shared" si="10"/>
        <v>122.99225398355058</v>
      </c>
      <c r="CC17" s="62">
        <f t="shared" si="11"/>
        <v>416.32558731688391</v>
      </c>
      <c r="CD17" s="62">
        <f ca="1">AVERAGE(OFFSET($CC$3,0,0,'Données projet'!$E$12+1,1))-AVERAGE(OFFSET($H$3,0,0,'Données projet'!$E$12+1,1))</f>
        <v>156.11420010556668</v>
      </c>
      <c r="CE17" s="62">
        <f t="shared" si="40"/>
        <v>318.01952986326501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13.405399364132007</v>
      </c>
      <c r="CN17" s="24">
        <f t="shared" si="12"/>
        <v>13.405399364132007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8.1284210526315785</v>
      </c>
      <c r="CT17" s="13">
        <f>IF('Données projet'!$A$140&gt;35,CT16+CS17-DB16,IF(A17&lt;'Données projet'!$A$140,$CQ$205^A17,IF(A17='Données projet'!$A$140,'Données projet'!$B$140,CT16+CS17-DB16)))</f>
        <v>40.998727147056762</v>
      </c>
      <c r="CU17" s="18">
        <f>CT17*VLOOKUP('Données projet'!$B$13,Paramètres!$A$1:$I$89,3,0)*VLOOKUP('Données projet'!$B$13,Paramètres!$A$1:$I$89,5,0)</f>
        <v>22.918288475204729</v>
      </c>
      <c r="CV17" s="14">
        <f t="shared" si="41"/>
        <v>7.3351506958750976</v>
      </c>
      <c r="CW17" s="22">
        <f t="shared" si="13"/>
        <v>52.691406556297359</v>
      </c>
      <c r="CX17" s="62">
        <f t="shared" si="14"/>
        <v>346.02473988963067</v>
      </c>
      <c r="CY17" s="62">
        <f ca="1">AVERAGE(OFFSET($CX$3,0,0,'Données projet'!$E$13+1,1))-AVERAGE(OFFSET($H$3,0,0,'Données projet'!$E$13+1,1))</f>
        <v>321.56347025977988</v>
      </c>
      <c r="CZ17" s="62">
        <f t="shared" si="42"/>
        <v>285.79375360040717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5.5909090909090908</v>
      </c>
      <c r="DO17" s="13">
        <f>IF('Données projet'!$A$166&gt;35,DO16+DN17-DW16,IF(A17&lt;'Données projet'!$A$166,$DL$205^A17,IF(A17='Données projet'!$A$166,'Données projet'!$B$166,DO16+DN17-DW16)))</f>
        <v>21.376648512419013</v>
      </c>
      <c r="DP17" s="18">
        <f>DO17*VLOOKUP('Données projet'!$B$14,Paramètres!$A$1:$I$89,3,0)*VLOOKUP('Données projet'!$B$14,Paramètres!$A$1:$I$89,5,0)</f>
        <v>12.783235810426572</v>
      </c>
      <c r="DQ17" s="14">
        <f t="shared" si="43"/>
        <v>4.3790497183898731</v>
      </c>
      <c r="DR17" s="22">
        <f t="shared" si="16"/>
        <v>29.890980629355308</v>
      </c>
      <c r="DS17" s="62">
        <f t="shared" si="17"/>
        <v>323.2243139626886</v>
      </c>
      <c r="DT17" s="62">
        <f ca="1">AVERAGE(OFFSET($DS$3,0,0,'Données projet'!$E$14+1,1))-AVERAGE(OFFSET($H$3,0,0,'Données projet'!$E$14+1,1))</f>
        <v>287.69656598881124</v>
      </c>
      <c r="DU17" s="62">
        <f t="shared" si="44"/>
        <v>221.9773436301067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345.30607962204783</v>
      </c>
      <c r="S18" s="62">
        <f ca="1">AVERAGE(OFFSET($R$3,0,0,'Données projet'!$E$9+1,1))-AVERAGE(OFFSET($H$3,0,0,'Données projet'!$E$9+1,1))</f>
        <v>344.36303707479811</v>
      </c>
      <c r="T18" s="62">
        <f t="shared" si="34"/>
        <v>207.92972431357452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9.0238095238095237</v>
      </c>
      <c r="AI18" s="14">
        <f>IF('Données projet'!$A$62&gt;35,AI17+AH18-AQ17,IF(A18&lt;'Données projet'!$A$62,$AF$205^A18,IF(A18='Données projet'!$A$62,'Données projet'!$B$62,AI17+AH18-AQ17)))</f>
        <v>135.35714285714283</v>
      </c>
      <c r="AJ18" s="14">
        <f>AI18*VLOOKUP('Données projet'!$B$10,Paramètres!$A$1:$I$89,3,0)*VLOOKUP('Données projet'!$B$10,Paramètres!$A$1:$I$89,5,0)</f>
        <v>63.347142857142849</v>
      </c>
      <c r="AK18" s="14">
        <f t="shared" si="35"/>
        <v>18.011839569891965</v>
      </c>
      <c r="AL18" s="22">
        <f t="shared" si="4"/>
        <v>141.70022772708563</v>
      </c>
      <c r="AM18" s="62">
        <f t="shared" si="5"/>
        <v>435.03356106041895</v>
      </c>
      <c r="AN18" s="62">
        <f ca="1">AVERAGE(OFFSET($AM$3,0,0,'Données projet'!$E$10+1,1))-AVERAGE(OFFSET($H$3,0,0,'Données projet'!$E$10+1,1))</f>
        <v>273.94989417245978</v>
      </c>
      <c r="AO18" s="62">
        <f t="shared" si="36"/>
        <v>244.91615281423549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6.6</v>
      </c>
      <c r="BD18" s="13">
        <f>IF('Données projet'!$A$88&gt;35,BD17+BC18-BL17,IF(A18&lt;'Données projet'!$A$88,$BA$205^A18,IF(A18='Données projet'!$A$88,'Données projet'!$B$88,BD17+BC18-BL17)))</f>
        <v>38.943093594192561</v>
      </c>
      <c r="BE18" s="14">
        <f>BD18*VLOOKUP('Données projet'!$B$11,Paramètres!$A$1:$I$89,3,0)*VLOOKUP('Données projet'!$B$11,Paramètres!$A$1:$I$89,5,0)</f>
        <v>34.02068656388662</v>
      </c>
      <c r="BF18" s="14">
        <f t="shared" si="37"/>
        <v>10.399207521197393</v>
      </c>
      <c r="BG18" s="22">
        <f t="shared" si="7"/>
        <v>77.364648864854644</v>
      </c>
      <c r="BH18" s="62">
        <f t="shared" si="8"/>
        <v>370.69798219818796</v>
      </c>
      <c r="BI18" s="62">
        <f ca="1">AVERAGE(OFFSET($BH$3,0,0,'Données projet'!$E$11+1,1))-AVERAGE(OFFSET($H$3,0,0,'Données projet'!$E$11+1,1))</f>
        <v>247.81726778334098</v>
      </c>
      <c r="BJ18" s="62">
        <f t="shared" si="38"/>
        <v>278.55937893537259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18.600000000000001</v>
      </c>
      <c r="BY18" s="13">
        <f>IF('Données projet'!$A$114&gt;35,BY17+BX18-CG17,IF(A18&lt;'Données projet'!$A$114,$BV$205^A18,IF(A18='Données projet'!$A$114,'Données projet'!$B$114,BY17+BX18-CG17)))</f>
        <v>110.19999999999999</v>
      </c>
      <c r="BZ18" s="14">
        <f>BY18*VLOOKUP('Données projet'!$B$12,Paramètres!$A$1:$I$89,3,0)*VLOOKUP('Données projet'!$B$12,Paramètres!$A$1:$I$89,5,0)</f>
        <v>65.899600000000007</v>
      </c>
      <c r="CA18" s="14">
        <f t="shared" si="39"/>
        <v>18.651634138580526</v>
      </c>
      <c r="CB18" s="22">
        <f t="shared" si="10"/>
        <v>147.26006612469442</v>
      </c>
      <c r="CC18" s="62">
        <f t="shared" si="11"/>
        <v>440.59339945802776</v>
      </c>
      <c r="CD18" s="62">
        <f ca="1">AVERAGE(OFFSET($CC$3,0,0,'Données projet'!$E$12+1,1))-AVERAGE(OFFSET($H$3,0,0,'Données projet'!$E$12+1,1))</f>
        <v>156.11420010556668</v>
      </c>
      <c r="CE18" s="62">
        <f t="shared" si="40"/>
        <v>318.01952986326501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9.4790487948915754</v>
      </c>
      <c r="CN18" s="24">
        <f t="shared" si="12"/>
        <v>9.4790487948915754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8.1284210526315785</v>
      </c>
      <c r="CT18" s="13">
        <f>IF('Données projet'!$A$140&gt;35,CT17+CS18-DB17,IF(A18&lt;'Données projet'!$A$140,$CQ$205^A18,IF(A18='Données projet'!$A$140,'Données projet'!$B$140,CT17+CS18-DB17)))</f>
        <v>53.452528973408192</v>
      </c>
      <c r="CU18" s="18">
        <f>CT18*VLOOKUP('Données projet'!$B$13,Paramètres!$A$1:$I$89,3,0)*VLOOKUP('Données projet'!$B$13,Paramètres!$A$1:$I$89,5,0)</f>
        <v>29.879963696135178</v>
      </c>
      <c r="CV18" s="14">
        <f t="shared" si="41"/>
        <v>9.2725223911067207</v>
      </c>
      <c r="CW18" s="22">
        <f t="shared" si="13"/>
        <v>68.190579935279629</v>
      </c>
      <c r="CX18" s="62">
        <f t="shared" si="14"/>
        <v>361.52391326861294</v>
      </c>
      <c r="CY18" s="62">
        <f ca="1">AVERAGE(OFFSET($CX$3,0,0,'Données projet'!$E$13+1,1))-AVERAGE(OFFSET($H$3,0,0,'Données projet'!$E$13+1,1))</f>
        <v>321.56347025977988</v>
      </c>
      <c r="CZ18" s="62">
        <f t="shared" si="42"/>
        <v>285.79375360040717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5.5909090909090908</v>
      </c>
      <c r="DO18" s="13">
        <f>IF('Données projet'!$A$166&gt;35,DO17+DN18-DW17,IF(A18&lt;'Données projet'!$A$166,$DL$205^A18,IF(A18='Données projet'!$A$166,'Données projet'!$B$166,DO17+DN18-DW17)))</f>
        <v>26.603287217402478</v>
      </c>
      <c r="DP18" s="18">
        <f>DO18*VLOOKUP('Données projet'!$B$14,Paramètres!$A$1:$I$89,3,0)*VLOOKUP('Données projet'!$B$14,Paramètres!$A$1:$I$89,5,0)</f>
        <v>15.908765756006684</v>
      </c>
      <c r="DQ18" s="14">
        <f t="shared" si="43"/>
        <v>5.312733913945455</v>
      </c>
      <c r="DR18" s="22">
        <f t="shared" si="16"/>
        <v>36.960778591833304</v>
      </c>
      <c r="DS18" s="62">
        <f t="shared" si="17"/>
        <v>330.29411192516659</v>
      </c>
      <c r="DT18" s="62">
        <f ca="1">AVERAGE(OFFSET($DS$3,0,0,'Données projet'!$E$14+1,1))-AVERAGE(OFFSET($H$3,0,0,'Données projet'!$E$14+1,1))</f>
        <v>287.69656598881124</v>
      </c>
      <c r="DU18" s="62">
        <f t="shared" si="44"/>
        <v>221.9773436301067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357.3560328458579</v>
      </c>
      <c r="S19" s="62">
        <f ca="1">AVERAGE(OFFSET($R$3,0,0,'Données projet'!$E$9+1,1))-AVERAGE(OFFSET($H$3,0,0,'Données projet'!$E$9+1,1))</f>
        <v>344.36303707479811</v>
      </c>
      <c r="T19" s="62">
        <f t="shared" si="34"/>
        <v>207.92972431357452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9.0238095238095237</v>
      </c>
      <c r="AI19" s="14">
        <f>IF('Données projet'!$A$62&gt;35,AI18+AH19-AQ18,IF(A19&lt;'Données projet'!$A$62,$AF$205^A19,IF(A19='Données projet'!$A$62,'Données projet'!$B$62,AI18+AH19-AQ18)))</f>
        <v>144.38095238095235</v>
      </c>
      <c r="AJ19" s="14">
        <f>AI19*VLOOKUP('Données projet'!$B$10,Paramètres!$A$1:$I$89,3,0)*VLOOKUP('Données projet'!$B$10,Paramètres!$A$1:$I$89,5,0)</f>
        <v>67.570285714285703</v>
      </c>
      <c r="AK19" s="14">
        <f t="shared" si="35"/>
        <v>19.068838924426259</v>
      </c>
      <c r="AL19" s="22">
        <f t="shared" si="4"/>
        <v>150.89647541242331</v>
      </c>
      <c r="AM19" s="62">
        <f t="shared" si="5"/>
        <v>444.2298087457566</v>
      </c>
      <c r="AN19" s="62">
        <f ca="1">AVERAGE(OFFSET($AM$3,0,0,'Données projet'!$E$10+1,1))-AVERAGE(OFFSET($H$3,0,0,'Données projet'!$E$10+1,1))</f>
        <v>273.94989417245978</v>
      </c>
      <c r="AO19" s="62">
        <f t="shared" si="36"/>
        <v>244.91615281423549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6.6</v>
      </c>
      <c r="BD19" s="13">
        <f>IF('Données projet'!$A$88&gt;35,BD18+BC19-BL18,IF(A19&lt;'Données projet'!$A$88,$BA$205^A19,IF(A19='Données projet'!$A$88,'Données projet'!$B$88,BD18+BC19-BL18)))</f>
        <v>49.711760658095955</v>
      </c>
      <c r="BE19" s="14">
        <f>BD19*VLOOKUP('Données projet'!$B$11,Paramètres!$A$1:$I$89,3,0)*VLOOKUP('Données projet'!$B$11,Paramètres!$A$1:$I$89,5,0)</f>
        <v>43.428194110912635</v>
      </c>
      <c r="BF19" s="14">
        <f t="shared" si="37"/>
        <v>12.902896129065022</v>
      </c>
      <c r="BG19" s="22">
        <f t="shared" si="7"/>
        <v>98.109982167961064</v>
      </c>
      <c r="BH19" s="62">
        <f t="shared" si="8"/>
        <v>391.44331550129436</v>
      </c>
      <c r="BI19" s="62">
        <f ca="1">AVERAGE(OFFSET($BH$3,0,0,'Données projet'!$E$11+1,1))-AVERAGE(OFFSET($H$3,0,0,'Données projet'!$E$11+1,1))</f>
        <v>247.81726778334098</v>
      </c>
      <c r="BJ19" s="62">
        <f t="shared" si="38"/>
        <v>278.55937893537259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18.600000000000001</v>
      </c>
      <c r="BY19" s="13">
        <f>IF('Données projet'!$A$114&gt;35,BY18+BX19-CG18,IF(A19&lt;'Données projet'!$A$114,$BV$205^A19,IF(A19='Données projet'!$A$114,'Données projet'!$B$114,BY18+BX19-CG18)))</f>
        <v>128.79999999999998</v>
      </c>
      <c r="BZ19" s="14">
        <f>BY19*VLOOKUP('Données projet'!$B$12,Paramètres!$A$1:$I$89,3,0)*VLOOKUP('Données projet'!$B$12,Paramètres!$A$1:$I$89,5,0)</f>
        <v>77.022400000000005</v>
      </c>
      <c r="CA19" s="14">
        <f t="shared" si="39"/>
        <v>21.407546084466961</v>
      </c>
      <c r="CB19" s="22">
        <f t="shared" si="10"/>
        <v>171.43215609711328</v>
      </c>
      <c r="CC19" s="62">
        <f t="shared" si="11"/>
        <v>464.76548943044656</v>
      </c>
      <c r="CD19" s="62">
        <f ca="1">AVERAGE(OFFSET($CC$3,0,0,'Données projet'!$E$12+1,1))-AVERAGE(OFFSET($H$3,0,0,'Données projet'!$E$12+1,1))</f>
        <v>156.11420010556668</v>
      </c>
      <c r="CE19" s="62">
        <f t="shared" si="40"/>
        <v>318.01952986326501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6.7026996820660045</v>
      </c>
      <c r="CN19" s="24">
        <f t="shared" si="12"/>
        <v>6.7026996820660045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8.1284210526315785</v>
      </c>
      <c r="CT19" s="13">
        <f>IF('Données projet'!$A$140&gt;35,CT18+CS19-DB18,IF(A19&lt;'Données projet'!$A$140,$CQ$205^A19,IF(A19='Données projet'!$A$140,'Données projet'!$B$140,CT18+CS19-DB18)))</f>
        <v>69.689306290040648</v>
      </c>
      <c r="CU19" s="18">
        <f>CT19*VLOOKUP('Données projet'!$B$13,Paramètres!$A$1:$I$89,3,0)*VLOOKUP('Données projet'!$B$13,Paramètres!$A$1:$I$89,5,0)</f>
        <v>38.956322216132719</v>
      </c>
      <c r="CV19" s="14">
        <f t="shared" si="41"/>
        <v>11.721595786972175</v>
      </c>
      <c r="CW19" s="22">
        <f t="shared" si="13"/>
        <v>88.264040522074353</v>
      </c>
      <c r="CX19" s="62">
        <f t="shared" si="14"/>
        <v>381.59737385540768</v>
      </c>
      <c r="CY19" s="62">
        <f ca="1">AVERAGE(OFFSET($CX$3,0,0,'Données projet'!$E$13+1,1))-AVERAGE(OFFSET($H$3,0,0,'Données projet'!$E$13+1,1))</f>
        <v>321.56347025977988</v>
      </c>
      <c r="CZ19" s="62">
        <f t="shared" si="42"/>
        <v>285.79375360040717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5.5909090909090908</v>
      </c>
      <c r="DO19" s="13">
        <f>IF('Données projet'!$A$166&gt;35,DO18+DN19-DW18,IF(A19&lt;'Données projet'!$A$166,$DL$205^A19,IF(A19='Données projet'!$A$166,'Données projet'!$B$166,DO18+DN19-DW18)))</f>
        <v>33.107850856996748</v>
      </c>
      <c r="DP19" s="18">
        <f>DO19*VLOOKUP('Données projet'!$B$14,Paramètres!$A$1:$I$89,3,0)*VLOOKUP('Données projet'!$B$14,Paramètres!$A$1:$I$89,5,0)</f>
        <v>19.798494812484059</v>
      </c>
      <c r="DQ19" s="14">
        <f t="shared" si="43"/>
        <v>6.4454946747588586</v>
      </c>
      <c r="DR19" s="22">
        <f t="shared" si="16"/>
        <v>45.70828169028141</v>
      </c>
      <c r="DS19" s="62">
        <f t="shared" si="17"/>
        <v>339.04161502361472</v>
      </c>
      <c r="DT19" s="62">
        <f ca="1">AVERAGE(OFFSET($DS$3,0,0,'Données projet'!$E$14+1,1))-AVERAGE(OFFSET($H$3,0,0,'Données projet'!$E$14+1,1))</f>
        <v>287.69656598881124</v>
      </c>
      <c r="DU19" s="62">
        <f t="shared" si="44"/>
        <v>221.9773436301067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372.20870820074703</v>
      </c>
      <c r="S20" s="62">
        <f ca="1">AVERAGE(OFFSET($R$3,0,0,'Données projet'!$E$9+1,1))-AVERAGE(OFFSET($H$3,0,0,'Données projet'!$E$9+1,1))</f>
        <v>344.36303707479811</v>
      </c>
      <c r="T20" s="62">
        <f t="shared" si="34"/>
        <v>207.92972431357452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9.0238095238095237</v>
      </c>
      <c r="AI20" s="14">
        <f>IF('Données projet'!$A$62&gt;35,AI19+AH20-AQ19,IF(A20&lt;'Données projet'!$A$62,$AF$205^A20,IF(A20='Données projet'!$A$62,'Données projet'!$B$62,AI19+AH20-AQ19)))</f>
        <v>153.40476190476187</v>
      </c>
      <c r="AJ20" s="14">
        <f>AI20*VLOOKUP('Données projet'!$B$10,Paramètres!$A$1:$I$89,3,0)*VLOOKUP('Données projet'!$B$10,Paramètres!$A$1:$I$89,5,0)</f>
        <v>71.793428571428549</v>
      </c>
      <c r="AK20" s="14">
        <f t="shared" si="35"/>
        <v>20.118171244255393</v>
      </c>
      <c r="AL20" s="22">
        <f t="shared" si="4"/>
        <v>160.07936967898286</v>
      </c>
      <c r="AM20" s="62">
        <f t="shared" si="5"/>
        <v>453.41270301231617</v>
      </c>
      <c r="AN20" s="62">
        <f ca="1">AVERAGE(OFFSET($AM$3,0,0,'Données projet'!$E$10+1,1))-AVERAGE(OFFSET($H$3,0,0,'Données projet'!$E$10+1,1))</f>
        <v>273.94989417245978</v>
      </c>
      <c r="AO20" s="62">
        <f t="shared" si="36"/>
        <v>244.91615281423549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6.6</v>
      </c>
      <c r="BD20" s="13">
        <f>IF('Données projet'!$A$88&gt;35,BD19+BC20-BL19,IF(A20&lt;'Données projet'!$A$88,$BA$205^A20,IF(A20='Données projet'!$A$88,'Données projet'!$B$88,BD19+BC20-BL19)))</f>
        <v>63.458213501978861</v>
      </c>
      <c r="BE20" s="14">
        <f>BD20*VLOOKUP('Données projet'!$B$11,Paramètres!$A$1:$I$89,3,0)*VLOOKUP('Données projet'!$B$11,Paramètres!$A$1:$I$89,5,0)</f>
        <v>55.437095315328747</v>
      </c>
      <c r="BF20" s="14">
        <f t="shared" si="37"/>
        <v>16.009366884744278</v>
      </c>
      <c r="BG20" s="22">
        <f t="shared" si="7"/>
        <v>124.4359216651272</v>
      </c>
      <c r="BH20" s="62">
        <f t="shared" si="8"/>
        <v>417.7692549984605</v>
      </c>
      <c r="BI20" s="62">
        <f ca="1">AVERAGE(OFFSET($BH$3,0,0,'Données projet'!$E$11+1,1))-AVERAGE(OFFSET($H$3,0,0,'Données projet'!$E$11+1,1))</f>
        <v>247.81726778334098</v>
      </c>
      <c r="BJ20" s="62">
        <f t="shared" si="38"/>
        <v>278.55937893537259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18.600000000000001</v>
      </c>
      <c r="BY20" s="13">
        <f>IF('Données projet'!$A$114&gt;35,BY19+BX20-CG19,IF(A20&lt;'Données projet'!$A$114,$BV$205^A20,IF(A20='Données projet'!$A$114,'Données projet'!$B$114,BY19+BX20-CG19)))</f>
        <v>147.39999999999998</v>
      </c>
      <c r="BZ20" s="14">
        <f>BY20*VLOOKUP('Données projet'!$B$12,Paramètres!$A$1:$I$89,3,0)*VLOOKUP('Données projet'!$B$12,Paramètres!$A$1:$I$89,5,0)</f>
        <v>88.145199999999988</v>
      </c>
      <c r="CA20" s="14">
        <f t="shared" si="39"/>
        <v>24.117351189004136</v>
      </c>
      <c r="CB20" s="22">
        <f t="shared" si="10"/>
        <v>195.52394332084884</v>
      </c>
      <c r="CC20" s="62">
        <f t="shared" si="11"/>
        <v>488.85727665418216</v>
      </c>
      <c r="CD20" s="62">
        <f ca="1">AVERAGE(OFFSET($CC$3,0,0,'Données projet'!$E$12+1,1))-AVERAGE(OFFSET($H$3,0,0,'Données projet'!$E$12+1,1))</f>
        <v>156.11420010556668</v>
      </c>
      <c r="CE20" s="62">
        <f t="shared" si="40"/>
        <v>318.01952986326501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4.7395243974457886</v>
      </c>
      <c r="CN20" s="24">
        <f t="shared" si="12"/>
        <v>4.7395243974457886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8.1284210526315785</v>
      </c>
      <c r="CT20" s="13">
        <f>IF('Données projet'!$A$140&gt;35,CT19+CS20-DB19,IF(A20&lt;'Données projet'!$A$140,$CQ$205^A20,IF(A20='Données projet'!$A$140,'Données projet'!$B$140,CT19+CS20-DB19)))</f>
        <v>90.858178358655039</v>
      </c>
      <c r="CU20" s="18">
        <f>CT20*VLOOKUP('Données projet'!$B$13,Paramètres!$A$1:$I$89,3,0)*VLOOKUP('Données projet'!$B$13,Paramètres!$A$1:$I$89,5,0)</f>
        <v>50.789721702488166</v>
      </c>
      <c r="CV20" s="14">
        <f t="shared" si="41"/>
        <v>14.817522352379566</v>
      </c>
      <c r="CW20" s="22">
        <f t="shared" si="13"/>
        <v>114.26595006222796</v>
      </c>
      <c r="CX20" s="62">
        <f t="shared" si="14"/>
        <v>407.59928339556126</v>
      </c>
      <c r="CY20" s="62">
        <f ca="1">AVERAGE(OFFSET($CX$3,0,0,'Données projet'!$E$13+1,1))-AVERAGE(OFFSET($H$3,0,0,'Données projet'!$E$13+1,1))</f>
        <v>321.56347025977988</v>
      </c>
      <c r="CZ20" s="62">
        <f t="shared" si="42"/>
        <v>285.79375360040717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5.5909090909090908</v>
      </c>
      <c r="DO20" s="13">
        <f>IF('Données projet'!$A$166&gt;35,DO19+DN20-DW19,IF(A20&lt;'Données projet'!$A$166,$DL$205^A20,IF(A20='Données projet'!$A$166,'Données projet'!$B$166,DO19+DN20-DW19)))</f>
        <v>41.202794955809431</v>
      </c>
      <c r="DP20" s="18">
        <f>DO20*VLOOKUP('Données projet'!$B$14,Paramètres!$A$1:$I$89,3,0)*VLOOKUP('Données projet'!$B$14,Paramètres!$A$1:$I$89,5,0)</f>
        <v>24.639271383574041</v>
      </c>
      <c r="DQ20" s="14">
        <f t="shared" si="43"/>
        <v>7.8197783429910519</v>
      </c>
      <c r="DR20" s="22">
        <f t="shared" si="16"/>
        <v>56.532844940434195</v>
      </c>
      <c r="DS20" s="62">
        <f t="shared" si="17"/>
        <v>349.8661782737675</v>
      </c>
      <c r="DT20" s="62">
        <f ca="1">AVERAGE(OFFSET($DS$3,0,0,'Données projet'!$E$14+1,1))-AVERAGE(OFFSET($H$3,0,0,'Données projet'!$E$14+1,1))</f>
        <v>287.69656598881124</v>
      </c>
      <c r="DU20" s="62">
        <f t="shared" si="44"/>
        <v>221.9773436301067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390.51791836449235</v>
      </c>
      <c r="S21" s="62">
        <f ca="1">AVERAGE(OFFSET($R$3,0,0,'Données projet'!$E$9+1,1))-AVERAGE(OFFSET($H$3,0,0,'Données projet'!$E$9+1,1))</f>
        <v>344.36303707479811</v>
      </c>
      <c r="T21" s="62">
        <f t="shared" si="34"/>
        <v>207.92972431357452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9.0238095238095237</v>
      </c>
      <c r="AI21" s="14">
        <f>IF('Données projet'!$A$62&gt;35,AI20+AH21-AQ20,IF(A21&lt;'Données projet'!$A$62,$AF$205^A21,IF(A21='Données projet'!$A$62,'Données projet'!$B$62,AI20+AH21-AQ20)))</f>
        <v>162.42857142857139</v>
      </c>
      <c r="AJ21" s="14">
        <f>AI21*VLOOKUP('Données projet'!$B$10,Paramètres!$A$1:$I$89,3,0)*VLOOKUP('Données projet'!$B$10,Paramètres!$A$1:$I$89,5,0)</f>
        <v>76.01657142857141</v>
      </c>
      <c r="AK21" s="14">
        <f t="shared" si="35"/>
        <v>21.160338904380602</v>
      </c>
      <c r="AL21" s="22">
        <f t="shared" si="4"/>
        <v>169.24978549655808</v>
      </c>
      <c r="AM21" s="62">
        <f t="shared" si="5"/>
        <v>462.58311882989142</v>
      </c>
      <c r="AN21" s="62">
        <f ca="1">AVERAGE(OFFSET($AM$3,0,0,'Données projet'!$E$10+1,1))-AVERAGE(OFFSET($H$3,0,0,'Données projet'!$E$10+1,1))</f>
        <v>273.94989417245978</v>
      </c>
      <c r="AO21" s="62">
        <f t="shared" si="36"/>
        <v>244.91615281423549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6.6</v>
      </c>
      <c r="BD21" s="13">
        <f>IF('Données projet'!$A$88&gt;35,BD20+BC21-BL20,IF(A21&lt;'Données projet'!$A$88,$BA$205^A21,IF(A21='Données projet'!$A$88,'Données projet'!$B$88,BD20+BC21-BL20)))</f>
        <v>81.005878841406769</v>
      </c>
      <c r="BE21" s="14">
        <f>BD21*VLOOKUP('Données projet'!$B$11,Paramètres!$A$1:$I$89,3,0)*VLOOKUP('Données projet'!$B$11,Paramètres!$A$1:$I$89,5,0)</f>
        <v>70.766735755852963</v>
      </c>
      <c r="BF21" s="14">
        <f t="shared" si="37"/>
        <v>19.863744192515547</v>
      </c>
      <c r="BG21" s="22">
        <f t="shared" si="7"/>
        <v>157.84808591007513</v>
      </c>
      <c r="BH21" s="62">
        <f t="shared" si="8"/>
        <v>451.18141924340841</v>
      </c>
      <c r="BI21" s="62">
        <f ca="1">AVERAGE(OFFSET($BH$3,0,0,'Données projet'!$E$11+1,1))-AVERAGE(OFFSET($H$3,0,0,'Données projet'!$E$11+1,1))</f>
        <v>247.81726778334098</v>
      </c>
      <c r="BJ21" s="62">
        <f t="shared" si="38"/>
        <v>278.55937893537259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>
        <f>VLOOKUP(A21,'Données projet'!$A$113:$I$133,2,0)</f>
        <v>166</v>
      </c>
      <c r="BW21" s="13">
        <f>VLOOKUP(A21,'Données projet'!$A$113:$I$133,9,0)</f>
        <v>18.600000000000001</v>
      </c>
      <c r="BX21" s="13">
        <f t="array" ref="BX21">INDEX(BW:BW,MIN(IF(ISNUMBER(BW21:BW217),ROW(BW21:BW217),"")))</f>
        <v>18.600000000000001</v>
      </c>
      <c r="BY21" s="13">
        <f>IF('Données projet'!$A$114&gt;35,BY20+BX21-CG20,IF(A21&lt;'Données projet'!$A$114,$BV$205^A21,IF(A21='Données projet'!$A$114,'Données projet'!$B$114,BY20+BX21-CG20)))</f>
        <v>165.99999999999997</v>
      </c>
      <c r="BZ21" s="14">
        <f>BY21*VLOOKUP('Données projet'!$B$12,Paramètres!$A$1:$I$89,3,0)*VLOOKUP('Données projet'!$B$12,Paramètres!$A$1:$I$89,5,0)</f>
        <v>99.267999999999986</v>
      </c>
      <c r="CA21" s="14">
        <f t="shared" si="39"/>
        <v>26.78753414535981</v>
      </c>
      <c r="CB21" s="22">
        <f t="shared" si="10"/>
        <v>219.54672196983498</v>
      </c>
      <c r="CC21" s="62">
        <f t="shared" si="11"/>
        <v>512.88005530316832</v>
      </c>
      <c r="CD21" s="62">
        <f ca="1">AVERAGE(OFFSET($CC$3,0,0,'Données projet'!$E$12+1,1))-AVERAGE(OFFSET($H$3,0,0,'Données projet'!$E$12+1,1))</f>
        <v>156.11420010556668</v>
      </c>
      <c r="CE21" s="62">
        <f t="shared" si="40"/>
        <v>318.01952986326501</v>
      </c>
      <c r="CF21" s="16">
        <f>IF(ISNA(VLOOKUP(A21,'Données projet'!$A$113:$I$133,3,0)),0,VLOOKUP(A21,'Données projet'!$A$113:$I$133,3,0))</f>
        <v>2</v>
      </c>
      <c r="CG21" s="16">
        <f>IF(ISNA(VLOOKUP(A21,'Données projet'!$A$113:$I$133,4,0)),0,VLOOKUP(A21,'Données projet'!$A$113:$I$133,4,0))</f>
        <v>40</v>
      </c>
      <c r="CH21" s="17">
        <f>IF(ISNA(VLOOKUP(A21,'Données projet'!$A$113:$I$133,5,0)),0%,VLOOKUP(A21,'Données projet'!$A$113:$I$133,5,0)*VLOOKUP('Données projet'!$B$12,Paramètres!$A$1:$I$89,7,0))</f>
        <v>0.1125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0.75</v>
      </c>
      <c r="CK21" s="23">
        <f>EXP(-LN(2)/35)*CK20+(1-EXP(-LN(2)/35))/(LN(2)/35)*CG21*CH21*VLOOKUP('Données projet'!$B$12,Paramètres!$A$1:$I$89,3,0)*0.475*44/12</f>
        <v>3.5697849495878025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23.663597258657802</v>
      </c>
      <c r="CN21" s="24">
        <f t="shared" si="12"/>
        <v>27.233382208245605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8.1284210526315785</v>
      </c>
      <c r="CT21" s="13">
        <f>IF('Données projet'!$A$140&gt;35,CT20+CS21-DB20,IF(A21&lt;'Données projet'!$A$140,$CQ$205^A21,IF(A21='Données projet'!$A$140,'Données projet'!$B$140,CT20+CS21-DB20)))</f>
        <v>118.45732170579704</v>
      </c>
      <c r="CU21" s="18">
        <f>CT21*VLOOKUP('Données projet'!$B$13,Paramètres!$A$1:$I$89,3,0)*VLOOKUP('Données projet'!$B$13,Paramètres!$A$1:$I$89,5,0)</f>
        <v>66.217642833540552</v>
      </c>
      <c r="CV21" s="14">
        <f t="shared" si="41"/>
        <v>18.731149977658681</v>
      </c>
      <c r="CW21" s="22">
        <f t="shared" si="13"/>
        <v>147.95248081283867</v>
      </c>
      <c r="CX21" s="62">
        <f t="shared" si="14"/>
        <v>441.28581414617202</v>
      </c>
      <c r="CY21" s="62">
        <f ca="1">AVERAGE(OFFSET($CX$3,0,0,'Données projet'!$E$13+1,1))-AVERAGE(OFFSET($H$3,0,0,'Données projet'!$E$13+1,1))</f>
        <v>321.56347025977988</v>
      </c>
      <c r="CZ21" s="62">
        <f t="shared" si="42"/>
        <v>285.79375360040717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5.5909090909090908</v>
      </c>
      <c r="DO21" s="13">
        <f>IF('Données projet'!$A$166&gt;35,DO20+DN21-DW20,IF(A21&lt;'Données projet'!$A$166,$DL$205^A21,IF(A21='Données projet'!$A$166,'Données projet'!$B$166,DO20+DN21-DW20)))</f>
        <v>51.276971117915458</v>
      </c>
      <c r="DP21" s="18">
        <f>DO21*VLOOKUP('Données projet'!$B$14,Paramètres!$A$1:$I$89,3,0)*VLOOKUP('Données projet'!$B$14,Paramètres!$A$1:$I$89,5,0)</f>
        <v>30.663628728513448</v>
      </c>
      <c r="DQ21" s="14">
        <f t="shared" si="43"/>
        <v>9.4870815071768995</v>
      </c>
      <c r="DR21" s="22">
        <f t="shared" si="16"/>
        <v>69.929153660494023</v>
      </c>
      <c r="DS21" s="62">
        <f t="shared" si="17"/>
        <v>363.26248699382734</v>
      </c>
      <c r="DT21" s="62">
        <f ca="1">AVERAGE(OFFSET($DS$3,0,0,'Données projet'!$E$14+1,1))-AVERAGE(OFFSET($H$3,0,0,'Données projet'!$E$14+1,1))</f>
        <v>287.69656598881124</v>
      </c>
      <c r="DU21" s="62">
        <f t="shared" si="44"/>
        <v>221.9773436301067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413.0904086280766</v>
      </c>
      <c r="S22" s="62">
        <f ca="1">AVERAGE(OFFSET($R$3,0,0,'Données projet'!$E$9+1,1))-AVERAGE(OFFSET($H$3,0,0,'Données projet'!$E$9+1,1))</f>
        <v>344.36303707479811</v>
      </c>
      <c r="T22" s="62">
        <f t="shared" si="34"/>
        <v>207.92972431357452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9.0238095238095237</v>
      </c>
      <c r="AI22" s="14">
        <f>IF('Données projet'!$A$62&gt;35,AI21+AH22-AQ21,IF(A22&lt;'Données projet'!$A$62,$AF$205^A22,IF(A22='Données projet'!$A$62,'Données projet'!$B$62,AI21+AH22-AQ21)))</f>
        <v>171.45238095238091</v>
      </c>
      <c r="AJ22" s="14">
        <f>AI22*VLOOKUP('Données projet'!$B$10,Paramètres!$A$1:$I$89,3,0)*VLOOKUP('Données projet'!$B$10,Paramètres!$A$1:$I$89,5,0)</f>
        <v>80.239714285714257</v>
      </c>
      <c r="AK22" s="14">
        <f t="shared" si="35"/>
        <v>22.195785307735175</v>
      </c>
      <c r="AL22" s="22">
        <f t="shared" si="4"/>
        <v>178.40849512525776</v>
      </c>
      <c r="AM22" s="62">
        <f t="shared" si="5"/>
        <v>471.74182845859104</v>
      </c>
      <c r="AN22" s="62">
        <f ca="1">AVERAGE(OFFSET($AM$3,0,0,'Données projet'!$E$10+1,1))-AVERAGE(OFFSET($H$3,0,0,'Données projet'!$E$10+1,1))</f>
        <v>273.94989417245978</v>
      </c>
      <c r="AO22" s="62">
        <f t="shared" si="36"/>
        <v>244.91615281423549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6.6</v>
      </c>
      <c r="BD22" s="13">
        <f>IF('Données projet'!$A$88&gt;35,BD21+BC22-BL21,IF(A22&lt;'Données projet'!$A$88,$BA$205^A22,IF(A22='Données projet'!$A$88,'Données projet'!$B$88,BD21+BC22-BL21)))</f>
        <v>103.40587994435182</v>
      </c>
      <c r="BE22" s="14">
        <f>BD22*VLOOKUP('Données projet'!$B$11,Paramètres!$A$1:$I$89,3,0)*VLOOKUP('Données projet'!$B$11,Paramètres!$A$1:$I$89,5,0)</f>
        <v>90.335376719385764</v>
      </c>
      <c r="BF22" s="14">
        <f t="shared" si="37"/>
        <v>24.646092265003244</v>
      </c>
      <c r="BG22" s="22">
        <f t="shared" si="7"/>
        <v>200.25939181447754</v>
      </c>
      <c r="BH22" s="62">
        <f t="shared" si="8"/>
        <v>493.59272514781082</v>
      </c>
      <c r="BI22" s="62">
        <f ca="1">AVERAGE(OFFSET($BH$3,0,0,'Données projet'!$E$11+1,1))-AVERAGE(OFFSET($H$3,0,0,'Données projet'!$E$11+1,1))</f>
        <v>247.81726778334098</v>
      </c>
      <c r="BJ22" s="62">
        <f t="shared" si="38"/>
        <v>278.55937893537259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17.8</v>
      </c>
      <c r="BY22" s="13">
        <f>IF('Données projet'!$A$114&gt;35,BY21+BX22-CG21,IF(A22&lt;'Données projet'!$A$114,$BV$205^A22,IF(A22='Données projet'!$A$114,'Données projet'!$B$114,BY21+BX22-CG21)))</f>
        <v>143.79999999999998</v>
      </c>
      <c r="BZ22" s="14">
        <f>BY22*VLOOKUP('Données projet'!$B$12,Paramètres!$A$1:$I$89,3,0)*VLOOKUP('Données projet'!$B$12,Paramètres!$A$1:$I$89,5,0)</f>
        <v>85.992400000000004</v>
      </c>
      <c r="CA22" s="14">
        <f t="shared" si="39"/>
        <v>23.596141005324462</v>
      </c>
      <c r="CB22" s="22">
        <f t="shared" si="10"/>
        <v>190.86670891760676</v>
      </c>
      <c r="CC22" s="62">
        <f t="shared" si="11"/>
        <v>484.2000422509401</v>
      </c>
      <c r="CD22" s="62">
        <f ca="1">AVERAGE(OFFSET($CC$3,0,0,'Données projet'!$E$12+1,1))-AVERAGE(OFFSET($H$3,0,0,'Données projet'!$E$12+1,1))</f>
        <v>156.11420010556668</v>
      </c>
      <c r="CE22" s="62">
        <f t="shared" si="40"/>
        <v>318.01952986326501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3.499783644080209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16.732690088864331</v>
      </c>
      <c r="CN22" s="24">
        <f t="shared" si="12"/>
        <v>20.232473732944541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>
        <f>VLOOKUP(A22,'Données projet'!$A$139:$I$159,2,0)</f>
        <v>154.44</v>
      </c>
      <c r="CR22" s="13">
        <f>VLOOKUP(A22,'Données projet'!$A$139:$I$159,9,0)</f>
        <v>8.1284210526315785</v>
      </c>
      <c r="CS22" s="13">
        <f t="array" ref="CS22">INDEX(CR:CR,MIN(IF(ISNUMBER(CR22:CR218),ROW(CR22:CR218),"")))</f>
        <v>8.1284210526315785</v>
      </c>
      <c r="CT22" s="13">
        <f>IF('Données projet'!$A$140&gt;35,CT21+CS22-DB21,IF(A22&lt;'Données projet'!$A$140,$CQ$205^A22,IF(A22='Données projet'!$A$140,'Données projet'!$B$140,CT21+CS22-DB21)))</f>
        <v>154.44</v>
      </c>
      <c r="CU22" s="18">
        <f>CT22*VLOOKUP('Données projet'!$B$13,Paramètres!$A$1:$I$89,3,0)*VLOOKUP('Données projet'!$B$13,Paramètres!$A$1:$I$89,5,0)</f>
        <v>86.331959999999995</v>
      </c>
      <c r="CV22" s="14">
        <f t="shared" si="41"/>
        <v>23.67845117029286</v>
      </c>
      <c r="CW22" s="22">
        <f t="shared" si="13"/>
        <v>191.60146612159338</v>
      </c>
      <c r="CX22" s="62">
        <f t="shared" si="14"/>
        <v>484.93479945492669</v>
      </c>
      <c r="CY22" s="62">
        <f ca="1">AVERAGE(OFFSET($CX$3,0,0,'Données projet'!$E$13+1,1))-AVERAGE(OFFSET($H$3,0,0,'Données projet'!$E$13+1,1))</f>
        <v>321.56347025977988</v>
      </c>
      <c r="CZ22" s="62">
        <f t="shared" si="42"/>
        <v>285.79375360040717</v>
      </c>
      <c r="DA22" s="16">
        <f>IF(ISNA(VLOOKUP(A22,'Données projet'!$A$139:$I$159,3,0)),0,VLOOKUP(A22,'Données projet'!$A$139:$I$159,3,0))</f>
        <v>1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5.5000000000000007E-2</v>
      </c>
      <c r="DD22" s="17">
        <f>IF(ISNA(VLOOKUP(A22,'Données projet'!$A$139:$I$159,6,0)),0%,VLOOKUP(A22,'Données projet'!$A$139:$I$159,6,0)*VLOOKUP('Données projet'!$B$13,Paramètres!$A$1:$I$89,7,0))</f>
        <v>0.22000000000000003</v>
      </c>
      <c r="DE22" s="17">
        <f>IF(ISNA(VLOOKUP(A22,'Données projet'!$A$139:$I$159,7,0)),0%,VLOOKUP(A22,'Données projet'!$A$139:$I$159,7,0))</f>
        <v>0.5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5.5909090909090908</v>
      </c>
      <c r="DO22" s="13">
        <f>IF('Données projet'!$A$166&gt;35,DO21+DN22-DW21,IF(A22&lt;'Données projet'!$A$166,$DL$205^A22,IF(A22='Données projet'!$A$166,'Données projet'!$B$166,DO21+DN22-DW21)))</f>
        <v>63.814306040343304</v>
      </c>
      <c r="DP22" s="18">
        <f>DO22*VLOOKUP('Données projet'!$B$14,Paramètres!$A$1:$I$89,3,0)*VLOOKUP('Données projet'!$B$14,Paramètres!$A$1:$I$89,5,0)</f>
        <v>38.160955012125299</v>
      </c>
      <c r="DQ22" s="14">
        <f t="shared" si="43"/>
        <v>11.509880661066306</v>
      </c>
      <c r="DR22" s="22">
        <f t="shared" si="16"/>
        <v>86.510038797475374</v>
      </c>
      <c r="DS22" s="62">
        <f t="shared" si="17"/>
        <v>379.84337213080869</v>
      </c>
      <c r="DT22" s="62">
        <f ca="1">AVERAGE(OFFSET($DS$3,0,0,'Données projet'!$E$14+1,1))-AVERAGE(OFFSET($H$3,0,0,'Données projet'!$E$14+1,1))</f>
        <v>287.69656598881124</v>
      </c>
      <c r="DU22" s="62">
        <f t="shared" si="44"/>
        <v>221.9773436301067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440.92171753768048</v>
      </c>
      <c r="S23" s="62">
        <f ca="1">AVERAGE(OFFSET($R$3,0,0,'Données projet'!$E$9+1,1))-AVERAGE(OFFSET($H$3,0,0,'Données projet'!$E$9+1,1))</f>
        <v>344.36303707479811</v>
      </c>
      <c r="T23" s="62">
        <f t="shared" si="34"/>
        <v>207.92972431357452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9.0238095238095237</v>
      </c>
      <c r="AI23" s="14">
        <f>IF('Données projet'!$A$62&gt;35,AI22+AH23-AQ22,IF(A23&lt;'Données projet'!$A$62,$AF$205^A23,IF(A23='Données projet'!$A$62,'Données projet'!$B$62,AI22+AH23-AQ22)))</f>
        <v>180.47619047619042</v>
      </c>
      <c r="AJ23" s="14">
        <f>AI23*VLOOKUP('Données projet'!$B$10,Paramètres!$A$1:$I$89,3,0)*VLOOKUP('Données projet'!$B$10,Paramètres!$A$1:$I$89,5,0)</f>
        <v>84.462857142857118</v>
      </c>
      <c r="AK23" s="14">
        <f t="shared" si="35"/>
        <v>23.22490454712457</v>
      </c>
      <c r="AL23" s="22">
        <f t="shared" si="4"/>
        <v>187.55618494338475</v>
      </c>
      <c r="AM23" s="62">
        <f t="shared" si="5"/>
        <v>480.88951827671804</v>
      </c>
      <c r="AN23" s="62">
        <f ca="1">AVERAGE(OFFSET($AM$3,0,0,'Données projet'!$E$10+1,1))-AVERAGE(OFFSET($H$3,0,0,'Données projet'!$E$10+1,1))</f>
        <v>273.94989417245978</v>
      </c>
      <c r="AO23" s="62">
        <f t="shared" si="36"/>
        <v>244.91615281423549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132</v>
      </c>
      <c r="BB23" s="13">
        <f>VLOOKUP(A23,'Données projet'!$A$87:$I$107,9,0)</f>
        <v>6.6</v>
      </c>
      <c r="BC23" s="13">
        <f t="array" ref="BC23">INDEX(BB:BB,MIN(IF(ISNUMBER(BB23:BB219),ROW(BB23:BB219),"")))</f>
        <v>6.6</v>
      </c>
      <c r="BD23" s="13">
        <f>IF('Données projet'!$A$88&gt;35,BD22+BC23-BL22,IF(A23&lt;'Données projet'!$A$88,$BA$205^A23,IF(A23='Données projet'!$A$88,'Données projet'!$B$88,BD22+BC23-BL22)))</f>
        <v>132</v>
      </c>
      <c r="BE23" s="14">
        <f>BD23*VLOOKUP('Données projet'!$B$11,Paramètres!$A$1:$I$89,3,0)*VLOOKUP('Données projet'!$B$11,Paramètres!$A$1:$I$89,5,0)</f>
        <v>115.3152</v>
      </c>
      <c r="BF23" s="14">
        <f t="shared" si="37"/>
        <v>30.579827148797317</v>
      </c>
      <c r="BG23" s="22">
        <f t="shared" si="7"/>
        <v>254.10050561748861</v>
      </c>
      <c r="BH23" s="62">
        <f t="shared" si="8"/>
        <v>547.43383895082195</v>
      </c>
      <c r="BI23" s="62">
        <f ca="1">AVERAGE(OFFSET($BH$3,0,0,'Données projet'!$E$11+1,1))-AVERAGE(OFFSET($H$3,0,0,'Données projet'!$E$11+1,1))</f>
        <v>247.81726778334098</v>
      </c>
      <c r="BJ23" s="62">
        <f t="shared" si="38"/>
        <v>278.55937893537259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50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0.7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28.849278940974347</v>
      </c>
      <c r="BS23" s="24">
        <f t="shared" si="9"/>
        <v>28.849278940974347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17.8</v>
      </c>
      <c r="BY23" s="13">
        <f>IF('Données projet'!$A$114&gt;35,BY22+BX23-CG22,IF(A23&lt;'Données projet'!$A$114,$BV$205^A23,IF(A23='Données projet'!$A$114,'Données projet'!$B$114,BY22+BX23-CG22)))</f>
        <v>161.6</v>
      </c>
      <c r="BZ23" s="14">
        <f>BY23*VLOOKUP('Données projet'!$B$12,Paramètres!$A$1:$I$89,3,0)*VLOOKUP('Données projet'!$B$12,Paramètres!$A$1:$I$89,5,0)</f>
        <v>96.636800000000008</v>
      </c>
      <c r="CA23" s="14">
        <f t="shared" si="39"/>
        <v>26.159173215164081</v>
      </c>
      <c r="CB23" s="22">
        <f t="shared" si="10"/>
        <v>213.86965334974411</v>
      </c>
      <c r="CC23" s="62">
        <f t="shared" si="11"/>
        <v>507.20298668307743</v>
      </c>
      <c r="CD23" s="62">
        <f ca="1">AVERAGE(OFFSET($CC$3,0,0,'Données projet'!$E$12+1,1))-AVERAGE(OFFSET($H$3,0,0,'Données projet'!$E$12+1,1))</f>
        <v>156.11420010556668</v>
      </c>
      <c r="CE23" s="62">
        <f t="shared" si="40"/>
        <v>318.01952986326501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3.4311550214770392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11.831798629328903</v>
      </c>
      <c r="CN23" s="24">
        <f t="shared" si="12"/>
        <v>15.262953650805942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20.355000000000004</v>
      </c>
      <c r="CT23" s="13">
        <f>IF('Données projet'!$A$140&gt;35,CT22+CS23-DB22,IF(A23&lt;'Données projet'!$A$140,$CQ$205^A23,IF(A23='Données projet'!$A$140,'Données projet'!$B$140,CT22+CS23-DB22)))</f>
        <v>174.79500000000002</v>
      </c>
      <c r="CU23" s="18">
        <f>CT23*VLOOKUP('Données projet'!$B$13,Paramètres!$A$1:$I$89,3,0)*VLOOKUP('Données projet'!$B$13,Paramètres!$A$1:$I$89,5,0)</f>
        <v>97.710405000000009</v>
      </c>
      <c r="CV23" s="14">
        <f t="shared" si="41"/>
        <v>26.41579998765167</v>
      </c>
      <c r="CW23" s="22">
        <f t="shared" si="13"/>
        <v>216.18647368682664</v>
      </c>
      <c r="CX23" s="62">
        <f t="shared" si="14"/>
        <v>509.51980702015999</v>
      </c>
      <c r="CY23" s="62">
        <f ca="1">AVERAGE(OFFSET($CX$3,0,0,'Données projet'!$E$13+1,1))-AVERAGE(OFFSET($H$3,0,0,'Données projet'!$E$13+1,1))</f>
        <v>321.56347025977988</v>
      </c>
      <c r="CZ23" s="62">
        <f t="shared" si="42"/>
        <v>285.79375360040717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5.5909090909090908</v>
      </c>
      <c r="DO23" s="13">
        <f>IF('Données projet'!$A$166&gt;35,DO22+DN23-DW22,IF(A23&lt;'Données projet'!$A$166,$DL$205^A23,IF(A23='Données projet'!$A$166,'Données projet'!$B$166,DO22+DN23-DW22)))</f>
        <v>79.417047587426694</v>
      </c>
      <c r="DP23" s="18">
        <f>DO23*VLOOKUP('Données projet'!$B$14,Paramètres!$A$1:$I$89,3,0)*VLOOKUP('Données projet'!$B$14,Paramètres!$A$1:$I$89,5,0)</f>
        <v>47.49139445728116</v>
      </c>
      <c r="DQ23" s="14">
        <f t="shared" si="43"/>
        <v>13.96397329692701</v>
      </c>
      <c r="DR23" s="22">
        <f t="shared" si="16"/>
        <v>107.03476550524589</v>
      </c>
      <c r="DS23" s="62">
        <f t="shared" si="17"/>
        <v>400.36809883857921</v>
      </c>
      <c r="DT23" s="62">
        <f ca="1">AVERAGE(OFFSET($DS$3,0,0,'Données projet'!$E$14+1,1))-AVERAGE(OFFSET($H$3,0,0,'Données projet'!$E$14+1,1))</f>
        <v>287.69656598881124</v>
      </c>
      <c r="DU23" s="62">
        <f t="shared" si="44"/>
        <v>221.9773436301067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443.2850952483584</v>
      </c>
      <c r="S24" s="62">
        <f ca="1">AVERAGE(OFFSET($R$3,0,0,'Données projet'!$E$9+1,1))-AVERAGE(OFFSET($H$3,0,0,'Données projet'!$E$9+1,1))</f>
        <v>344.36303707479811</v>
      </c>
      <c r="T24" s="62">
        <f t="shared" si="34"/>
        <v>207.92972431357452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9.0238095238095237</v>
      </c>
      <c r="AI24" s="14">
        <f>IF('Données projet'!$A$62&gt;35,AI23+AH24-AQ23,IF(A24&lt;'Données projet'!$A$62,$AF$205^A24,IF(A24='Données projet'!$A$62,'Données projet'!$B$62,AI23+AH24-AQ23)))</f>
        <v>189.49999999999994</v>
      </c>
      <c r="AJ24" s="14">
        <f>AI24*VLOOKUP('Données projet'!$B$10,Paramètres!$A$1:$I$89,3,0)*VLOOKUP('Données projet'!$B$10,Paramètres!$A$1:$I$89,5,0)</f>
        <v>88.685999999999964</v>
      </c>
      <c r="AK24" s="14">
        <f t="shared" si="35"/>
        <v>24.248049079863389</v>
      </c>
      <c r="AL24" s="22">
        <f t="shared" si="4"/>
        <v>196.69346881409535</v>
      </c>
      <c r="AM24" s="62">
        <f t="shared" si="5"/>
        <v>490.02680214742867</v>
      </c>
      <c r="AN24" s="62">
        <f ca="1">AVERAGE(OFFSET($AM$3,0,0,'Données projet'!$E$10+1,1))-AVERAGE(OFFSET($H$3,0,0,'Données projet'!$E$10+1,1))</f>
        <v>273.94989417245978</v>
      </c>
      <c r="AO24" s="62">
        <f t="shared" si="36"/>
        <v>244.91615281423549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12.2</v>
      </c>
      <c r="BD24" s="13">
        <f>IF('Données projet'!$A$88&gt;35,BD23+BC24-BL23,IF(A24&lt;'Données projet'!$A$88,$BA$205^A24,IF(A24='Données projet'!$A$88,'Données projet'!$B$88,BD23+BC24-BL23)))</f>
        <v>94.199999999999989</v>
      </c>
      <c r="BE24" s="14">
        <f>BD24*VLOOKUP('Données projet'!$B$11,Paramètres!$A$1:$I$89,3,0)*VLOOKUP('Données projet'!$B$11,Paramètres!$A$1:$I$89,5,0)</f>
        <v>82.293120000000002</v>
      </c>
      <c r="BF24" s="14">
        <f t="shared" si="37"/>
        <v>22.696938367376966</v>
      </c>
      <c r="BG24" s="22">
        <f t="shared" si="7"/>
        <v>182.85768498984825</v>
      </c>
      <c r="BH24" s="62">
        <f t="shared" si="8"/>
        <v>476.19101832318154</v>
      </c>
      <c r="BI24" s="62">
        <f ca="1">AVERAGE(OFFSET($BH$3,0,0,'Données projet'!$E$11+1,1))-AVERAGE(OFFSET($H$3,0,0,'Données projet'!$E$11+1,1))</f>
        <v>247.81726778334098</v>
      </c>
      <c r="BJ24" s="62">
        <f t="shared" si="38"/>
        <v>278.55937893537259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20.399520771505223</v>
      </c>
      <c r="BS24" s="24">
        <f t="shared" si="9"/>
        <v>20.399520771505223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17.8</v>
      </c>
      <c r="BY24" s="13">
        <f>IF('Données projet'!$A$114&gt;35,BY23+BX24-CG23,IF(A24&lt;'Données projet'!$A$114,$BV$205^A24,IF(A24='Données projet'!$A$114,'Données projet'!$B$114,BY23+BX24-CG23)))</f>
        <v>179.4</v>
      </c>
      <c r="BZ24" s="14">
        <f>BY24*VLOOKUP('Données projet'!$B$12,Paramètres!$A$1:$I$89,3,0)*VLOOKUP('Données projet'!$B$12,Paramètres!$A$1:$I$89,5,0)</f>
        <v>107.2812</v>
      </c>
      <c r="CA24" s="14">
        <f t="shared" si="39"/>
        <v>28.68948404302737</v>
      </c>
      <c r="CB24" s="22">
        <f t="shared" si="10"/>
        <v>236.81560804160597</v>
      </c>
      <c r="CC24" s="62">
        <f t="shared" si="11"/>
        <v>530.14894137493934</v>
      </c>
      <c r="CD24" s="62">
        <f ca="1">AVERAGE(OFFSET($CC$3,0,0,'Données projet'!$E$12+1,1))-AVERAGE(OFFSET($H$3,0,0,'Données projet'!$E$12+1,1))</f>
        <v>156.11420010556668</v>
      </c>
      <c r="CE24" s="62">
        <f t="shared" si="40"/>
        <v>318.01952986326501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3.3638721643037908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8.3663450444321654</v>
      </c>
      <c r="CN24" s="24">
        <f t="shared" si="12"/>
        <v>11.730217208735956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>
        <f>VLOOKUP(A24,'Données projet'!$A$139:$I$159,2,0)</f>
        <v>195.15</v>
      </c>
      <c r="CR24" s="13">
        <f>VLOOKUP(A24,'Données projet'!$A$139:$I$159,9,0)</f>
        <v>20.355000000000004</v>
      </c>
      <c r="CS24" s="13">
        <f t="array" ref="CS24">INDEX(CR:CR,MIN(IF(ISNUMBER(CR24:CR220),ROW(CR24:CR220),"")))</f>
        <v>20.355000000000004</v>
      </c>
      <c r="CT24" s="13">
        <f>IF('Données projet'!$A$140&gt;35,CT23+CS24-DB23,IF(A24&lt;'Données projet'!$A$140,$CQ$205^A24,IF(A24='Données projet'!$A$140,'Données projet'!$B$140,CT23+CS24-DB23)))</f>
        <v>195.15000000000003</v>
      </c>
      <c r="CU24" s="18">
        <f>CT24*VLOOKUP('Données projet'!$B$13,Paramètres!$A$1:$I$89,3,0)*VLOOKUP('Données projet'!$B$13,Paramètres!$A$1:$I$89,5,0)</f>
        <v>109.08885000000002</v>
      </c>
      <c r="CV24" s="14">
        <f t="shared" si="41"/>
        <v>29.116206715124498</v>
      </c>
      <c r="CW24" s="22">
        <f t="shared" si="13"/>
        <v>240.70714044550854</v>
      </c>
      <c r="CX24" s="62">
        <f t="shared" si="14"/>
        <v>534.04047377884183</v>
      </c>
      <c r="CY24" s="62">
        <f ca="1">AVERAGE(OFFSET($CX$3,0,0,'Données projet'!$E$13+1,1))-AVERAGE(OFFSET($H$3,0,0,'Données projet'!$E$13+1,1))</f>
        <v>321.56347025977988</v>
      </c>
      <c r="CZ24" s="62">
        <f t="shared" si="42"/>
        <v>285.79375360040717</v>
      </c>
      <c r="DA24" s="16">
        <f>IF(ISNA(VLOOKUP(A24,'Données projet'!$A$139:$I$159,3,0)),0,VLOOKUP(A24,'Données projet'!$A$139:$I$159,3,0))</f>
        <v>2</v>
      </c>
      <c r="DB24" s="16">
        <f>IF(ISNA(VLOOKUP(A24,'Données projet'!$A$139:$I$159,4,0)),0,VLOOKUP(A24,'Données projet'!$A$139:$I$159,4,0))</f>
        <v>64.58</v>
      </c>
      <c r="DC24" s="17">
        <f>IF(ISNA(VLOOKUP(A24,'Données projet'!$A$139:$I$159,5,0)),0%,VLOOKUP(A24,'Données projet'!$A$139:$I$159,5,0)*VLOOKUP('Données projet'!$B$13,Paramètres!$A$1:$I$89,7,0))</f>
        <v>0.16500000000000001</v>
      </c>
      <c r="DD24" s="17">
        <f>IF(ISNA(VLOOKUP(A24,'Données projet'!$A$139:$I$159,6,0)),0%,VLOOKUP(A24,'Données projet'!$A$139:$I$159,6,0)*VLOOKUP('Données projet'!$B$13,Paramètres!$A$1:$I$89,7,0))</f>
        <v>0.16500000000000001</v>
      </c>
      <c r="DE24" s="17">
        <f>IF(ISNA(VLOOKUP(A24,'Données projet'!$A$139:$I$159,7,0)),0%,VLOOKUP(A24,'Données projet'!$A$139:$I$159,7,0))</f>
        <v>0.4</v>
      </c>
      <c r="DF24" s="23">
        <f>EXP(-LN(2)/35)*DF23+(1-EXP(-LN(2)/35))/(LN(2)/35)*DB24*DC24*VLOOKUP('Données projet'!$B$13,Paramètres!$A$1:$I$89,3,0)*0.475*44/12</f>
        <v>7.9017293331153544</v>
      </c>
      <c r="DG24" s="23">
        <f>EXP(-LN(2)/25)*DG23+(1-EXP(-LN(2)/25))/(LN(2)/25)*Calculateur!DB24*Calculateur!DD24*VLOOKUP('Données projet'!$B$13,Paramètres!$A$1:$I$89,3,0)*0.475*44/12</f>
        <v>7.8706172139359607</v>
      </c>
      <c r="DH24" s="23">
        <f>EXP(-LN(2)/2)*DH23+(1-EXP(-LN(2)/2))/(LN(2)/2)*DB24*DE24*VLOOKUP('Données projet'!$B$13,Paramètres!$A$1:$I$89,3,0)*0.475*44/12</f>
        <v>16.349534012724352</v>
      </c>
      <c r="DI24" s="24">
        <f t="shared" si="15"/>
        <v>32.121880559775668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5.5909090909090908</v>
      </c>
      <c r="DO24" s="13">
        <f>IF('Données projet'!$A$166&gt;35,DO23+DN24-DW23,IF(A24&lt;'Données projet'!$A$166,$DL$205^A24,IF(A24='Données projet'!$A$166,'Données projet'!$B$166,DO23+DN24-DW23)))</f>
        <v>98.834694582689295</v>
      </c>
      <c r="DP24" s="18">
        <f>DO24*VLOOKUP('Données projet'!$B$14,Paramètres!$A$1:$I$89,3,0)*VLOOKUP('Données projet'!$B$14,Paramètres!$A$1:$I$89,5,0)</f>
        <v>59.103147360448204</v>
      </c>
      <c r="DQ24" s="14">
        <f t="shared" si="43"/>
        <v>16.94131815778756</v>
      </c>
      <c r="DR24" s="22">
        <f t="shared" si="16"/>
        <v>132.44411077759398</v>
      </c>
      <c r="DS24" s="62">
        <f t="shared" si="17"/>
        <v>425.77744411092726</v>
      </c>
      <c r="DT24" s="62">
        <f ca="1">AVERAGE(OFFSET($DS$3,0,0,'Données projet'!$E$14+1,1))-AVERAGE(OFFSET($H$3,0,0,'Données projet'!$E$14+1,1))</f>
        <v>287.69656598881124</v>
      </c>
      <c r="DU24" s="62">
        <f t="shared" si="44"/>
        <v>221.9773436301067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457.4472396337602</v>
      </c>
      <c r="S25" s="62">
        <f ca="1">AVERAGE(OFFSET($R$3,0,0,'Données projet'!$E$9+1,1))-AVERAGE(OFFSET($H$3,0,0,'Données projet'!$E$9+1,1))</f>
        <v>344.36303707479811</v>
      </c>
      <c r="T25" s="62">
        <f t="shared" si="34"/>
        <v>207.92972431357452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9.0238095238095237</v>
      </c>
      <c r="AI25" s="14">
        <f>IF('Données projet'!$A$62&gt;35,AI24+AH25-AQ24,IF(A25&lt;'Données projet'!$A$62,$AF$205^A25,IF(A25='Données projet'!$A$62,'Données projet'!$B$62,AI24+AH25-AQ24)))</f>
        <v>198.52380952380946</v>
      </c>
      <c r="AJ25" s="14">
        <f>AI25*VLOOKUP('Données projet'!$B$10,Paramètres!$A$1:$I$89,3,0)*VLOOKUP('Données projet'!$B$10,Paramètres!$A$1:$I$89,5,0)</f>
        <v>92.909142857142839</v>
      </c>
      <c r="AK25" s="14">
        <f t="shared" si="35"/>
        <v>25.26553589915784</v>
      </c>
      <c r="AL25" s="22">
        <f t="shared" si="4"/>
        <v>205.82089883389031</v>
      </c>
      <c r="AM25" s="62">
        <f t="shared" si="5"/>
        <v>499.15423216722365</v>
      </c>
      <c r="AN25" s="62">
        <f ca="1">AVERAGE(OFFSET($AM$3,0,0,'Données projet'!$E$10+1,1))-AVERAGE(OFFSET($H$3,0,0,'Données projet'!$E$10+1,1))</f>
        <v>273.94989417245978</v>
      </c>
      <c r="AO25" s="62">
        <f t="shared" si="36"/>
        <v>244.91615281423549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12.2</v>
      </c>
      <c r="BD25" s="13">
        <f>IF('Données projet'!$A$88&gt;35,BD24+BC25-BL24,IF(A25&lt;'Données projet'!$A$88,$BA$205^A25,IF(A25='Données projet'!$A$88,'Données projet'!$B$88,BD24+BC25-BL24)))</f>
        <v>106.39999999999999</v>
      </c>
      <c r="BE25" s="14">
        <f>BD25*VLOOKUP('Données projet'!$B$11,Paramètres!$A$1:$I$89,3,0)*VLOOKUP('Données projet'!$B$11,Paramètres!$A$1:$I$89,5,0)</f>
        <v>92.951040000000006</v>
      </c>
      <c r="BF25" s="14">
        <f t="shared" si="37"/>
        <v>25.275602869272223</v>
      </c>
      <c r="BG25" s="22">
        <f t="shared" si="7"/>
        <v>205.9114029973158</v>
      </c>
      <c r="BH25" s="62">
        <f t="shared" si="8"/>
        <v>499.24473633064912</v>
      </c>
      <c r="BI25" s="62">
        <f ca="1">AVERAGE(OFFSET($BH$3,0,0,'Données projet'!$E$11+1,1))-AVERAGE(OFFSET($H$3,0,0,'Données projet'!$E$11+1,1))</f>
        <v>247.81726778334098</v>
      </c>
      <c r="BJ25" s="62">
        <f t="shared" si="38"/>
        <v>278.55937893537259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14.424639470487175</v>
      </c>
      <c r="BS25" s="24">
        <f t="shared" si="9"/>
        <v>14.424639470487175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17.8</v>
      </c>
      <c r="BY25" s="13">
        <f>IF('Données projet'!$A$114&gt;35,BY24+BX25-CG24,IF(A25&lt;'Données projet'!$A$114,$BV$205^A25,IF(A25='Données projet'!$A$114,'Données projet'!$B$114,BY24+BX25-CG24)))</f>
        <v>197.20000000000002</v>
      </c>
      <c r="BZ25" s="14">
        <f>BY25*VLOOKUP('Données projet'!$B$12,Paramètres!$A$1:$I$89,3,0)*VLOOKUP('Données projet'!$B$12,Paramètres!$A$1:$I$89,5,0)</f>
        <v>117.92560000000003</v>
      </c>
      <c r="CA25" s="14">
        <f t="shared" si="39"/>
        <v>31.190689636070587</v>
      </c>
      <c r="CB25" s="22">
        <f t="shared" si="10"/>
        <v>259.71087111615634</v>
      </c>
      <c r="CC25" s="62">
        <f t="shared" si="11"/>
        <v>553.0442044494896</v>
      </c>
      <c r="CD25" s="62">
        <f ca="1">AVERAGE(OFFSET($CC$3,0,0,'Données projet'!$E$12+1,1))-AVERAGE(OFFSET($H$3,0,0,'Données projet'!$E$12+1,1))</f>
        <v>156.11420010556668</v>
      </c>
      <c r="CE25" s="62">
        <f t="shared" si="40"/>
        <v>318.01952986326501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3.2979086829212192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5.9158993146644514</v>
      </c>
      <c r="CN25" s="24">
        <f t="shared" si="12"/>
        <v>9.2138079975856702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21.612857142857145</v>
      </c>
      <c r="CT25" s="13">
        <f>IF('Données projet'!$A$140&gt;35,CT24+CS25-DB24,IF(A25&lt;'Données projet'!$A$140,$CQ$205^A25,IF(A25='Données projet'!$A$140,'Données projet'!$B$140,CT24+CS25-DB24)))</f>
        <v>152.18285714285719</v>
      </c>
      <c r="CU25" s="18">
        <f>CT25*VLOOKUP('Données projet'!$B$13,Paramètres!$A$1:$I$89,3,0)*VLOOKUP('Données projet'!$B$13,Paramètres!$A$1:$I$89,5,0)</f>
        <v>85.070217142857175</v>
      </c>
      <c r="CV25" s="14">
        <f t="shared" si="41"/>
        <v>23.372410230575955</v>
      </c>
      <c r="CW25" s="22">
        <f t="shared" si="13"/>
        <v>188.87090934206267</v>
      </c>
      <c r="CX25" s="62">
        <f t="shared" si="14"/>
        <v>482.20424267539602</v>
      </c>
      <c r="CY25" s="62">
        <f ca="1">AVERAGE(OFFSET($CX$3,0,0,'Données projet'!$E$13+1,1))-AVERAGE(OFFSET($H$3,0,0,'Données projet'!$E$13+1,1))</f>
        <v>321.56347025977988</v>
      </c>
      <c r="CZ25" s="62">
        <f t="shared" si="42"/>
        <v>285.79375360040717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7.7467812404719618</v>
      </c>
      <c r="DG25" s="23">
        <f>EXP(-LN(2)/25)*DG24+(1-EXP(-LN(2)/25))/(LN(2)/25)*Calculateur!DB25*Calculateur!DD25*VLOOKUP('Données projet'!$B$13,Paramètres!$A$1:$I$89,3,0)*0.475*44/12</f>
        <v>7.6553947723231115</v>
      </c>
      <c r="DH25" s="23">
        <f>EXP(-LN(2)/2)*DH24+(1-EXP(-LN(2)/2))/(LN(2)/2)*DB25*DE25*VLOOKUP('Données projet'!$B$13,Paramètres!$A$1:$I$89,3,0)*0.475*44/12</f>
        <v>11.560866369637495</v>
      </c>
      <c r="DI25" s="24">
        <f t="shared" si="15"/>
        <v>26.963042382432569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>
        <f>VLOOKUP(A25,'Données projet'!$A$165:$I$185,2,0)</f>
        <v>123</v>
      </c>
      <c r="DM25" s="13">
        <f>VLOOKUP(A25,'Données projet'!$A$165:$I$185,9,0)</f>
        <v>5.5909090909090908</v>
      </c>
      <c r="DN25" s="13">
        <f t="array" ref="DN25">INDEX(DM:DM,MIN(IF(ISNUMBER(DM25:DM221),ROW(DM25:DM221),"")))</f>
        <v>5.5909090909090908</v>
      </c>
      <c r="DO25" s="13">
        <f>IF('Données projet'!$A$166&gt;35,DO24+DN25-DW24,IF(A25&lt;'Données projet'!$A$166,$DL$205^A25,IF(A25='Données projet'!$A$166,'Données projet'!$B$166,DO24+DN25-DW24)))</f>
        <v>123</v>
      </c>
      <c r="DP25" s="18">
        <f>DO25*VLOOKUP('Données projet'!$B$14,Paramètres!$A$1:$I$89,3,0)*VLOOKUP('Données projet'!$B$14,Paramètres!$A$1:$I$89,5,0)</f>
        <v>73.554000000000016</v>
      </c>
      <c r="DQ25" s="14">
        <f t="shared" si="43"/>
        <v>20.553481077376691</v>
      </c>
      <c r="DR25" s="22">
        <f t="shared" si="16"/>
        <v>163.90386287643108</v>
      </c>
      <c r="DS25" s="62">
        <f t="shared" si="17"/>
        <v>457.23719620976442</v>
      </c>
      <c r="DT25" s="62">
        <f ca="1">AVERAGE(OFFSET($DS$3,0,0,'Données projet'!$E$14+1,1))-AVERAGE(OFFSET($H$3,0,0,'Données projet'!$E$14+1,1))</f>
        <v>287.69656598881124</v>
      </c>
      <c r="DU25" s="62">
        <f t="shared" si="44"/>
        <v>221.9773436301067</v>
      </c>
      <c r="DV25" s="16">
        <f>IF(ISNA(VLOOKUP(A25,'Données projet'!$A$165:$I$185,3,0)),0,VLOOKUP(A25,'Données projet'!$A$165:$I$185,3,0))</f>
        <v>1</v>
      </c>
      <c r="DW25" s="16">
        <f>IF(ISNA(VLOOKUP(A25,'Données projet'!$A$165:$I$185,4,0)),0,VLOOKUP(A25,'Données projet'!$A$165:$I$185,4,0))</f>
        <v>16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1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10.833198622733226</v>
      </c>
      <c r="ED25" s="24">
        <f t="shared" si="18"/>
        <v>10.833198622733226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471.5805004860498</v>
      </c>
      <c r="S26" s="62">
        <f ca="1">AVERAGE(OFFSET($R$3,0,0,'Données projet'!$E$9+1,1))-AVERAGE(OFFSET($H$3,0,0,'Données projet'!$E$9+1,1))</f>
        <v>344.36303707479811</v>
      </c>
      <c r="T26" s="62">
        <f t="shared" si="34"/>
        <v>207.92972431357452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9.0238095238095237</v>
      </c>
      <c r="AI26" s="14">
        <f>IF('Données projet'!$A$62&gt;35,AI25+AH26-AQ25,IF(A26&lt;'Données projet'!$A$62,$AF$205^A26,IF(A26='Données projet'!$A$62,'Données projet'!$B$62,AI25+AH26-AQ25)))</f>
        <v>207.54761904761898</v>
      </c>
      <c r="AJ26" s="14">
        <f>AI26*VLOOKUP('Données projet'!$B$10,Paramètres!$A$1:$I$89,3,0)*VLOOKUP('Données projet'!$B$10,Paramètres!$A$1:$I$89,5,0)</f>
        <v>97.132285714285686</v>
      </c>
      <c r="AK26" s="14">
        <f t="shared" si="35"/>
        <v>26.277651551700433</v>
      </c>
      <c r="AL26" s="22">
        <f t="shared" si="4"/>
        <v>214.9389740715925</v>
      </c>
      <c r="AM26" s="62">
        <f t="shared" si="5"/>
        <v>508.27230740492581</v>
      </c>
      <c r="AN26" s="62">
        <f ca="1">AVERAGE(OFFSET($AM$3,0,0,'Données projet'!$E$10+1,1))-AVERAGE(OFFSET($H$3,0,0,'Données projet'!$E$10+1,1))</f>
        <v>273.94989417245978</v>
      </c>
      <c r="AO26" s="62">
        <f t="shared" si="36"/>
        <v>244.91615281423549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12.2</v>
      </c>
      <c r="BD26" s="13">
        <f>IF('Données projet'!$A$88&gt;35,BD25+BC26-BL25,IF(A26&lt;'Données projet'!$A$88,$BA$205^A26,IF(A26='Données projet'!$A$88,'Données projet'!$B$88,BD25+BC26-BL25)))</f>
        <v>118.6</v>
      </c>
      <c r="BE26" s="14">
        <f>BD26*VLOOKUP('Données projet'!$B$11,Paramètres!$A$1:$I$89,3,0)*VLOOKUP('Données projet'!$B$11,Paramètres!$A$1:$I$89,5,0)</f>
        <v>103.60896</v>
      </c>
      <c r="BF26" s="14">
        <f t="shared" si="37"/>
        <v>27.820000397643376</v>
      </c>
      <c r="BG26" s="22">
        <f t="shared" si="7"/>
        <v>228.90543935922889</v>
      </c>
      <c r="BH26" s="62">
        <f t="shared" si="8"/>
        <v>522.23877269256218</v>
      </c>
      <c r="BI26" s="62">
        <f ca="1">AVERAGE(OFFSET($BH$3,0,0,'Données projet'!$E$11+1,1))-AVERAGE(OFFSET($H$3,0,0,'Données projet'!$E$11+1,1))</f>
        <v>247.81726778334098</v>
      </c>
      <c r="BJ26" s="62">
        <f t="shared" si="38"/>
        <v>278.55937893537259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10.199760385752613</v>
      </c>
      <c r="BS26" s="24">
        <f t="shared" si="9"/>
        <v>10.199760385752613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>
        <f>VLOOKUP(A26,'Données projet'!$A$113:$I$133,2,0)</f>
        <v>215</v>
      </c>
      <c r="BW26" s="13">
        <f>VLOOKUP(A26,'Données projet'!$A$113:$I$133,9,0)</f>
        <v>17.8</v>
      </c>
      <c r="BX26" s="13">
        <f t="array" ref="BX26">INDEX(BW:BW,MIN(IF(ISNUMBER(BW26:BW222),ROW(BW26:BW222),"")))</f>
        <v>17.8</v>
      </c>
      <c r="BY26" s="13">
        <f>IF('Données projet'!$A$114&gt;35,BY25+BX26-CG25,IF(A26&lt;'Données projet'!$A$114,$BV$205^A26,IF(A26='Données projet'!$A$114,'Données projet'!$B$114,BY25+BX26-CG25)))</f>
        <v>215.00000000000003</v>
      </c>
      <c r="BZ26" s="14">
        <f>BY26*VLOOKUP('Données projet'!$B$12,Paramètres!$A$1:$I$89,3,0)*VLOOKUP('Données projet'!$B$12,Paramètres!$A$1:$I$89,5,0)</f>
        <v>128.57000000000002</v>
      </c>
      <c r="CA26" s="14">
        <f t="shared" si="39"/>
        <v>33.665715905233277</v>
      </c>
      <c r="CB26" s="22">
        <f t="shared" si="10"/>
        <v>282.56053853494797</v>
      </c>
      <c r="CC26" s="62">
        <f t="shared" si="11"/>
        <v>575.89387186828128</v>
      </c>
      <c r="CD26" s="62">
        <f ca="1">AVERAGE(OFFSET($CC$3,0,0,'Données projet'!$E$12+1,1))-AVERAGE(OFFSET($H$3,0,0,'Données projet'!$E$12+1,1))</f>
        <v>156.11420010556668</v>
      </c>
      <c r="CE26" s="62">
        <f t="shared" si="40"/>
        <v>318.01952986326501</v>
      </c>
      <c r="CF26" s="16">
        <f>IF(ISNA(VLOOKUP(A26,'Données projet'!$A$113:$I$133,3,0)),0,VLOOKUP(A26,'Données projet'!$A$113:$I$133,3,0))</f>
        <v>3</v>
      </c>
      <c r="CG26" s="16">
        <f>IF(ISNA(VLOOKUP(A26,'Données projet'!$A$113:$I$133,4,0)),0,VLOOKUP(A26,'Données projet'!$A$113:$I$133,4,0))</f>
        <v>52</v>
      </c>
      <c r="CH26" s="17">
        <f>IF(ISNA(VLOOKUP(A26,'Données projet'!$A$113:$I$133,5,0)),0%,VLOOKUP(A26,'Données projet'!$A$113:$I$133,5,0)*VLOOKUP('Données projet'!$B$12,Paramètres!$A$1:$I$89,7,0))</f>
        <v>0.22500000000000001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0.5</v>
      </c>
      <c r="CK26" s="23">
        <f>EXP(-LN(2)/35)*CK25+(1-EXP(-LN(2)/35))/(LN(2)/35)*CG26*CH26*VLOOKUP('Données projet'!$B$12,Paramètres!$A$1:$I$89,3,0)*0.475*44/12</f>
        <v>12.514679574103097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21.787120284157577</v>
      </c>
      <c r="CN26" s="24">
        <f t="shared" si="12"/>
        <v>34.301799858260672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21.612857142857145</v>
      </c>
      <c r="CT26" s="13">
        <f>IF('Données projet'!$A$140&gt;35,CT25+CS26-DB25,IF(A26&lt;'Données projet'!$A$140,$CQ$205^A26,IF(A26='Données projet'!$A$140,'Données projet'!$B$140,CT25+CS26-DB25)))</f>
        <v>173.79571428571433</v>
      </c>
      <c r="CU26" s="18">
        <f>CT26*VLOOKUP('Données projet'!$B$13,Paramètres!$A$1:$I$89,3,0)*VLOOKUP('Données projet'!$B$13,Paramètres!$A$1:$I$89,5,0)</f>
        <v>97.15180428571432</v>
      </c>
      <c r="CV26" s="14">
        <f t="shared" si="41"/>
        <v>26.282317303127122</v>
      </c>
      <c r="CW26" s="22">
        <f t="shared" si="13"/>
        <v>214.98109510056551</v>
      </c>
      <c r="CX26" s="62">
        <f t="shared" si="14"/>
        <v>508.3144284338988</v>
      </c>
      <c r="CY26" s="62">
        <f ca="1">AVERAGE(OFFSET($CX$3,0,0,'Données projet'!$E$13+1,1))-AVERAGE(OFFSET($H$3,0,0,'Données projet'!$E$13+1,1))</f>
        <v>321.56347025977988</v>
      </c>
      <c r="CZ26" s="62">
        <f t="shared" si="42"/>
        <v>285.79375360040717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7.5948715854163016</v>
      </c>
      <c r="DG26" s="23">
        <f>EXP(-LN(2)/25)*DG25+(1-EXP(-LN(2)/25))/(LN(2)/25)*Calculateur!DB26*Calculateur!DD26*VLOOKUP('Données projet'!$B$13,Paramètres!$A$1:$I$89,3,0)*0.475*44/12</f>
        <v>7.446057599694222</v>
      </c>
      <c r="DH26" s="23">
        <f>EXP(-LN(2)/2)*DH25+(1-EXP(-LN(2)/2))/(LN(2)/2)*DB26*DE26*VLOOKUP('Données projet'!$B$13,Paramètres!$A$1:$I$89,3,0)*0.475*44/12</f>
        <v>8.1747670063621758</v>
      </c>
      <c r="DI26" s="24">
        <f t="shared" si="15"/>
        <v>23.215696191472702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12.333333333333334</v>
      </c>
      <c r="DO26" s="13">
        <f>IF('Données projet'!$A$166&gt;35,DO25+DN26-DW25,IF(A26&lt;'Données projet'!$A$166,$DL$205^A26,IF(A26='Données projet'!$A$166,'Données projet'!$B$166,DO25+DN26-DW25)))</f>
        <v>119.33333333333334</v>
      </c>
      <c r="DP26" s="18">
        <f>DO26*VLOOKUP('Données projet'!$B$14,Paramètres!$A$1:$I$89,3,0)*VLOOKUP('Données projet'!$B$14,Paramètres!$A$1:$I$89,5,0)</f>
        <v>71.361333333333349</v>
      </c>
      <c r="DQ26" s="14">
        <f t="shared" si="43"/>
        <v>20.011144716858571</v>
      </c>
      <c r="DR26" s="22">
        <f t="shared" si="16"/>
        <v>159.14039927075092</v>
      </c>
      <c r="DS26" s="62">
        <f t="shared" si="17"/>
        <v>452.47373260408426</v>
      </c>
      <c r="DT26" s="62">
        <f ca="1">AVERAGE(OFFSET($DS$3,0,0,'Données projet'!$E$14+1,1))-AVERAGE(OFFSET($H$3,0,0,'Données projet'!$E$14+1,1))</f>
        <v>287.69656598881124</v>
      </c>
      <c r="DU26" s="62">
        <f t="shared" si="44"/>
        <v>221.9773436301067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7.6602282080754316</v>
      </c>
      <c r="ED26" s="24">
        <f t="shared" si="18"/>
        <v>7.6602282080754316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485.6874918520171</v>
      </c>
      <c r="S27" s="62">
        <f ca="1">AVERAGE(OFFSET($R$3,0,0,'Données projet'!$E$9+1,1))-AVERAGE(OFFSET($H$3,0,0,'Données projet'!$E$9+1,1))</f>
        <v>344.36303707479811</v>
      </c>
      <c r="T27" s="62">
        <f t="shared" si="34"/>
        <v>207.92972431357452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9.0238095238095237</v>
      </c>
      <c r="AI27" s="14">
        <f>IF('Données projet'!$A$62&gt;35,AI26+AH27-AQ26,IF(A27&lt;'Données projet'!$A$62,$AF$205^A27,IF(A27='Données projet'!$A$62,'Données projet'!$B$62,AI26+AH27-AQ26)))</f>
        <v>216.5714285714285</v>
      </c>
      <c r="AJ27" s="14">
        <f>AI27*VLOOKUP('Données projet'!$B$10,Paramètres!$A$1:$I$89,3,0)*VLOOKUP('Données projet'!$B$10,Paramètres!$A$1:$I$89,5,0)</f>
        <v>101.35542857142853</v>
      </c>
      <c r="AK27" s="14">
        <f t="shared" si="35"/>
        <v>27.284656258016717</v>
      </c>
      <c r="AL27" s="22">
        <f t="shared" si="4"/>
        <v>224.04814774461713</v>
      </c>
      <c r="AM27" s="62">
        <f t="shared" si="5"/>
        <v>517.38148107795041</v>
      </c>
      <c r="AN27" s="62">
        <f ca="1">AVERAGE(OFFSET($AM$3,0,0,'Données projet'!$E$10+1,1))-AVERAGE(OFFSET($H$3,0,0,'Données projet'!$E$10+1,1))</f>
        <v>273.94989417245978</v>
      </c>
      <c r="AO27" s="62">
        <f t="shared" si="36"/>
        <v>244.91615281423549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12.2</v>
      </c>
      <c r="BD27" s="13">
        <f>IF('Données projet'!$A$88&gt;35,BD26+BC27-BL26,IF(A27&lt;'Données projet'!$A$88,$BA$205^A27,IF(A27='Données projet'!$A$88,'Données projet'!$B$88,BD26+BC27-BL26)))</f>
        <v>130.79999999999998</v>
      </c>
      <c r="BE27" s="14">
        <f>BD27*VLOOKUP('Données projet'!$B$11,Paramètres!$A$1:$I$89,3,0)*VLOOKUP('Données projet'!$B$11,Paramètres!$A$1:$I$89,5,0)</f>
        <v>114.26687999999999</v>
      </c>
      <c r="BF27" s="14">
        <f t="shared" si="37"/>
        <v>30.334057329879929</v>
      </c>
      <c r="BG27" s="22">
        <f t="shared" si="7"/>
        <v>251.84663251620748</v>
      </c>
      <c r="BH27" s="62">
        <f t="shared" si="8"/>
        <v>545.17996584954085</v>
      </c>
      <c r="BI27" s="62">
        <f ca="1">AVERAGE(OFFSET($BH$3,0,0,'Données projet'!$E$11+1,1))-AVERAGE(OFFSET($H$3,0,0,'Données projet'!$E$11+1,1))</f>
        <v>247.81726778334098</v>
      </c>
      <c r="BJ27" s="62">
        <f t="shared" si="38"/>
        <v>278.55937893537259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7.2123197352435895</v>
      </c>
      <c r="BS27" s="24">
        <f t="shared" si="9"/>
        <v>7.2123197352435895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15.142857142857142</v>
      </c>
      <c r="BY27" s="13">
        <f>IF('Données projet'!$A$114&gt;35,BY26+BX27-CG26,IF(A27&lt;'Données projet'!$A$114,$BV$205^A27,IF(A27='Données projet'!$A$114,'Données projet'!$B$114,BY26+BX27-CG26)))</f>
        <v>178.14285714285717</v>
      </c>
      <c r="BZ27" s="14">
        <f>BY27*VLOOKUP('Données projet'!$B$12,Paramètres!$A$1:$I$89,3,0)*VLOOKUP('Données projet'!$B$12,Paramètres!$A$1:$I$89,5,0)</f>
        <v>106.5294285714286</v>
      </c>
      <c r="CA27" s="14">
        <f t="shared" si="39"/>
        <v>28.511771457031461</v>
      </c>
      <c r="CB27" s="22">
        <f t="shared" si="10"/>
        <v>235.19675671623455</v>
      </c>
      <c r="CC27" s="62">
        <f t="shared" si="11"/>
        <v>528.53009004956789</v>
      </c>
      <c r="CD27" s="62">
        <f ca="1">AVERAGE(OFFSET($CC$3,0,0,'Données projet'!$E$12+1,1))-AVERAGE(OFFSET($H$3,0,0,'Données projet'!$E$12+1,1))</f>
        <v>156.11420010556668</v>
      </c>
      <c r="CE27" s="62">
        <f t="shared" si="40"/>
        <v>318.01952986326501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12.269274340855759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15.405820495454805</v>
      </c>
      <c r="CN27" s="24">
        <f t="shared" si="12"/>
        <v>27.675094836310564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21.612857142857145</v>
      </c>
      <c r="CT27" s="13">
        <f>IF('Données projet'!$A$140&gt;35,CT26+CS27-DB26,IF(A27&lt;'Données projet'!$A$140,$CQ$205^A27,IF(A27='Données projet'!$A$140,'Données projet'!$B$140,CT26+CS27-DB26)))</f>
        <v>195.40857142857146</v>
      </c>
      <c r="CU27" s="18">
        <f>CT27*VLOOKUP('Données projet'!$B$13,Paramètres!$A$1:$I$89,3,0)*VLOOKUP('Données projet'!$B$13,Paramètres!$A$1:$I$89,5,0)</f>
        <v>109.23339142857145</v>
      </c>
      <c r="CV27" s="14">
        <f t="shared" si="41"/>
        <v>29.150292163037918</v>
      </c>
      <c r="CW27" s="22">
        <f t="shared" si="13"/>
        <v>241.018248922053</v>
      </c>
      <c r="CX27" s="62">
        <f t="shared" si="14"/>
        <v>534.35158225538635</v>
      </c>
      <c r="CY27" s="62">
        <f ca="1">AVERAGE(OFFSET($CX$3,0,0,'Données projet'!$E$13+1,1))-AVERAGE(OFFSET($H$3,0,0,'Données projet'!$E$13+1,1))</f>
        <v>321.56347025977988</v>
      </c>
      <c r="CZ27" s="62">
        <f t="shared" si="42"/>
        <v>285.79375360040717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7.4459407860405422</v>
      </c>
      <c r="DG27" s="23">
        <f>EXP(-LN(2)/25)*DG26+(1-EXP(-LN(2)/25))/(LN(2)/25)*Calculateur!DB27*Calculateur!DD27*VLOOKUP('Données projet'!$B$13,Paramètres!$A$1:$I$89,3,0)*0.475*44/12</f>
        <v>7.2424447630594324</v>
      </c>
      <c r="DH27" s="23">
        <f>EXP(-LN(2)/2)*DH26+(1-EXP(-LN(2)/2))/(LN(2)/2)*DB27*DE27*VLOOKUP('Données projet'!$B$13,Paramètres!$A$1:$I$89,3,0)*0.475*44/12</f>
        <v>5.7804331848187473</v>
      </c>
      <c r="DI27" s="24">
        <f t="shared" si="15"/>
        <v>20.468818733918724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12.333333333333334</v>
      </c>
      <c r="DO27" s="13">
        <f>IF('Données projet'!$A$166&gt;35,DO26+DN27-DW26,IF(A27&lt;'Données projet'!$A$166,$DL$205^A27,IF(A27='Données projet'!$A$166,'Données projet'!$B$166,DO26+DN27-DW26)))</f>
        <v>131.66666666666669</v>
      </c>
      <c r="DP27" s="18">
        <f>DO27*VLOOKUP('Données projet'!$B$14,Paramètres!$A$1:$I$89,3,0)*VLOOKUP('Données projet'!$B$14,Paramètres!$A$1:$I$89,5,0)</f>
        <v>78.736666666666679</v>
      </c>
      <c r="DQ27" s="14">
        <f t="shared" si="43"/>
        <v>21.828006984037064</v>
      </c>
      <c r="DR27" s="22">
        <f t="shared" si="16"/>
        <v>175.15013994164235</v>
      </c>
      <c r="DS27" s="62">
        <f t="shared" si="17"/>
        <v>468.48347327497567</v>
      </c>
      <c r="DT27" s="62">
        <f ca="1">AVERAGE(OFFSET($DS$3,0,0,'Données projet'!$E$14+1,1))-AVERAGE(OFFSET($H$3,0,0,'Données projet'!$E$14+1,1))</f>
        <v>287.69656598881124</v>
      </c>
      <c r="DU27" s="62">
        <f t="shared" si="44"/>
        <v>221.9773436301067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5.416599311366614</v>
      </c>
      <c r="ED27" s="24">
        <f t="shared" si="18"/>
        <v>5.416599311366614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499.7704125517941</v>
      </c>
      <c r="S28" s="62">
        <f ca="1">AVERAGE(OFFSET($R$3,0,0,'Données projet'!$E$9+1,1))-AVERAGE(OFFSET($H$3,0,0,'Données projet'!$E$9+1,1))</f>
        <v>344.36303707479811</v>
      </c>
      <c r="T28" s="62">
        <f t="shared" si="34"/>
        <v>207.92972431357452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9.0238095238095237</v>
      </c>
      <c r="AI28" s="14">
        <f>IF('Données projet'!$A$62&gt;35,AI27+AH28-AQ27,IF(A28&lt;'Données projet'!$A$62,$AF$205^A28,IF(A28='Données projet'!$A$62,'Données projet'!$B$62,AI27+AH28-AQ27)))</f>
        <v>225.59523809523802</v>
      </c>
      <c r="AJ28" s="14">
        <f>AI28*VLOOKUP('Données projet'!$B$10,Paramètres!$A$1:$I$89,3,0)*VLOOKUP('Données projet'!$B$10,Paramètres!$A$1:$I$89,5,0)</f>
        <v>105.57857142857139</v>
      </c>
      <c r="AK28" s="14">
        <f t="shared" si="35"/>
        <v>28.286787326736878</v>
      </c>
      <c r="AL28" s="22">
        <f t="shared" si="4"/>
        <v>233.14883316549523</v>
      </c>
      <c r="AM28" s="62">
        <f t="shared" si="5"/>
        <v>526.48216649882852</v>
      </c>
      <c r="AN28" s="62">
        <f ca="1">AVERAGE(OFFSET($AM$3,0,0,'Données projet'!$E$10+1,1))-AVERAGE(OFFSET($H$3,0,0,'Données projet'!$E$10+1,1))</f>
        <v>273.94989417245978</v>
      </c>
      <c r="AO28" s="62">
        <f t="shared" si="36"/>
        <v>244.91615281423549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143</v>
      </c>
      <c r="BB28" s="13">
        <f>VLOOKUP(A28,'Données projet'!$A$87:$I$107,9,0)</f>
        <v>12.2</v>
      </c>
      <c r="BC28" s="13">
        <f t="array" ref="BC28">INDEX(BB:BB,MIN(IF(ISNUMBER(BB28:BB224),ROW(BB28:BB224),"")))</f>
        <v>12.2</v>
      </c>
      <c r="BD28" s="13">
        <f>IF('Données projet'!$A$88&gt;35,BD27+BC28-BL27,IF(A28&lt;'Données projet'!$A$88,$BA$205^A28,IF(A28='Données projet'!$A$88,'Données projet'!$B$88,BD27+BC28-BL27)))</f>
        <v>142.99999999999997</v>
      </c>
      <c r="BE28" s="14">
        <f>BD28*VLOOKUP('Données projet'!$B$11,Paramètres!$A$1:$I$89,3,0)*VLOOKUP('Données projet'!$B$11,Paramètres!$A$1:$I$89,5,0)</f>
        <v>124.9248</v>
      </c>
      <c r="BF28" s="14">
        <f t="shared" si="37"/>
        <v>32.820925500842712</v>
      </c>
      <c r="BG28" s="22">
        <f t="shared" si="7"/>
        <v>274.74047191396772</v>
      </c>
      <c r="BH28" s="62">
        <f t="shared" si="8"/>
        <v>568.07380524730104</v>
      </c>
      <c r="BI28" s="62">
        <f ca="1">AVERAGE(OFFSET($BH$3,0,0,'Données projet'!$E$11+1,1))-AVERAGE(OFFSET($H$3,0,0,'Données projet'!$E$11+1,1))</f>
        <v>247.81726778334098</v>
      </c>
      <c r="BJ28" s="62">
        <f t="shared" si="38"/>
        <v>278.55937893537259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37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0.6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23.398565692580036</v>
      </c>
      <c r="BS28" s="24">
        <f t="shared" si="9"/>
        <v>23.398565692580036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15.142857142857142</v>
      </c>
      <c r="BY28" s="13">
        <f>IF('Données projet'!$A$114&gt;35,BY27+BX28-CG27,IF(A28&lt;'Données projet'!$A$114,$BV$205^A28,IF(A28='Données projet'!$A$114,'Données projet'!$B$114,BY27+BX28-CG27)))</f>
        <v>193.28571428571431</v>
      </c>
      <c r="BZ28" s="14">
        <f>BY28*VLOOKUP('Données projet'!$B$12,Paramètres!$A$1:$I$89,3,0)*VLOOKUP('Données projet'!$B$12,Paramètres!$A$1:$I$89,5,0)</f>
        <v>115.58485714285716</v>
      </c>
      <c r="CA28" s="14">
        <f t="shared" si="39"/>
        <v>30.643003864758004</v>
      </c>
      <c r="CB28" s="22">
        <f t="shared" si="10"/>
        <v>254.68019125492972</v>
      </c>
      <c r="CC28" s="62">
        <f t="shared" si="11"/>
        <v>548.01352458826307</v>
      </c>
      <c r="CD28" s="62">
        <f ca="1">AVERAGE(OFFSET($CC$3,0,0,'Données projet'!$E$12+1,1))-AVERAGE(OFFSET($H$3,0,0,'Données projet'!$E$12+1,1))</f>
        <v>156.11420010556668</v>
      </c>
      <c r="CE28" s="62">
        <f t="shared" si="40"/>
        <v>318.01952986326501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12.02868135454999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10.89356014207879</v>
      </c>
      <c r="CN28" s="24">
        <f t="shared" si="12"/>
        <v>22.922241496628779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21.612857142857145</v>
      </c>
      <c r="CT28" s="13">
        <f>IF('Données projet'!$A$140&gt;35,CT27+CS28-DB27,IF(A28&lt;'Données projet'!$A$140,$CQ$205^A28,IF(A28='Données projet'!$A$140,'Données projet'!$B$140,CT27+CS28-DB27)))</f>
        <v>217.0214285714286</v>
      </c>
      <c r="CU28" s="18">
        <f>CT28*VLOOKUP('Données projet'!$B$13,Paramètres!$A$1:$I$89,3,0)*VLOOKUP('Données projet'!$B$13,Paramètres!$A$1:$I$89,5,0)</f>
        <v>121.31497857142858</v>
      </c>
      <c r="CV28" s="14">
        <f t="shared" si="41"/>
        <v>31.981501643962339</v>
      </c>
      <c r="CW28" s="22">
        <f t="shared" si="13"/>
        <v>266.99136970847246</v>
      </c>
      <c r="CX28" s="62">
        <f t="shared" si="14"/>
        <v>560.32470304180583</v>
      </c>
      <c r="CY28" s="62">
        <f ca="1">AVERAGE(OFFSET($CX$3,0,0,'Données projet'!$E$13+1,1))-AVERAGE(OFFSET($H$3,0,0,'Données projet'!$E$13+1,1))</f>
        <v>321.56347025977988</v>
      </c>
      <c r="CZ28" s="62">
        <f t="shared" si="42"/>
        <v>285.79375360040717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7.2999304288017237</v>
      </c>
      <c r="DG28" s="23">
        <f>EXP(-LN(2)/25)*DG27+(1-EXP(-LN(2)/25))/(LN(2)/25)*Calculateur!DB28*Calculateur!DD28*VLOOKUP('Données projet'!$B$13,Paramètres!$A$1:$I$89,3,0)*0.475*44/12</f>
        <v>7.044399730149955</v>
      </c>
      <c r="DH28" s="23">
        <f>EXP(-LN(2)/2)*DH27+(1-EXP(-LN(2)/2))/(LN(2)/2)*DB28*DE28*VLOOKUP('Données projet'!$B$13,Paramètres!$A$1:$I$89,3,0)*0.475*44/12</f>
        <v>4.0873835031810879</v>
      </c>
      <c r="DI28" s="24">
        <f t="shared" si="15"/>
        <v>18.431713662132765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144</v>
      </c>
      <c r="DM28" s="13">
        <f>VLOOKUP(A28,'Données projet'!$A$165:$I$185,9,0)</f>
        <v>12.333333333333334</v>
      </c>
      <c r="DN28" s="13">
        <f t="array" ref="DN28">INDEX(DM:DM,MIN(IF(ISNUMBER(DM28:DM224),ROW(DM28:DM224),"")))</f>
        <v>12.333333333333334</v>
      </c>
      <c r="DO28" s="13">
        <f>IF('Données projet'!$A$166&gt;35,DO27+DN28-DW27,IF(A28&lt;'Données projet'!$A$166,$DL$205^A28,IF(A28='Données projet'!$A$166,'Données projet'!$B$166,DO27+DN28-DW27)))</f>
        <v>144.00000000000003</v>
      </c>
      <c r="DP28" s="18">
        <f>DO28*VLOOKUP('Données projet'!$B$14,Paramètres!$A$1:$I$89,3,0)*VLOOKUP('Données projet'!$B$14,Paramètres!$A$1:$I$89,5,0)</f>
        <v>86.112000000000009</v>
      </c>
      <c r="DQ28" s="14">
        <f t="shared" si="43"/>
        <v>23.625136642852297</v>
      </c>
      <c r="DR28" s="22">
        <f t="shared" si="16"/>
        <v>191.12551298630106</v>
      </c>
      <c r="DS28" s="62">
        <f t="shared" si="17"/>
        <v>484.4588463196344</v>
      </c>
      <c r="DT28" s="62">
        <f ca="1">AVERAGE(OFFSET($DS$3,0,0,'Données projet'!$E$14+1,1))-AVERAGE(OFFSET($H$3,0,0,'Données projet'!$E$14+1,1))</f>
        <v>287.69656598881124</v>
      </c>
      <c r="DU28" s="62">
        <f t="shared" si="44"/>
        <v>221.9773436301067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17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1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15.34038764069177</v>
      </c>
      <c r="ED28" s="24">
        <f t="shared" si="18"/>
        <v>15.34038764069177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462.94678562222634</v>
      </c>
      <c r="S29" s="62">
        <f ca="1">AVERAGE(OFFSET($R$3,0,0,'Données projet'!$E$9+1,1))-AVERAGE(OFFSET($H$3,0,0,'Données projet'!$E$9+1,1))</f>
        <v>344.36303707479811</v>
      </c>
      <c r="T29" s="62">
        <f t="shared" si="34"/>
        <v>207.92972431357452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9.0238095238095237</v>
      </c>
      <c r="AI29" s="14">
        <f>IF('Données projet'!$A$62&gt;35,AI28+AH29-AQ28,IF(A29&lt;'Données projet'!$A$62,$AF$205^A29,IF(A29='Données projet'!$A$62,'Données projet'!$B$62,AI28+AH29-AQ28)))</f>
        <v>234.61904761904754</v>
      </c>
      <c r="AJ29" s="14">
        <f>AI29*VLOOKUP('Données projet'!$B$10,Paramètres!$A$1:$I$89,3,0)*VLOOKUP('Données projet'!$B$10,Paramètres!$A$1:$I$89,5,0)</f>
        <v>109.80171428571424</v>
      </c>
      <c r="AK29" s="14">
        <f t="shared" si="35"/>
        <v>29.28426200720655</v>
      </c>
      <c r="AL29" s="22">
        <f t="shared" si="4"/>
        <v>242.24140871017039</v>
      </c>
      <c r="AM29" s="62">
        <f t="shared" si="5"/>
        <v>535.57474204350365</v>
      </c>
      <c r="AN29" s="62">
        <f ca="1">AVERAGE(OFFSET($AM$3,0,0,'Données projet'!$E$10+1,1))-AVERAGE(OFFSET($H$3,0,0,'Données projet'!$E$10+1,1))</f>
        <v>273.94989417245978</v>
      </c>
      <c r="AO29" s="62">
        <f t="shared" si="36"/>
        <v>244.91615281423549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11.4</v>
      </c>
      <c r="BD29" s="13">
        <f>IF('Données projet'!$A$88&gt;35,BD28+BC29-BL28,IF(A29&lt;'Données projet'!$A$88,$BA$205^A29,IF(A29='Données projet'!$A$88,'Données projet'!$B$88,BD28+BC29-BL28)))</f>
        <v>117.39999999999998</v>
      </c>
      <c r="BE29" s="14">
        <f>BD29*VLOOKUP('Données projet'!$B$11,Paramètres!$A$1:$I$89,3,0)*VLOOKUP('Données projet'!$B$11,Paramètres!$A$1:$I$89,5,0)</f>
        <v>102.56064000000001</v>
      </c>
      <c r="BF29" s="14">
        <f t="shared" si="37"/>
        <v>27.571134131783779</v>
      </c>
      <c r="BG29" s="22">
        <f t="shared" si="7"/>
        <v>226.64617327952342</v>
      </c>
      <c r="BH29" s="62">
        <f t="shared" si="8"/>
        <v>519.97950661285677</v>
      </c>
      <c r="BI29" s="62">
        <f ca="1">AVERAGE(OFFSET($BH$3,0,0,'Données projet'!$E$11+1,1))-AVERAGE(OFFSET($H$3,0,0,'Données projet'!$E$11+1,1))</f>
        <v>247.81726778334098</v>
      </c>
      <c r="BJ29" s="62">
        <f t="shared" si="38"/>
        <v>278.55937893537259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16.545284471262249</v>
      </c>
      <c r="BS29" s="24">
        <f t="shared" si="9"/>
        <v>16.545284471262249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15.142857142857142</v>
      </c>
      <c r="BY29" s="13">
        <f>IF('Données projet'!$A$114&gt;35,BY28+BX29-CG28,IF(A29&lt;'Données projet'!$A$114,$BV$205^A29,IF(A29='Données projet'!$A$114,'Données projet'!$B$114,BY28+BX29-CG28)))</f>
        <v>208.42857142857144</v>
      </c>
      <c r="BZ29" s="14">
        <f>BY29*VLOOKUP('Données projet'!$B$12,Paramètres!$A$1:$I$89,3,0)*VLOOKUP('Données projet'!$B$12,Paramètres!$A$1:$I$89,5,0)</f>
        <v>124.64028571428574</v>
      </c>
      <c r="CA29" s="14">
        <f t="shared" si="39"/>
        <v>32.754868392894572</v>
      </c>
      <c r="CB29" s="22">
        <f t="shared" si="10"/>
        <v>274.129893403339</v>
      </c>
      <c r="CC29" s="62">
        <f t="shared" si="11"/>
        <v>567.46322673667237</v>
      </c>
      <c r="CD29" s="62">
        <f ca="1">AVERAGE(OFFSET($CC$3,0,0,'Données projet'!$E$12+1,1))-AVERAGE(OFFSET($H$3,0,0,'Données projet'!$E$12+1,1))</f>
        <v>156.11420010556668</v>
      </c>
      <c r="CE29" s="62">
        <f t="shared" si="40"/>
        <v>318.01952986326501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11.792806249958446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7.7029102477274032</v>
      </c>
      <c r="CN29" s="24">
        <f t="shared" si="12"/>
        <v>19.495716497685848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21.612857142857145</v>
      </c>
      <c r="CT29" s="13">
        <f>IF('Données projet'!$A$140&gt;35,CT28+CS29-DB28,IF(A29&lt;'Données projet'!$A$140,$CQ$205^A29,IF(A29='Données projet'!$A$140,'Données projet'!$B$140,CT28+CS29-DB28)))</f>
        <v>238.63428571428574</v>
      </c>
      <c r="CU29" s="18">
        <f>CT29*VLOOKUP('Données projet'!$B$13,Paramètres!$A$1:$I$89,3,0)*VLOOKUP('Données projet'!$B$13,Paramètres!$A$1:$I$89,5,0)</f>
        <v>133.39656571428571</v>
      </c>
      <c r="CV29" s="14">
        <f t="shared" si="41"/>
        <v>34.780023938654864</v>
      </c>
      <c r="CW29" s="22">
        <f t="shared" si="13"/>
        <v>292.90756031220479</v>
      </c>
      <c r="CX29" s="62">
        <f t="shared" si="14"/>
        <v>586.24089364553811</v>
      </c>
      <c r="CY29" s="62">
        <f ca="1">AVERAGE(OFFSET($CX$3,0,0,'Données projet'!$E$13+1,1))-AVERAGE(OFFSET($H$3,0,0,'Données projet'!$E$13+1,1))</f>
        <v>321.56347025977988</v>
      </c>
      <c r="CZ29" s="62">
        <f t="shared" si="42"/>
        <v>285.79375360040717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7.1567832456108338</v>
      </c>
      <c r="DG29" s="23">
        <f>EXP(-LN(2)/25)*DG28+(1-EXP(-LN(2)/25))/(LN(2)/25)*Calculateur!DB29*Calculateur!DD29*VLOOKUP('Données projet'!$B$13,Paramètres!$A$1:$I$89,3,0)*0.475*44/12</f>
        <v>6.8517702490801229</v>
      </c>
      <c r="DH29" s="23">
        <f>EXP(-LN(2)/2)*DH28+(1-EXP(-LN(2)/2))/(LN(2)/2)*DB29*DE29*VLOOKUP('Données projet'!$B$13,Paramètres!$A$1:$I$89,3,0)*0.475*44/12</f>
        <v>2.8902165924093737</v>
      </c>
      <c r="DI29" s="24">
        <f t="shared" si="15"/>
        <v>16.898770087100331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13.4</v>
      </c>
      <c r="DO29" s="13">
        <f>IF('Données projet'!$A$166&gt;35,DO28+DN29-DW28,IF(A29&lt;'Données projet'!$A$166,$DL$205^A29,IF(A29='Données projet'!$A$166,'Données projet'!$B$166,DO28+DN29-DW28)))</f>
        <v>140.40000000000003</v>
      </c>
      <c r="DP29" s="18">
        <f>DO29*VLOOKUP('Données projet'!$B$14,Paramètres!$A$1:$I$89,3,0)*VLOOKUP('Données projet'!$B$14,Paramètres!$A$1:$I$89,5,0)</f>
        <v>83.959200000000024</v>
      </c>
      <c r="DQ29" s="14">
        <f t="shared" si="43"/>
        <v>23.102490880810642</v>
      </c>
      <c r="DR29" s="22">
        <f t="shared" si="16"/>
        <v>186.46577828407854</v>
      </c>
      <c r="DS29" s="62">
        <f t="shared" si="17"/>
        <v>479.79911161741188</v>
      </c>
      <c r="DT29" s="62">
        <f ca="1">AVERAGE(OFFSET($DS$3,0,0,'Données projet'!$E$14+1,1))-AVERAGE(OFFSET($H$3,0,0,'Données projet'!$E$14+1,1))</f>
        <v>287.69656598881124</v>
      </c>
      <c r="DU29" s="62">
        <f t="shared" si="44"/>
        <v>221.9773436301067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10.847292126763454</v>
      </c>
      <c r="ED29" s="24">
        <f t="shared" si="18"/>
        <v>10.847292126763454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480.9879370704989</v>
      </c>
      <c r="S30" s="62">
        <f ca="1">AVERAGE(OFFSET($R$3,0,0,'Données projet'!$E$9+1,1))-AVERAGE(OFFSET($H$3,0,0,'Données projet'!$E$9+1,1))</f>
        <v>344.36303707479811</v>
      </c>
      <c r="T30" s="62">
        <f t="shared" si="34"/>
        <v>207.92972431357452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9.0238095238095237</v>
      </c>
      <c r="AI30" s="14">
        <f>IF('Données projet'!$A$62&gt;35,AI29+AH30-AQ29,IF(A30&lt;'Données projet'!$A$62,$AF$205^A30,IF(A30='Données projet'!$A$62,'Données projet'!$B$62,AI29+AH30-AQ29)))</f>
        <v>243.64285714285705</v>
      </c>
      <c r="AJ30" s="14">
        <f>AI30*VLOOKUP('Données projet'!$B$10,Paramètres!$A$1:$I$89,3,0)*VLOOKUP('Données projet'!$B$10,Paramètres!$A$1:$I$89,5,0)</f>
        <v>114.0248571428571</v>
      </c>
      <c r="AK30" s="14">
        <f t="shared" si="35"/>
        <v>30.277279890890583</v>
      </c>
      <c r="AL30" s="22">
        <f t="shared" si="4"/>
        <v>251.32622200044386</v>
      </c>
      <c r="AM30" s="62">
        <f t="shared" si="5"/>
        <v>544.65955533377723</v>
      </c>
      <c r="AN30" s="62">
        <f ca="1">AVERAGE(OFFSET($AM$3,0,0,'Données projet'!$E$10+1,1))-AVERAGE(OFFSET($H$3,0,0,'Données projet'!$E$10+1,1))</f>
        <v>273.94989417245978</v>
      </c>
      <c r="AO30" s="62">
        <f t="shared" si="36"/>
        <v>244.91615281423549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11.4</v>
      </c>
      <c r="BD30" s="13">
        <f>IF('Données projet'!$A$88&gt;35,BD29+BC30-BL29,IF(A30&lt;'Données projet'!$A$88,$BA$205^A30,IF(A30='Données projet'!$A$88,'Données projet'!$B$88,BD29+BC30-BL29)))</f>
        <v>128.79999999999998</v>
      </c>
      <c r="BE30" s="14">
        <f>BD30*VLOOKUP('Données projet'!$B$11,Paramètres!$A$1:$I$89,3,0)*VLOOKUP('Données projet'!$B$11,Paramètres!$A$1:$I$89,5,0)</f>
        <v>112.51968000000001</v>
      </c>
      <c r="BF30" s="14">
        <f t="shared" si="37"/>
        <v>29.923856072189899</v>
      </c>
      <c r="BG30" s="22">
        <f t="shared" si="7"/>
        <v>248.08915865906408</v>
      </c>
      <c r="BH30" s="62">
        <f t="shared" si="8"/>
        <v>541.42249199239745</v>
      </c>
      <c r="BI30" s="62">
        <f ca="1">AVERAGE(OFFSET($BH$3,0,0,'Données projet'!$E$11+1,1))-AVERAGE(OFFSET($H$3,0,0,'Données projet'!$E$11+1,1))</f>
        <v>247.81726778334098</v>
      </c>
      <c r="BJ30" s="62">
        <f t="shared" si="38"/>
        <v>278.55937893537259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11.69928284629002</v>
      </c>
      <c r="BS30" s="24">
        <f t="shared" si="9"/>
        <v>11.69928284629002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15.142857142857142</v>
      </c>
      <c r="BY30" s="13">
        <f>IF('Données projet'!$A$114&gt;35,BY29+BX30-CG29,IF(A30&lt;'Données projet'!$A$114,$BV$205^A30,IF(A30='Données projet'!$A$114,'Données projet'!$B$114,BY29+BX30-CG29)))</f>
        <v>223.57142857142858</v>
      </c>
      <c r="BZ30" s="14">
        <f>BY30*VLOOKUP('Données projet'!$B$12,Paramètres!$A$1:$I$89,3,0)*VLOOKUP('Données projet'!$B$12,Paramètres!$A$1:$I$89,5,0)</f>
        <v>133.6957142857143</v>
      </c>
      <c r="CA30" s="14">
        <f t="shared" si="39"/>
        <v>34.848932189999701</v>
      </c>
      <c r="CB30" s="22">
        <f t="shared" si="10"/>
        <v>293.54859261186851</v>
      </c>
      <c r="CC30" s="62">
        <f t="shared" si="11"/>
        <v>586.88192594520183</v>
      </c>
      <c r="CD30" s="62">
        <f ca="1">AVERAGE(OFFSET($CC$3,0,0,'Données projet'!$E$12+1,1))-AVERAGE(OFFSET($H$3,0,0,'Données projet'!$E$12+1,1))</f>
        <v>156.11420010556668</v>
      </c>
      <c r="CE30" s="62">
        <f t="shared" si="40"/>
        <v>318.01952986326501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11.561556512298333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5.4467800710393961</v>
      </c>
      <c r="CN30" s="24">
        <f t="shared" si="12"/>
        <v>17.00833658333773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21.612857142857145</v>
      </c>
      <c r="CT30" s="13">
        <f>IF('Données projet'!$A$140&gt;35,CT29+CS30-DB29,IF(A30&lt;'Données projet'!$A$140,$CQ$205^A30,IF(A30='Données projet'!$A$140,'Données projet'!$B$140,CT29+CS30-DB29)))</f>
        <v>260.24714285714288</v>
      </c>
      <c r="CU30" s="18">
        <f>CT30*VLOOKUP('Données projet'!$B$13,Paramètres!$A$1:$I$89,3,0)*VLOOKUP('Données projet'!$B$13,Paramètres!$A$1:$I$89,5,0)</f>
        <v>145.47815285714287</v>
      </c>
      <c r="CV30" s="14">
        <f t="shared" si="41"/>
        <v>37.54915616665005</v>
      </c>
      <c r="CW30" s="22">
        <f t="shared" si="13"/>
        <v>318.77256321643932</v>
      </c>
      <c r="CX30" s="62">
        <f t="shared" si="14"/>
        <v>612.10589654977264</v>
      </c>
      <c r="CY30" s="62">
        <f ca="1">AVERAGE(OFFSET($CX$3,0,0,'Données projet'!$E$13+1,1))-AVERAGE(OFFSET($H$3,0,0,'Données projet'!$E$13+1,1))</f>
        <v>321.56347025977988</v>
      </c>
      <c r="CZ30" s="62">
        <f t="shared" si="42"/>
        <v>285.79375360040717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7.0164430913711566</v>
      </c>
      <c r="DG30" s="23">
        <f>EXP(-LN(2)/25)*DG29+(1-EXP(-LN(2)/25))/(LN(2)/25)*Calculateur!DB30*Calculateur!DD30*VLOOKUP('Données projet'!$B$13,Paramètres!$A$1:$I$89,3,0)*0.475*44/12</f>
        <v>6.6644082313000892</v>
      </c>
      <c r="DH30" s="23">
        <f>EXP(-LN(2)/2)*DH29+(1-EXP(-LN(2)/2))/(LN(2)/2)*DB30*DE30*VLOOKUP('Données projet'!$B$13,Paramètres!$A$1:$I$89,3,0)*0.475*44/12</f>
        <v>2.0436917515905439</v>
      </c>
      <c r="DI30" s="24">
        <f t="shared" si="15"/>
        <v>15.724543074261788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13.4</v>
      </c>
      <c r="DO30" s="13">
        <f>IF('Données projet'!$A$166&gt;35,DO29+DN30-DW29,IF(A30&lt;'Données projet'!$A$166,$DL$205^A30,IF(A30='Données projet'!$A$166,'Données projet'!$B$166,DO29+DN30-DW29)))</f>
        <v>153.80000000000004</v>
      </c>
      <c r="DP30" s="18">
        <f>DO30*VLOOKUP('Données projet'!$B$14,Paramètres!$A$1:$I$89,3,0)*VLOOKUP('Données projet'!$B$14,Paramètres!$A$1:$I$89,5,0)</f>
        <v>91.972400000000022</v>
      </c>
      <c r="DQ30" s="14">
        <f t="shared" si="43"/>
        <v>25.040318527820091</v>
      </c>
      <c r="DR30" s="22">
        <f t="shared" si="16"/>
        <v>203.79715143595334</v>
      </c>
      <c r="DS30" s="62">
        <f t="shared" si="17"/>
        <v>497.13048476928668</v>
      </c>
      <c r="DT30" s="62">
        <f ca="1">AVERAGE(OFFSET($DS$3,0,0,'Données projet'!$E$14+1,1))-AVERAGE(OFFSET($H$3,0,0,'Données projet'!$E$14+1,1))</f>
        <v>287.69656598881124</v>
      </c>
      <c r="DU30" s="62">
        <f t="shared" si="44"/>
        <v>221.9773436301067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7.6701938203458866</v>
      </c>
      <c r="ED30" s="24">
        <f t="shared" si="18"/>
        <v>7.6701938203458866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498.9886264212779</v>
      </c>
      <c r="S31" s="62">
        <f ca="1">AVERAGE(OFFSET($R$3,0,0,'Données projet'!$E$9+1,1))-AVERAGE(OFFSET($H$3,0,0,'Données projet'!$E$9+1,1))</f>
        <v>344.36303707479811</v>
      </c>
      <c r="T31" s="62">
        <f t="shared" si="34"/>
        <v>207.92972431357452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9.0238095238095237</v>
      </c>
      <c r="AI31" s="14">
        <f>IF('Données projet'!$A$62&gt;35,AI30+AH31-AQ30,IF(A31&lt;'Données projet'!$A$62,$AF$205^A31,IF(A31='Données projet'!$A$62,'Données projet'!$B$62,AI30+AH31-AQ30)))</f>
        <v>252.66666666666657</v>
      </c>
      <c r="AJ31" s="14">
        <f>AI31*VLOOKUP('Données projet'!$B$10,Paramètres!$A$1:$I$89,3,0)*VLOOKUP('Données projet'!$B$10,Paramètres!$A$1:$I$89,5,0)</f>
        <v>118.24799999999996</v>
      </c>
      <c r="AK31" s="14">
        <f t="shared" si="35"/>
        <v>31.266024947011953</v>
      </c>
      <c r="AL31" s="22">
        <f t="shared" si="4"/>
        <v>260.40359344937906</v>
      </c>
      <c r="AM31" s="62">
        <f t="shared" si="5"/>
        <v>553.73692678271232</v>
      </c>
      <c r="AN31" s="62">
        <f ca="1">AVERAGE(OFFSET($AM$3,0,0,'Données projet'!$E$10+1,1))-AVERAGE(OFFSET($H$3,0,0,'Données projet'!$E$10+1,1))</f>
        <v>273.94989417245978</v>
      </c>
      <c r="AO31" s="62">
        <f t="shared" si="36"/>
        <v>244.91615281423549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11.4</v>
      </c>
      <c r="BD31" s="13">
        <f>IF('Données projet'!$A$88&gt;35,BD30+BC31-BL30,IF(A31&lt;'Données projet'!$A$88,$BA$205^A31,IF(A31='Données projet'!$A$88,'Données projet'!$B$88,BD30+BC31-BL30)))</f>
        <v>140.19999999999999</v>
      </c>
      <c r="BE31" s="14">
        <f>BD31*VLOOKUP('Données projet'!$B$11,Paramètres!$A$1:$I$89,3,0)*VLOOKUP('Données projet'!$B$11,Paramètres!$A$1:$I$89,5,0)</f>
        <v>122.47872000000001</v>
      </c>
      <c r="BF31" s="14">
        <f t="shared" si="37"/>
        <v>32.252430308904003</v>
      </c>
      <c r="BG31" s="22">
        <f t="shared" si="7"/>
        <v>269.49008678800777</v>
      </c>
      <c r="BH31" s="62">
        <f t="shared" si="8"/>
        <v>562.82342012134109</v>
      </c>
      <c r="BI31" s="62">
        <f ca="1">AVERAGE(OFFSET($BH$3,0,0,'Données projet'!$E$11+1,1))-AVERAGE(OFFSET($H$3,0,0,'Données projet'!$E$11+1,1))</f>
        <v>247.81726778334098</v>
      </c>
      <c r="BJ31" s="62">
        <f t="shared" si="38"/>
        <v>278.55937893537259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8.2726422356311264</v>
      </c>
      <c r="BS31" s="24">
        <f t="shared" si="9"/>
        <v>8.2726422356311264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15.142857142857142</v>
      </c>
      <c r="BY31" s="13">
        <f>IF('Données projet'!$A$114&gt;35,BY30+BX31-CG30,IF(A31&lt;'Données projet'!$A$114,$BV$205^A31,IF(A31='Données projet'!$A$114,'Données projet'!$B$114,BY30+BX31-CG30)))</f>
        <v>238.71428571428572</v>
      </c>
      <c r="BZ31" s="14">
        <f>BY31*VLOOKUP('Données projet'!$B$12,Paramètres!$A$1:$I$89,3,0)*VLOOKUP('Données projet'!$B$12,Paramètres!$A$1:$I$89,5,0)</f>
        <v>142.75114285714287</v>
      </c>
      <c r="CA31" s="14">
        <f t="shared" si="39"/>
        <v>36.926538099571019</v>
      </c>
      <c r="CB31" s="22">
        <f t="shared" si="10"/>
        <v>312.93862766627666</v>
      </c>
      <c r="CC31" s="62">
        <f t="shared" si="11"/>
        <v>606.27196099960997</v>
      </c>
      <c r="CD31" s="62">
        <f ca="1">AVERAGE(OFFSET($CC$3,0,0,'Données projet'!$E$12+1,1))-AVERAGE(OFFSET($H$3,0,0,'Données projet'!$E$12+1,1))</f>
        <v>156.11420010556668</v>
      </c>
      <c r="CE31" s="62">
        <f t="shared" si="40"/>
        <v>318.01952986326501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11.334841440945322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3.8514551238637025</v>
      </c>
      <c r="CN31" s="24">
        <f t="shared" si="12"/>
        <v>15.186296564809025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>
        <f>VLOOKUP(A31,'Données projet'!$A$139:$I$159,2,0)</f>
        <v>281.86</v>
      </c>
      <c r="CR31" s="13">
        <f>VLOOKUP(A31,'Données projet'!$A$139:$I$159,9,0)</f>
        <v>21.612857142857145</v>
      </c>
      <c r="CS31" s="13">
        <f t="array" ref="CS31">INDEX(CR:CR,MIN(IF(ISNUMBER(CR31:CR227),ROW(CR31:CR227),"")))</f>
        <v>21.612857142857145</v>
      </c>
      <c r="CT31" s="13">
        <f>IF('Données projet'!$A$140&gt;35,CT30+CS31-DB30,IF(A31&lt;'Données projet'!$A$140,$CQ$205^A31,IF(A31='Données projet'!$A$140,'Données projet'!$B$140,CT30+CS31-DB30)))</f>
        <v>281.86</v>
      </c>
      <c r="CU31" s="18">
        <f>CT31*VLOOKUP('Données projet'!$B$13,Paramètres!$A$1:$I$89,3,0)*VLOOKUP('Données projet'!$B$13,Paramètres!$A$1:$I$89,5,0)</f>
        <v>157.55974000000001</v>
      </c>
      <c r="CV31" s="14">
        <f t="shared" si="41"/>
        <v>40.291616590408985</v>
      </c>
      <c r="CW31" s="22">
        <f t="shared" si="13"/>
        <v>344.59111272829563</v>
      </c>
      <c r="CX31" s="62">
        <f t="shared" si="14"/>
        <v>637.92444606162894</v>
      </c>
      <c r="CY31" s="62">
        <f ca="1">AVERAGE(OFFSET($CX$3,0,0,'Données projet'!$E$13+1,1))-AVERAGE(OFFSET($H$3,0,0,'Données projet'!$E$13+1,1))</f>
        <v>321.56347025977988</v>
      </c>
      <c r="CZ31" s="62">
        <f t="shared" si="42"/>
        <v>285.79375360040717</v>
      </c>
      <c r="DA31" s="16">
        <f>IF(ISNA(VLOOKUP(A31,'Données projet'!$A$139:$I$159,3,0)),0,VLOOKUP(A31,'Données projet'!$A$139:$I$159,3,0))</f>
        <v>3</v>
      </c>
      <c r="DB31" s="16">
        <f>IF(ISNA(VLOOKUP(A31,'Données projet'!$A$139:$I$159,4,0)),0,VLOOKUP(A31,'Données projet'!$A$139:$I$159,4,0))</f>
        <v>67.61</v>
      </c>
      <c r="DC31" s="17">
        <f>IF(ISNA(VLOOKUP(A31,'Données projet'!$A$139:$I$159,5,0)),0%,VLOOKUP(A31,'Données projet'!$A$139:$I$159,5,0)*VLOOKUP('Données projet'!$B$13,Paramètres!$A$1:$I$89,7,0))</f>
        <v>0.27500000000000002</v>
      </c>
      <c r="DD31" s="17">
        <f>IF(ISNA(VLOOKUP(A31,'Données projet'!$A$139:$I$159,6,0)),0%,VLOOKUP(A31,'Données projet'!$A$139:$I$159,6,0)*VLOOKUP('Données projet'!$B$13,Paramètres!$A$1:$I$89,7,0))</f>
        <v>0.11000000000000001</v>
      </c>
      <c r="DE31" s="17">
        <f>IF(ISNA(VLOOKUP(A31,'Données projet'!$A$139:$I$159,7,0)),0%,VLOOKUP(A31,'Données projet'!$A$139:$I$159,7,0))</f>
        <v>0.3</v>
      </c>
      <c r="DF31" s="23">
        <f>EXP(-LN(2)/35)*DF30+(1-EXP(-LN(2)/35))/(LN(2)/35)*DB31*DC31*VLOOKUP('Données projet'!$B$13,Paramètres!$A$1:$I$89,3,0)*0.475*44/12</f>
        <v>20.666299956847375</v>
      </c>
      <c r="DG31" s="23">
        <f>EXP(-LN(2)/25)*DG30+(1-EXP(-LN(2)/25))/(LN(2)/25)*Calculateur!DB31*Calculateur!DD31*VLOOKUP('Données projet'!$B$13,Paramètres!$A$1:$I$89,3,0)*0.475*44/12</f>
        <v>11.975433081892994</v>
      </c>
      <c r="DH31" s="23">
        <f>EXP(-LN(2)/2)*DH30+(1-EXP(-LN(2)/2))/(LN(2)/2)*DB31*DE31*VLOOKUP('Données projet'!$B$13,Paramètres!$A$1:$I$89,3,0)*0.475*44/12</f>
        <v>14.282581135322367</v>
      </c>
      <c r="DI31" s="24">
        <f t="shared" si="15"/>
        <v>46.924314174062737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13.4</v>
      </c>
      <c r="DO31" s="13">
        <f>IF('Données projet'!$A$166&gt;35,DO30+DN31-DW30,IF(A31&lt;'Données projet'!$A$166,$DL$205^A31,IF(A31='Données projet'!$A$166,'Données projet'!$B$166,DO30+DN31-DW30)))</f>
        <v>167.20000000000005</v>
      </c>
      <c r="DP31" s="18">
        <f>DO31*VLOOKUP('Données projet'!$B$14,Paramètres!$A$1:$I$89,3,0)*VLOOKUP('Données projet'!$B$14,Paramètres!$A$1:$I$89,5,0)</f>
        <v>99.985600000000034</v>
      </c>
      <c r="DQ31" s="14">
        <f t="shared" si="43"/>
        <v>26.958566918169435</v>
      </c>
      <c r="DR31" s="22">
        <f t="shared" si="16"/>
        <v>221.09442404914515</v>
      </c>
      <c r="DS31" s="62">
        <f t="shared" si="17"/>
        <v>514.42775738247849</v>
      </c>
      <c r="DT31" s="62">
        <f ca="1">AVERAGE(OFFSET($DS$3,0,0,'Données projet'!$E$14+1,1))-AVERAGE(OFFSET($H$3,0,0,'Données projet'!$E$14+1,1))</f>
        <v>287.69656598881124</v>
      </c>
      <c r="DU31" s="62">
        <f t="shared" si="44"/>
        <v>221.9773436301067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5.4236460633817281</v>
      </c>
      <c r="ED31" s="24">
        <f t="shared" si="18"/>
        <v>5.4236460633817281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516.95289444408968</v>
      </c>
      <c r="S32" s="62">
        <f ca="1">AVERAGE(OFFSET($R$3,0,0,'Données projet'!$E$9+1,1))-AVERAGE(OFFSET($H$3,0,0,'Données projet'!$E$9+1,1))</f>
        <v>344.36303707479811</v>
      </c>
      <c r="T32" s="62">
        <f t="shared" si="34"/>
        <v>207.92972431357452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9.0238095238095237</v>
      </c>
      <c r="AI32" s="14">
        <f>IF('Données projet'!$A$62&gt;35,AI31+AH32-AQ31,IF(A32&lt;'Données projet'!$A$62,$AF$205^A32,IF(A32='Données projet'!$A$62,'Données projet'!$B$62,AI31+AH32-AQ31)))</f>
        <v>261.69047619047609</v>
      </c>
      <c r="AJ32" s="14">
        <f>AI32*VLOOKUP('Données projet'!$B$10,Paramètres!$A$1:$I$89,3,0)*VLOOKUP('Données projet'!$B$10,Paramètres!$A$1:$I$89,5,0)</f>
        <v>122.47114285714281</v>
      </c>
      <c r="AK32" s="14">
        <f t="shared" si="35"/>
        <v>32.250667259213493</v>
      </c>
      <c r="AL32" s="22">
        <f t="shared" si="4"/>
        <v>269.47381928598719</v>
      </c>
      <c r="AM32" s="62">
        <f t="shared" si="5"/>
        <v>562.8071526193205</v>
      </c>
      <c r="AN32" s="62">
        <f ca="1">AVERAGE(OFFSET($AM$3,0,0,'Données projet'!$E$10+1,1))-AVERAGE(OFFSET($H$3,0,0,'Données projet'!$E$10+1,1))</f>
        <v>273.94989417245978</v>
      </c>
      <c r="AO32" s="62">
        <f t="shared" si="36"/>
        <v>244.91615281423549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11.4</v>
      </c>
      <c r="BD32" s="13">
        <f>IF('Données projet'!$A$88&gt;35,BD31+BC32-BL31,IF(A32&lt;'Données projet'!$A$88,$BA$205^A32,IF(A32='Données projet'!$A$88,'Données projet'!$B$88,BD31+BC32-BL31)))</f>
        <v>151.6</v>
      </c>
      <c r="BE32" s="14">
        <f>BD32*VLOOKUP('Données projet'!$B$11,Paramètres!$A$1:$I$89,3,0)*VLOOKUP('Données projet'!$B$11,Paramètres!$A$1:$I$89,5,0)</f>
        <v>132.43776</v>
      </c>
      <c r="BF32" s="14">
        <f t="shared" si="37"/>
        <v>34.559043580858436</v>
      </c>
      <c r="BG32" s="22">
        <f t="shared" si="7"/>
        <v>290.85276623666175</v>
      </c>
      <c r="BH32" s="62">
        <f t="shared" si="8"/>
        <v>584.18609956999512</v>
      </c>
      <c r="BI32" s="62">
        <f ca="1">AVERAGE(OFFSET($BH$3,0,0,'Données projet'!$E$11+1,1))-AVERAGE(OFFSET($H$3,0,0,'Données projet'!$E$11+1,1))</f>
        <v>247.81726778334098</v>
      </c>
      <c r="BJ32" s="62">
        <f t="shared" si="38"/>
        <v>278.55937893537259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5.8496414231450107</v>
      </c>
      <c r="BS32" s="24">
        <f t="shared" si="9"/>
        <v>5.8496414231450107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15.142857142857142</v>
      </c>
      <c r="BY32" s="13">
        <f>IF('Données projet'!$A$114&gt;35,BY31+BX32-CG31,IF(A32&lt;'Données projet'!$A$114,$BV$205^A32,IF(A32='Données projet'!$A$114,'Données projet'!$B$114,BY31+BX32-CG31)))</f>
        <v>253.85714285714286</v>
      </c>
      <c r="BZ32" s="14">
        <f>BY32*VLOOKUP('Données projet'!$B$12,Paramètres!$A$1:$I$89,3,0)*VLOOKUP('Données projet'!$B$12,Paramètres!$A$1:$I$89,5,0)</f>
        <v>151.80657142857146</v>
      </c>
      <c r="CA32" s="14">
        <f t="shared" si="39"/>
        <v>38.988848967460292</v>
      </c>
      <c r="CB32" s="22">
        <f t="shared" si="10"/>
        <v>332.30202385642195</v>
      </c>
      <c r="CC32" s="62">
        <f t="shared" si="11"/>
        <v>625.63535718975527</v>
      </c>
      <c r="CD32" s="62">
        <f ca="1">AVERAGE(OFFSET($CC$3,0,0,'Données projet'!$E$12+1,1))-AVERAGE(OFFSET($H$3,0,0,'Données projet'!$E$12+1,1))</f>
        <v>156.11420010556668</v>
      </c>
      <c r="CE32" s="62">
        <f t="shared" si="40"/>
        <v>318.01952986326501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11.112572113859004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2.7233900355196985</v>
      </c>
      <c r="CN32" s="24">
        <f t="shared" si="12"/>
        <v>13.835962149378702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23.267142857142858</v>
      </c>
      <c r="CT32" s="13">
        <f>IF('Données projet'!$A$140&gt;35,CT31+CS32-DB31,IF(A32&lt;'Données projet'!$A$140,$CQ$205^A32,IF(A32='Données projet'!$A$140,'Données projet'!$B$140,CT31+CS32-DB31)))</f>
        <v>237.51714285714286</v>
      </c>
      <c r="CU32" s="18">
        <f>CT32*VLOOKUP('Données projet'!$B$13,Paramètres!$A$1:$I$89,3,0)*VLOOKUP('Données projet'!$B$13,Paramètres!$A$1:$I$89,5,0)</f>
        <v>132.77208285714286</v>
      </c>
      <c r="CV32" s="14">
        <f t="shared" si="41"/>
        <v>34.636117583630444</v>
      </c>
      <c r="CW32" s="22">
        <f t="shared" si="13"/>
        <v>291.5692824343468</v>
      </c>
      <c r="CX32" s="62">
        <f t="shared" si="14"/>
        <v>584.90261576768012</v>
      </c>
      <c r="CY32" s="62">
        <f ca="1">AVERAGE(OFFSET($CX$3,0,0,'Données projet'!$E$13+1,1))-AVERAGE(OFFSET($H$3,0,0,'Données projet'!$E$13+1,1))</f>
        <v>321.56347025977988</v>
      </c>
      <c r="CZ32" s="62">
        <f t="shared" si="42"/>
        <v>285.79375360040717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20.261046419891912</v>
      </c>
      <c r="DG32" s="23">
        <f>EXP(-LN(2)/25)*DG31+(1-EXP(-LN(2)/25))/(LN(2)/25)*Calculateur!DB32*Calculateur!DD32*VLOOKUP('Données projet'!$B$13,Paramètres!$A$1:$I$89,3,0)*0.475*44/12</f>
        <v>11.647964234507976</v>
      </c>
      <c r="DH32" s="23">
        <f>EXP(-LN(2)/2)*DH31+(1-EXP(-LN(2)/2))/(LN(2)/2)*DB32*DE32*VLOOKUP('Données projet'!$B$13,Paramètres!$A$1:$I$89,3,0)*0.475*44/12</f>
        <v>10.099309973633504</v>
      </c>
      <c r="DI32" s="24">
        <f t="shared" si="15"/>
        <v>42.008320628033388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13.4</v>
      </c>
      <c r="DO32" s="13">
        <f>IF('Données projet'!$A$166&gt;35,DO31+DN32-DW31,IF(A32&lt;'Données projet'!$A$166,$DL$205^A32,IF(A32='Données projet'!$A$166,'Données projet'!$B$166,DO31+DN32-DW31)))</f>
        <v>180.60000000000005</v>
      </c>
      <c r="DP32" s="18">
        <f>DO32*VLOOKUP('Données projet'!$B$14,Paramètres!$A$1:$I$89,3,0)*VLOOKUP('Données projet'!$B$14,Paramètres!$A$1:$I$89,5,0)</f>
        <v>107.99880000000003</v>
      </c>
      <c r="DQ32" s="14">
        <f t="shared" si="43"/>
        <v>28.85898360070161</v>
      </c>
      <c r="DR32" s="22">
        <f t="shared" si="16"/>
        <v>238.36063977122203</v>
      </c>
      <c r="DS32" s="62">
        <f t="shared" si="17"/>
        <v>531.69397310455531</v>
      </c>
      <c r="DT32" s="62">
        <f ca="1">AVERAGE(OFFSET($DS$3,0,0,'Données projet'!$E$14+1,1))-AVERAGE(OFFSET($H$3,0,0,'Données projet'!$E$14+1,1))</f>
        <v>287.69656598881124</v>
      </c>
      <c r="DU32" s="62">
        <f t="shared" si="44"/>
        <v>221.9773436301067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3.8350969101729437</v>
      </c>
      <c r="ED32" s="24">
        <f t="shared" si="18"/>
        <v>3.8350969101729437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344.36303707479811</v>
      </c>
      <c r="T33" s="62">
        <f t="shared" si="34"/>
        <v>207.92972431357452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9.0238095238095237</v>
      </c>
      <c r="AI33" s="14">
        <f>IF('Données projet'!$A$62&gt;35,AI32+AH33-AQ32,IF(A33&lt;'Données projet'!$A$62,$AF$205^A33,IF(A33='Données projet'!$A$62,'Données projet'!$B$62,AI32+AH33-AQ32)))</f>
        <v>270.71428571428561</v>
      </c>
      <c r="AJ33" s="14">
        <f>AI33*VLOOKUP('Données projet'!$B$10,Paramètres!$A$1:$I$89,3,0)*VLOOKUP('Données projet'!$B$10,Paramètres!$A$1:$I$89,5,0)</f>
        <v>126.69428571428566</v>
      </c>
      <c r="AK33" s="14">
        <f t="shared" si="35"/>
        <v>33.231364515949913</v>
      </c>
      <c r="AL33" s="22">
        <f t="shared" si="4"/>
        <v>278.53717415099356</v>
      </c>
      <c r="AM33" s="62">
        <f t="shared" si="5"/>
        <v>571.87050748432694</v>
      </c>
      <c r="AN33" s="62">
        <f ca="1">AVERAGE(OFFSET($AM$3,0,0,'Données projet'!$E$10+1,1))-AVERAGE(OFFSET($H$3,0,0,'Données projet'!$E$10+1,1))</f>
        <v>273.94989417245978</v>
      </c>
      <c r="AO33" s="62">
        <f t="shared" si="36"/>
        <v>244.91615281423549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163</v>
      </c>
      <c r="BB33" s="13">
        <f>VLOOKUP(A33,'Données projet'!$A$87:$I$107,9,0)</f>
        <v>11.4</v>
      </c>
      <c r="BC33" s="13">
        <f t="array" ref="BC33">INDEX(BB:BB,MIN(IF(ISNUMBER(BB33:BB229),ROW(BB33:BB229),"")))</f>
        <v>11.4</v>
      </c>
      <c r="BD33" s="13">
        <f>IF('Données projet'!$A$88&gt;35,BD32+BC33-BL32,IF(A33&lt;'Données projet'!$A$88,$BA$205^A33,IF(A33='Données projet'!$A$88,'Données projet'!$B$88,BD32+BC33-BL32)))</f>
        <v>163</v>
      </c>
      <c r="BE33" s="14">
        <f>BD33*VLOOKUP('Données projet'!$B$11,Paramètres!$A$1:$I$89,3,0)*VLOOKUP('Données projet'!$B$11,Paramètres!$A$1:$I$89,5,0)</f>
        <v>142.39680000000004</v>
      </c>
      <c r="BF33" s="14">
        <f t="shared" si="37"/>
        <v>36.845535084476985</v>
      </c>
      <c r="BG33" s="22">
        <f t="shared" si="7"/>
        <v>312.18040027213078</v>
      </c>
      <c r="BH33" s="62">
        <f t="shared" si="8"/>
        <v>605.51373360546404</v>
      </c>
      <c r="BI33" s="62">
        <f ca="1">AVERAGE(OFFSET($BH$3,0,0,'Données projet'!$E$11+1,1))-AVERAGE(OFFSET($H$3,0,0,'Données projet'!$E$11+1,1))</f>
        <v>247.81726778334098</v>
      </c>
      <c r="BJ33" s="62">
        <f t="shared" si="38"/>
        <v>278.55937893537259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37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19.385225700902009</v>
      </c>
      <c r="BS33" s="24">
        <f t="shared" si="9"/>
        <v>19.385225700902009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269</v>
      </c>
      <c r="BW33" s="13">
        <f>VLOOKUP(A33,'Données projet'!$A$113:$I$133,9,0)</f>
        <v>15.142857142857142</v>
      </c>
      <c r="BX33" s="13">
        <f t="array" ref="BX33">INDEX(BW:BW,MIN(IF(ISNUMBER(BW33:BW229),ROW(BW33:BW229),"")))</f>
        <v>15.142857142857142</v>
      </c>
      <c r="BY33" s="13">
        <f>IF('Données projet'!$A$114&gt;35,BY32+BX33-CG32,IF(A33&lt;'Données projet'!$A$114,$BV$205^A33,IF(A33='Données projet'!$A$114,'Données projet'!$B$114,BY32+BX33-CG32)))</f>
        <v>269</v>
      </c>
      <c r="BZ33" s="14">
        <f>BY33*VLOOKUP('Données projet'!$B$12,Paramètres!$A$1:$I$89,3,0)*VLOOKUP('Données projet'!$B$12,Paramètres!$A$1:$I$89,5,0)</f>
        <v>160.86200000000002</v>
      </c>
      <c r="CA33" s="14">
        <f t="shared" si="39"/>
        <v>41.03688107178359</v>
      </c>
      <c r="CB33" s="22">
        <f t="shared" si="10"/>
        <v>351.64055120002314</v>
      </c>
      <c r="CC33" s="62">
        <f t="shared" si="11"/>
        <v>644.97388453335645</v>
      </c>
      <c r="CD33" s="62">
        <f ca="1">AVERAGE(OFFSET($CC$3,0,0,'Données projet'!$E$12+1,1))-AVERAGE(OFFSET($H$3,0,0,'Données projet'!$E$12+1,1))</f>
        <v>156.11420010556668</v>
      </c>
      <c r="CE33" s="62">
        <f t="shared" si="40"/>
        <v>318.01952986326501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10.894661352705947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1.9257275619318515</v>
      </c>
      <c r="CN33" s="24">
        <f t="shared" si="12"/>
        <v>12.8203889146378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23.267142857142858</v>
      </c>
      <c r="CT33" s="13">
        <f>IF('Données projet'!$A$140&gt;35,CT32+CS33-DB32,IF(A33&lt;'Données projet'!$A$140,$CQ$205^A33,IF(A33='Données projet'!$A$140,'Données projet'!$B$140,CT32+CS33-DB32)))</f>
        <v>260.78428571428572</v>
      </c>
      <c r="CU33" s="18">
        <f>CT33*VLOOKUP('Données projet'!$B$13,Paramètres!$A$1:$I$89,3,0)*VLOOKUP('Données projet'!$B$13,Paramètres!$A$1:$I$89,5,0)</f>
        <v>145.7784157142857</v>
      </c>
      <c r="CV33" s="14">
        <f t="shared" si="41"/>
        <v>37.617627311837914</v>
      </c>
      <c r="CW33" s="22">
        <f t="shared" si="13"/>
        <v>319.4147749371653</v>
      </c>
      <c r="CX33" s="62">
        <f t="shared" si="14"/>
        <v>612.74810827049862</v>
      </c>
      <c r="CY33" s="62">
        <f ca="1">AVERAGE(OFFSET($CX$3,0,0,'Données projet'!$E$13+1,1))-AVERAGE(OFFSET($H$3,0,0,'Données projet'!$E$13+1,1))</f>
        <v>321.56347025977988</v>
      </c>
      <c r="CZ33" s="62">
        <f t="shared" si="42"/>
        <v>285.79375360040717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19.863739657615895</v>
      </c>
      <c r="DG33" s="23">
        <f>EXP(-LN(2)/25)*DG32+(1-EXP(-LN(2)/25))/(LN(2)/25)*Calculateur!DB33*Calculateur!DD33*VLOOKUP('Données projet'!$B$13,Paramètres!$A$1:$I$89,3,0)*0.475*44/12</f>
        <v>11.329450039975537</v>
      </c>
      <c r="DH33" s="23">
        <f>EXP(-LN(2)/2)*DH32+(1-EXP(-LN(2)/2))/(LN(2)/2)*DB33*DE33*VLOOKUP('Données projet'!$B$13,Paramètres!$A$1:$I$89,3,0)*0.475*44/12</f>
        <v>7.1412905676611835</v>
      </c>
      <c r="DI33" s="24">
        <f t="shared" si="15"/>
        <v>38.334480265252616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194</v>
      </c>
      <c r="DM33" s="13">
        <f>VLOOKUP(A33,'Données projet'!$A$165:$I$185,9,0)</f>
        <v>13.4</v>
      </c>
      <c r="DN33" s="13">
        <f t="array" ref="DN33">INDEX(DM:DM,MIN(IF(ISNUMBER(DM33:DM229),ROW(DM33:DM229),"")))</f>
        <v>13.4</v>
      </c>
      <c r="DO33" s="13">
        <f>IF('Données projet'!$A$166&gt;35,DO32+DN33-DW32,IF(A33&lt;'Données projet'!$A$166,$DL$205^A33,IF(A33='Données projet'!$A$166,'Données projet'!$B$166,DO32+DN33-DW32)))</f>
        <v>194.00000000000006</v>
      </c>
      <c r="DP33" s="18">
        <f>DO33*VLOOKUP('Données projet'!$B$14,Paramètres!$A$1:$I$89,3,0)*VLOOKUP('Données projet'!$B$14,Paramètres!$A$1:$I$89,5,0)</f>
        <v>116.01200000000003</v>
      </c>
      <c r="DQ33" s="14">
        <f t="shared" si="43"/>
        <v>30.743042086238173</v>
      </c>
      <c r="DR33" s="22">
        <f t="shared" si="16"/>
        <v>255.59836496686489</v>
      </c>
      <c r="DS33" s="62">
        <f t="shared" si="17"/>
        <v>548.93169830019815</v>
      </c>
      <c r="DT33" s="62">
        <f ca="1">AVERAGE(OFFSET($DS$3,0,0,'Données projet'!$E$14+1,1))-AVERAGE(OFFSET($H$3,0,0,'Données projet'!$E$14+1,1))</f>
        <v>287.69656598881124</v>
      </c>
      <c r="DU33" s="62">
        <f t="shared" si="44"/>
        <v>221.9773436301067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34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1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25.732370104998971</v>
      </c>
      <c r="ED33" s="24">
        <f t="shared" si="18"/>
        <v>25.732370104998971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344.36303707479811</v>
      </c>
      <c r="T34" s="62">
        <f t="shared" si="34"/>
        <v>207.92972431357452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9.0238095238095237</v>
      </c>
      <c r="AI34" s="14">
        <f>IF('Données projet'!$A$62&gt;35,AI33+AH34-AQ33,IF(A34&lt;'Données projet'!$A$62,$AF$205^A34,IF(A34='Données projet'!$A$62,'Données projet'!$B$62,AI33+AH34-AQ33)))</f>
        <v>279.73809523809513</v>
      </c>
      <c r="AJ34" s="14">
        <f>AI34*VLOOKUP('Données projet'!$B$10,Paramètres!$A$1:$I$89,3,0)*VLOOKUP('Données projet'!$B$10,Paramètres!$A$1:$I$89,5,0)</f>
        <v>130.9174285714285</v>
      </c>
      <c r="AK34" s="14">
        <f t="shared" si="35"/>
        <v>34.208263296578863</v>
      </c>
      <c r="AL34" s="22">
        <f t="shared" si="4"/>
        <v>287.59391333677951</v>
      </c>
      <c r="AM34" s="62">
        <f t="shared" si="5"/>
        <v>580.92724667011282</v>
      </c>
      <c r="AN34" s="62">
        <f ca="1">AVERAGE(OFFSET($AM$3,0,0,'Données projet'!$E$10+1,1))-AVERAGE(OFFSET($H$3,0,0,'Données projet'!$E$10+1,1))</f>
        <v>273.94989417245978</v>
      </c>
      <c r="AO34" s="62">
        <f t="shared" si="36"/>
        <v>244.91615281423549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10.6</v>
      </c>
      <c r="BD34" s="13">
        <f>IF('Données projet'!$A$88&gt;35,BD33+BC34-BL33,IF(A34&lt;'Données projet'!$A$88,$BA$205^A34,IF(A34='Données projet'!$A$88,'Données projet'!$B$88,BD33+BC34-BL33)))</f>
        <v>136.6</v>
      </c>
      <c r="BE34" s="14">
        <f>BD34*VLOOKUP('Données projet'!$B$11,Paramètres!$A$1:$I$89,3,0)*VLOOKUP('Données projet'!$B$11,Paramètres!$A$1:$I$89,5,0)</f>
        <v>119.33376000000001</v>
      </c>
      <c r="BF34" s="14">
        <f t="shared" si="37"/>
        <v>31.519559440518702</v>
      </c>
      <c r="BG34" s="22">
        <f t="shared" si="7"/>
        <v>262.7361980255701</v>
      </c>
      <c r="BH34" s="62">
        <f t="shared" si="8"/>
        <v>556.06953135890342</v>
      </c>
      <c r="BI34" s="62">
        <f ca="1">AVERAGE(OFFSET($BH$3,0,0,'Données projet'!$E$11+1,1))-AVERAGE(OFFSET($H$3,0,0,'Données projet'!$E$11+1,1))</f>
        <v>247.81726778334098</v>
      </c>
      <c r="BJ34" s="62">
        <f t="shared" si="38"/>
        <v>278.55937893537259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13.707424547939555</v>
      </c>
      <c r="BS34" s="24">
        <f t="shared" si="9"/>
        <v>13.707424547939555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14</v>
      </c>
      <c r="BY34" s="13">
        <f>IF('Données projet'!$A$114&gt;35,BY33+BX34-CG33,IF(A34&lt;'Données projet'!$A$114,$BV$205^A34,IF(A34='Données projet'!$A$114,'Données projet'!$B$114,BY33+BX34-CG33)))</f>
        <v>283</v>
      </c>
      <c r="BZ34" s="14">
        <f>BY34*VLOOKUP('Données projet'!$B$12,Paramètres!$A$1:$I$89,3,0)*VLOOKUP('Données projet'!$B$12,Paramètres!$A$1:$I$89,5,0)</f>
        <v>169.23400000000001</v>
      </c>
      <c r="CA34" s="14">
        <f t="shared" si="39"/>
        <v>42.918420001269354</v>
      </c>
      <c r="CB34" s="22">
        <f t="shared" si="10"/>
        <v>369.4987981688775</v>
      </c>
      <c r="CC34" s="62">
        <f t="shared" si="11"/>
        <v>662.83213150221081</v>
      </c>
      <c r="CD34" s="62">
        <f ca="1">AVERAGE(OFFSET($CC$3,0,0,'Données projet'!$E$12+1,1))-AVERAGE(OFFSET($H$3,0,0,'Données projet'!$E$12+1,1))</f>
        <v>156.11420010556668</v>
      </c>
      <c r="CE34" s="62">
        <f t="shared" si="40"/>
        <v>318.01952986326501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10.681023688666661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1.3616950177598495</v>
      </c>
      <c r="CN34" s="24">
        <f t="shared" si="12"/>
        <v>12.042718706426511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23.267142857142858</v>
      </c>
      <c r="CT34" s="13">
        <f>IF('Données projet'!$A$140&gt;35,CT33+CS34-DB33,IF(A34&lt;'Données projet'!$A$140,$CQ$205^A34,IF(A34='Données projet'!$A$140,'Données projet'!$B$140,CT33+CS34-DB33)))</f>
        <v>284.05142857142857</v>
      </c>
      <c r="CU34" s="18">
        <f>CT34*VLOOKUP('Données projet'!$B$13,Paramètres!$A$1:$I$89,3,0)*VLOOKUP('Données projet'!$B$13,Paramètres!$A$1:$I$89,5,0)</f>
        <v>158.78474857142857</v>
      </c>
      <c r="CV34" s="14">
        <f t="shared" si="41"/>
        <v>40.568290544193985</v>
      </c>
      <c r="CW34" s="22">
        <f t="shared" si="13"/>
        <v>347.20654312637589</v>
      </c>
      <c r="CX34" s="62">
        <f t="shared" si="14"/>
        <v>640.53987645970915</v>
      </c>
      <c r="CY34" s="62">
        <f ca="1">AVERAGE(OFFSET($CX$3,0,0,'Données projet'!$E$13+1,1))-AVERAGE(OFFSET($H$3,0,0,'Données projet'!$E$13+1,1))</f>
        <v>321.56347025977988</v>
      </c>
      <c r="CZ34" s="62">
        <f t="shared" si="42"/>
        <v>285.79375360040717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19.474223838614915</v>
      </c>
      <c r="DG34" s="23">
        <f>EXP(-LN(2)/25)*DG33+(1-EXP(-LN(2)/25))/(LN(2)/25)*Calculateur!DB34*Calculateur!DD34*VLOOKUP('Données projet'!$B$13,Paramètres!$A$1:$I$89,3,0)*0.475*44/12</f>
        <v>11.019645632842522</v>
      </c>
      <c r="DH34" s="23">
        <f>EXP(-LN(2)/2)*DH33+(1-EXP(-LN(2)/2))/(LN(2)/2)*DB34*DE34*VLOOKUP('Données projet'!$B$13,Paramètres!$A$1:$I$89,3,0)*0.475*44/12</f>
        <v>5.0496549868167522</v>
      </c>
      <c r="DI34" s="24">
        <f t="shared" si="15"/>
        <v>35.543524458274192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14.6</v>
      </c>
      <c r="DO34" s="13">
        <f>IF('Données projet'!$A$166&gt;35,DO33+DN34-DW33,IF(A34&lt;'Données projet'!$A$166,$DL$205^A34,IF(A34='Données projet'!$A$166,'Données projet'!$B$166,DO33+DN34-DW33)))</f>
        <v>174.60000000000005</v>
      </c>
      <c r="DP34" s="18">
        <f>DO34*VLOOKUP('Données projet'!$B$14,Paramètres!$A$1:$I$89,3,0)*VLOOKUP('Données projet'!$B$14,Paramètres!$A$1:$I$89,5,0)</f>
        <v>104.41080000000004</v>
      </c>
      <c r="DQ34" s="14">
        <f t="shared" si="43"/>
        <v>28.010155571424168</v>
      </c>
      <c r="DR34" s="22">
        <f t="shared" si="16"/>
        <v>230.63316428689714</v>
      </c>
      <c r="DS34" s="62">
        <f t="shared" si="17"/>
        <v>523.96649762023048</v>
      </c>
      <c r="DT34" s="62">
        <f ca="1">AVERAGE(OFFSET($DS$3,0,0,'Données projet'!$E$14+1,1))-AVERAGE(OFFSET($H$3,0,0,'Données projet'!$E$14+1,1))</f>
        <v>287.69656598881124</v>
      </c>
      <c r="DU34" s="62">
        <f t="shared" si="44"/>
        <v>221.9773436301067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18.195533397246766</v>
      </c>
      <c r="ED34" s="24">
        <f t="shared" si="18"/>
        <v>18.195533397246766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344.36303707479811</v>
      </c>
      <c r="T35" s="62">
        <f t="shared" si="34"/>
        <v>207.92972431357452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9.0238095238095237</v>
      </c>
      <c r="AI35" s="14">
        <f>IF('Données projet'!$A$62&gt;35,AI34+AH35-AQ34,IF(A35&lt;'Données projet'!$A$62,$AF$205^A35,IF(A35='Données projet'!$A$62,'Données projet'!$B$62,AI34+AH35-AQ34)))</f>
        <v>288.76190476190465</v>
      </c>
      <c r="AJ35" s="14">
        <f>AI35*VLOOKUP('Données projet'!$B$10,Paramètres!$A$1:$I$89,3,0)*VLOOKUP('Données projet'!$B$10,Paramètres!$A$1:$I$89,5,0)</f>
        <v>135.14057142857138</v>
      </c>
      <c r="AK35" s="14">
        <f t="shared" si="35"/>
        <v>35.181500186843166</v>
      </c>
      <c r="AL35" s="22">
        <f t="shared" si="4"/>
        <v>296.64427473018031</v>
      </c>
      <c r="AM35" s="62">
        <f t="shared" si="5"/>
        <v>589.97760806351357</v>
      </c>
      <c r="AN35" s="62">
        <f ca="1">AVERAGE(OFFSET($AM$3,0,0,'Données projet'!$E$10+1,1))-AVERAGE(OFFSET($H$3,0,0,'Données projet'!$E$10+1,1))</f>
        <v>273.94989417245978</v>
      </c>
      <c r="AO35" s="62">
        <f t="shared" si="36"/>
        <v>244.91615281423549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10.6</v>
      </c>
      <c r="BD35" s="13">
        <f>IF('Données projet'!$A$88&gt;35,BD34+BC35-BL34,IF(A35&lt;'Données projet'!$A$88,$BA$205^A35,IF(A35='Données projet'!$A$88,'Données projet'!$B$88,BD34+BC35-BL34)))</f>
        <v>147.19999999999999</v>
      </c>
      <c r="BE35" s="14">
        <f>BD35*VLOOKUP('Données projet'!$B$11,Paramètres!$A$1:$I$89,3,0)*VLOOKUP('Données projet'!$B$11,Paramètres!$A$1:$I$89,5,0)</f>
        <v>128.59392</v>
      </c>
      <c r="BF35" s="14">
        <f t="shared" si="37"/>
        <v>33.671250175837564</v>
      </c>
      <c r="BG35" s="22">
        <f t="shared" si="7"/>
        <v>282.61183805625041</v>
      </c>
      <c r="BH35" s="62">
        <f t="shared" si="8"/>
        <v>575.94517138958372</v>
      </c>
      <c r="BI35" s="62">
        <f ca="1">AVERAGE(OFFSET($BH$3,0,0,'Données projet'!$E$11+1,1))-AVERAGE(OFFSET($H$3,0,0,'Données projet'!$E$11+1,1))</f>
        <v>247.81726778334098</v>
      </c>
      <c r="BJ35" s="62">
        <f t="shared" si="38"/>
        <v>278.55937893537259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9.6926128504510061</v>
      </c>
      <c r="BS35" s="24">
        <f t="shared" si="9"/>
        <v>9.6926128504510061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14</v>
      </c>
      <c r="BY35" s="13">
        <f>IF('Données projet'!$A$114&gt;35,BY34+BX35-CG34,IF(A35&lt;'Données projet'!$A$114,$BV$205^A35,IF(A35='Données projet'!$A$114,'Données projet'!$B$114,BY34+BX35-CG34)))</f>
        <v>297</v>
      </c>
      <c r="BZ35" s="14">
        <f>BY35*VLOOKUP('Données projet'!$B$12,Paramètres!$A$1:$I$89,3,0)*VLOOKUP('Données projet'!$B$12,Paramètres!$A$1:$I$89,5,0)</f>
        <v>177.60600000000002</v>
      </c>
      <c r="CA35" s="14">
        <f t="shared" si="39"/>
        <v>44.789150937858665</v>
      </c>
      <c r="CB35" s="22">
        <f t="shared" si="10"/>
        <v>387.33822121677053</v>
      </c>
      <c r="CC35" s="62">
        <f t="shared" si="11"/>
        <v>680.67155455010379</v>
      </c>
      <c r="CD35" s="62">
        <f ca="1">AVERAGE(OFFSET($CC$3,0,0,'Données projet'!$E$12+1,1))-AVERAGE(OFFSET($H$3,0,0,'Données projet'!$E$12+1,1))</f>
        <v>156.11420010556668</v>
      </c>
      <c r="CE35" s="62">
        <f t="shared" si="40"/>
        <v>318.01952986326501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10.471575328913076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0.96286378096592584</v>
      </c>
      <c r="CN35" s="24">
        <f t="shared" si="12"/>
        <v>11.434439109879001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23.267142857142858</v>
      </c>
      <c r="CT35" s="13">
        <f>IF('Données projet'!$A$140&gt;35,CT34+CS35-DB34,IF(A35&lt;'Données projet'!$A$140,$CQ$205^A35,IF(A35='Données projet'!$A$140,'Données projet'!$B$140,CT34+CS35-DB34)))</f>
        <v>307.31857142857143</v>
      </c>
      <c r="CU35" s="18">
        <f>CT35*VLOOKUP('Données projet'!$B$13,Paramètres!$A$1:$I$89,3,0)*VLOOKUP('Données projet'!$B$13,Paramètres!$A$1:$I$89,5,0)</f>
        <v>171.79108142857143</v>
      </c>
      <c r="CV35" s="14">
        <f t="shared" si="41"/>
        <v>43.490921229423932</v>
      </c>
      <c r="CW35" s="22">
        <f t="shared" si="13"/>
        <v>374.94948796267522</v>
      </c>
      <c r="CX35" s="62">
        <f t="shared" si="14"/>
        <v>668.28282129600848</v>
      </c>
      <c r="CY35" s="62">
        <f ca="1">AVERAGE(OFFSET($CX$3,0,0,'Données projet'!$E$13+1,1))-AVERAGE(OFFSET($H$3,0,0,'Données projet'!$E$13+1,1))</f>
        <v>321.56347025977988</v>
      </c>
      <c r="CZ35" s="62">
        <f t="shared" si="42"/>
        <v>285.79375360040717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19.092346187243354</v>
      </c>
      <c r="DG35" s="23">
        <f>EXP(-LN(2)/25)*DG34+(1-EXP(-LN(2)/25))/(LN(2)/25)*Calculateur!DB35*Calculateur!DD35*VLOOKUP('Données projet'!$B$13,Paramètres!$A$1:$I$89,3,0)*0.475*44/12</f>
        <v>10.718312843514465</v>
      </c>
      <c r="DH35" s="23">
        <f>EXP(-LN(2)/2)*DH34+(1-EXP(-LN(2)/2))/(LN(2)/2)*DB35*DE35*VLOOKUP('Données projet'!$B$13,Paramètres!$A$1:$I$89,3,0)*0.475*44/12</f>
        <v>3.5706452838305918</v>
      </c>
      <c r="DI35" s="24">
        <f t="shared" si="15"/>
        <v>33.381304314588412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14.6</v>
      </c>
      <c r="DO35" s="13">
        <f>IF('Données projet'!$A$166&gt;35,DO34+DN35-DW34,IF(A35&lt;'Données projet'!$A$166,$DL$205^A35,IF(A35='Données projet'!$A$166,'Données projet'!$B$166,DO34+DN35-DW34)))</f>
        <v>189.20000000000005</v>
      </c>
      <c r="DP35" s="18">
        <f>DO35*VLOOKUP('Données projet'!$B$14,Paramètres!$A$1:$I$89,3,0)*VLOOKUP('Données projet'!$B$14,Paramètres!$A$1:$I$89,5,0)</f>
        <v>113.14160000000004</v>
      </c>
      <c r="DQ35" s="14">
        <f t="shared" si="43"/>
        <v>30.069952587742019</v>
      </c>
      <c r="DR35" s="22">
        <f t="shared" si="16"/>
        <v>249.42678742365072</v>
      </c>
      <c r="DS35" s="62">
        <f t="shared" si="17"/>
        <v>542.76012075698407</v>
      </c>
      <c r="DT35" s="62">
        <f ca="1">AVERAGE(OFFSET($DS$3,0,0,'Données projet'!$E$14+1,1))-AVERAGE(OFFSET($H$3,0,0,'Données projet'!$E$14+1,1))</f>
        <v>287.69656598881124</v>
      </c>
      <c r="DU35" s="62">
        <f t="shared" si="44"/>
        <v>221.9773436301067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12.866185052499487</v>
      </c>
      <c r="ED35" s="24">
        <f t="shared" si="18"/>
        <v>12.866185052499487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344.36303707479811</v>
      </c>
      <c r="T36" s="62">
        <f t="shared" si="34"/>
        <v>207.92972431357452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9.0238095238095237</v>
      </c>
      <c r="AI36" s="14">
        <f>IF('Données projet'!$A$62&gt;35,AI35+AH36-AQ35,IF(A36&lt;'Données projet'!$A$62,$AF$205^A36,IF(A36='Données projet'!$A$62,'Données projet'!$B$62,AI35+AH36-AQ35)))</f>
        <v>297.78571428571416</v>
      </c>
      <c r="AJ36" s="14">
        <f>AI36*VLOOKUP('Données projet'!$B$10,Paramètres!$A$1:$I$89,3,0)*VLOOKUP('Données projet'!$B$10,Paramètres!$A$1:$I$89,5,0)</f>
        <v>139.36371428571422</v>
      </c>
      <c r="AK36" s="14">
        <f t="shared" si="35"/>
        <v>36.151202751000412</v>
      </c>
      <c r="AL36" s="22">
        <f t="shared" si="4"/>
        <v>305.68848050561127</v>
      </c>
      <c r="AM36" s="62">
        <f t="shared" si="5"/>
        <v>599.02181383894458</v>
      </c>
      <c r="AN36" s="62">
        <f ca="1">AVERAGE(OFFSET($AM$3,0,0,'Données projet'!$E$10+1,1))-AVERAGE(OFFSET($H$3,0,0,'Données projet'!$E$10+1,1))</f>
        <v>273.94989417245978</v>
      </c>
      <c r="AO36" s="62">
        <f t="shared" si="36"/>
        <v>244.91615281423549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10.6</v>
      </c>
      <c r="BD36" s="13">
        <f>IF('Données projet'!$A$88&gt;35,BD35+BC36-BL35,IF(A36&lt;'Données projet'!$A$88,$BA$205^A36,IF(A36='Données projet'!$A$88,'Données projet'!$B$88,BD35+BC36-BL35)))</f>
        <v>157.79999999999998</v>
      </c>
      <c r="BE36" s="14">
        <f>BD36*VLOOKUP('Données projet'!$B$11,Paramètres!$A$1:$I$89,3,0)*VLOOKUP('Données projet'!$B$11,Paramètres!$A$1:$I$89,5,0)</f>
        <v>137.85408000000001</v>
      </c>
      <c r="BF36" s="14">
        <f t="shared" si="37"/>
        <v>35.804964283629964</v>
      </c>
      <c r="BG36" s="22">
        <f t="shared" si="7"/>
        <v>302.45616879398887</v>
      </c>
      <c r="BH36" s="62">
        <f t="shared" si="8"/>
        <v>595.78950212732218</v>
      </c>
      <c r="BI36" s="62">
        <f ca="1">AVERAGE(OFFSET($BH$3,0,0,'Données projet'!$E$11+1,1))-AVERAGE(OFFSET($H$3,0,0,'Données projet'!$E$11+1,1))</f>
        <v>247.81726778334098</v>
      </c>
      <c r="BJ36" s="62">
        <f t="shared" si="38"/>
        <v>278.55937893537259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6.8537122739697791</v>
      </c>
      <c r="BS36" s="24">
        <f t="shared" si="9"/>
        <v>6.8537122739697791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14</v>
      </c>
      <c r="BY36" s="13">
        <f>IF('Données projet'!$A$114&gt;35,BY35+BX36-CG35,IF(A36&lt;'Données projet'!$A$114,$BV$205^A36,IF(A36='Données projet'!$A$114,'Données projet'!$B$114,BY35+BX36-CG35)))</f>
        <v>311</v>
      </c>
      <c r="BZ36" s="14">
        <f>BY36*VLOOKUP('Données projet'!$B$12,Paramètres!$A$1:$I$89,3,0)*VLOOKUP('Données projet'!$B$12,Paramètres!$A$1:$I$89,5,0)</f>
        <v>185.97800000000001</v>
      </c>
      <c r="CA36" s="14">
        <f t="shared" si="39"/>
        <v>46.649641523668571</v>
      </c>
      <c r="CB36" s="22">
        <f t="shared" si="10"/>
        <v>405.15980898705612</v>
      </c>
      <c r="CC36" s="62">
        <f t="shared" si="11"/>
        <v>698.49314232038944</v>
      </c>
      <c r="CD36" s="62">
        <f ca="1">AVERAGE(OFFSET($CC$3,0,0,'Données projet'!$E$12+1,1))-AVERAGE(OFFSET($H$3,0,0,'Données projet'!$E$12+1,1))</f>
        <v>156.11420010556668</v>
      </c>
      <c r="CE36" s="62">
        <f t="shared" si="40"/>
        <v>318.01952986326501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10.266234123743374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0.68084750887992485</v>
      </c>
      <c r="CN36" s="24">
        <f t="shared" si="12"/>
        <v>10.947081632623298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23.267142857142858</v>
      </c>
      <c r="CT36" s="13">
        <f>IF('Données projet'!$A$140&gt;35,CT35+CS36-DB35,IF(A36&lt;'Données projet'!$A$140,$CQ$205^A36,IF(A36='Données projet'!$A$140,'Données projet'!$B$140,CT35+CS36-DB35)))</f>
        <v>330.58571428571429</v>
      </c>
      <c r="CU36" s="18">
        <f>CT36*VLOOKUP('Données projet'!$B$13,Paramètres!$A$1:$I$89,3,0)*VLOOKUP('Données projet'!$B$13,Paramètres!$A$1:$I$89,5,0)</f>
        <v>184.7974142857143</v>
      </c>
      <c r="CV36" s="14">
        <f t="shared" si="41"/>
        <v>46.387883037381307</v>
      </c>
      <c r="CW36" s="22">
        <f t="shared" si="13"/>
        <v>402.64772617105814</v>
      </c>
      <c r="CX36" s="62">
        <f t="shared" si="14"/>
        <v>695.9810595043914</v>
      </c>
      <c r="CY36" s="62">
        <f ca="1">AVERAGE(OFFSET($CX$3,0,0,'Données projet'!$E$13+1,1))-AVERAGE(OFFSET($H$3,0,0,'Données projet'!$E$13+1,1))</f>
        <v>321.56347025977988</v>
      </c>
      <c r="CZ36" s="62">
        <f t="shared" si="42"/>
        <v>285.79375360040717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18.717956923692821</v>
      </c>
      <c r="DG36" s="23">
        <f>EXP(-LN(2)/25)*DG35+(1-EXP(-LN(2)/25))/(LN(2)/25)*Calculateur!DB36*Calculateur!DD36*VLOOKUP('Données projet'!$B$13,Paramètres!$A$1:$I$89,3,0)*0.475*44/12</f>
        <v>10.425220015156986</v>
      </c>
      <c r="DH36" s="23">
        <f>EXP(-LN(2)/2)*DH35+(1-EXP(-LN(2)/2))/(LN(2)/2)*DB36*DE36*VLOOKUP('Données projet'!$B$13,Paramètres!$A$1:$I$89,3,0)*0.475*44/12</f>
        <v>2.5248274934083761</v>
      </c>
      <c r="DI36" s="24">
        <f t="shared" si="15"/>
        <v>31.668004432258183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14.6</v>
      </c>
      <c r="DO36" s="13">
        <f>IF('Données projet'!$A$166&gt;35,DO35+DN36-DW35,IF(A36&lt;'Données projet'!$A$166,$DL$205^A36,IF(A36='Données projet'!$A$166,'Données projet'!$B$166,DO35+DN36-DW35)))</f>
        <v>203.80000000000004</v>
      </c>
      <c r="DP36" s="18">
        <f>DO36*VLOOKUP('Données projet'!$B$14,Paramètres!$A$1:$I$89,3,0)*VLOOKUP('Données projet'!$B$14,Paramètres!$A$1:$I$89,5,0)</f>
        <v>121.87240000000003</v>
      </c>
      <c r="DQ36" s="14">
        <f t="shared" si="43"/>
        <v>32.111311550408985</v>
      </c>
      <c r="DR36" s="22">
        <f t="shared" si="16"/>
        <v>268.1882976169623</v>
      </c>
      <c r="DS36" s="62">
        <f t="shared" si="17"/>
        <v>561.52163095029562</v>
      </c>
      <c r="DT36" s="62">
        <f ca="1">AVERAGE(OFFSET($DS$3,0,0,'Données projet'!$E$14+1,1))-AVERAGE(OFFSET($H$3,0,0,'Données projet'!$E$14+1,1))</f>
        <v>287.69656598881124</v>
      </c>
      <c r="DU36" s="62">
        <f t="shared" si="44"/>
        <v>221.9773436301067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9.0977666986233832</v>
      </c>
      <c r="ED36" s="24">
        <f t="shared" si="18"/>
        <v>9.0977666986233832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344.36303707479811</v>
      </c>
      <c r="T37" s="62">
        <f t="shared" si="34"/>
        <v>207.92972431357452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9.0238095238095237</v>
      </c>
      <c r="AI37" s="14">
        <f>IF('Données projet'!$A$62&gt;35,AI36+AH37-AQ36,IF(A37&lt;'Données projet'!$A$62,$AF$205^A37,IF(A37='Données projet'!$A$62,'Données projet'!$B$62,AI36+AH37-AQ36)))</f>
        <v>306.80952380952368</v>
      </c>
      <c r="AJ37" s="14">
        <f>AI37*VLOOKUP('Données projet'!$B$10,Paramètres!$A$1:$I$89,3,0)*VLOOKUP('Données projet'!$B$10,Paramètres!$A$1:$I$89,5,0)</f>
        <v>143.58685714285707</v>
      </c>
      <c r="AK37" s="14">
        <f t="shared" si="35"/>
        <v>37.117490382808377</v>
      </c>
      <c r="AL37" s="22">
        <f t="shared" si="4"/>
        <v>314.72673860720062</v>
      </c>
      <c r="AM37" s="62">
        <f t="shared" si="5"/>
        <v>608.06007194053393</v>
      </c>
      <c r="AN37" s="62">
        <f ca="1">AVERAGE(OFFSET($AM$3,0,0,'Données projet'!$E$10+1,1))-AVERAGE(OFFSET($H$3,0,0,'Données projet'!$E$10+1,1))</f>
        <v>273.94989417245978</v>
      </c>
      <c r="AO37" s="62">
        <f t="shared" si="36"/>
        <v>244.91615281423549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10.6</v>
      </c>
      <c r="BD37" s="13">
        <f>IF('Données projet'!$A$88&gt;35,BD36+BC37-BL36,IF(A37&lt;'Données projet'!$A$88,$BA$205^A37,IF(A37='Données projet'!$A$88,'Données projet'!$B$88,BD36+BC37-BL36)))</f>
        <v>168.39999999999998</v>
      </c>
      <c r="BE37" s="14">
        <f>BD37*VLOOKUP('Données projet'!$B$11,Paramètres!$A$1:$I$89,3,0)*VLOOKUP('Données projet'!$B$11,Paramètres!$A$1:$I$89,5,0)</f>
        <v>147.11424</v>
      </c>
      <c r="BF37" s="14">
        <f t="shared" si="37"/>
        <v>37.922046712608186</v>
      </c>
      <c r="BG37" s="22">
        <f t="shared" si="7"/>
        <v>322.27153269112591</v>
      </c>
      <c r="BH37" s="62">
        <f t="shared" si="8"/>
        <v>615.60486602445917</v>
      </c>
      <c r="BI37" s="62">
        <f ca="1">AVERAGE(OFFSET($BH$3,0,0,'Données projet'!$E$11+1,1))-AVERAGE(OFFSET($H$3,0,0,'Données projet'!$E$11+1,1))</f>
        <v>247.81726778334098</v>
      </c>
      <c r="BJ37" s="62">
        <f t="shared" si="38"/>
        <v>278.55937893537259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4.8463064252255039</v>
      </c>
      <c r="BS37" s="24">
        <f t="shared" si="9"/>
        <v>4.8463064252255039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>
        <f>VLOOKUP(A37,'Données projet'!$A$113:$I$133,2,0)</f>
        <v>325</v>
      </c>
      <c r="BW37" s="13">
        <f>VLOOKUP(A37,'Données projet'!$A$113:$I$133,9,0)</f>
        <v>14</v>
      </c>
      <c r="BX37" s="13">
        <f t="array" ref="BX37">INDEX(BW:BW,MIN(IF(ISNUMBER(BW37:BW233),ROW(BW37:BW233),"")))</f>
        <v>14</v>
      </c>
      <c r="BY37" s="13">
        <f>IF('Données projet'!$A$114&gt;35,BY36+BX37-CG36,IF(A37&lt;'Données projet'!$A$114,$BV$205^A37,IF(A37='Données projet'!$A$114,'Données projet'!$B$114,BY36+BX37-CG36)))</f>
        <v>325</v>
      </c>
      <c r="BZ37" s="14">
        <f>BY37*VLOOKUP('Données projet'!$B$12,Paramètres!$A$1:$I$89,3,0)*VLOOKUP('Données projet'!$B$12,Paramètres!$A$1:$I$89,5,0)</f>
        <v>194.35</v>
      </c>
      <c r="CA37" s="14">
        <f t="shared" si="39"/>
        <v>48.500405405690429</v>
      </c>
      <c r="CB37" s="22">
        <f t="shared" si="10"/>
        <v>422.96445608157745</v>
      </c>
      <c r="CC37" s="62">
        <f t="shared" si="11"/>
        <v>716.29778941491077</v>
      </c>
      <c r="CD37" s="62">
        <f ca="1">AVERAGE(OFFSET($CC$3,0,0,'Données projet'!$E$12+1,1))-AVERAGE(OFFSET($H$3,0,0,'Données projet'!$E$12+1,1))</f>
        <v>156.11420010556668</v>
      </c>
      <c r="CE37" s="62">
        <f t="shared" si="40"/>
        <v>318.01952986326501</v>
      </c>
      <c r="CF37" s="16">
        <f>IF(ISNA(VLOOKUP(A37,'Données projet'!$A$113:$I$133,3,0)),0,VLOOKUP(A37,'Données projet'!$A$113:$I$133,3,0))</f>
        <v>5</v>
      </c>
      <c r="CG37" s="16">
        <f>IF(ISNA(VLOOKUP(A37,'Données projet'!$A$113:$I$133,4,0)),0,VLOOKUP(A37,'Données projet'!$A$113:$I$133,4,0))</f>
        <v>325</v>
      </c>
      <c r="CH37" s="17">
        <f>IF(ISNA(VLOOKUP(A37,'Données projet'!$A$113:$I$133,5,0)),0%,VLOOKUP(A37,'Données projet'!$A$113:$I$133,5,0)*VLOOKUP('Données projet'!$B$12,Paramètres!$A$1:$I$89,7,0))</f>
        <v>0.315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0.3</v>
      </c>
      <c r="CK37" s="23">
        <f>EXP(-LN(2)/35)*CK36+(1-EXP(-LN(2)/35))/(LN(2)/35)*CG37*CH37*VLOOKUP('Données projet'!$B$12,Paramètres!$A$1:$I$89,3,0)*0.475*44/12</f>
        <v>91.277527137483801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66.496235997763563</v>
      </c>
      <c r="CN37" s="24">
        <f t="shared" si="12"/>
        <v>157.77376313524735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23.267142857142858</v>
      </c>
      <c r="CT37" s="13">
        <f>IF('Données projet'!$A$140&gt;35,CT36+CS37-DB36,IF(A37&lt;'Données projet'!$A$140,$CQ$205^A37,IF(A37='Données projet'!$A$140,'Données projet'!$B$140,CT36+CS37-DB36)))</f>
        <v>353.85285714285715</v>
      </c>
      <c r="CU37" s="18">
        <f>CT37*VLOOKUP('Données projet'!$B$13,Paramètres!$A$1:$I$89,3,0)*VLOOKUP('Données projet'!$B$13,Paramètres!$A$1:$I$89,5,0)</f>
        <v>197.80374714285716</v>
      </c>
      <c r="CV37" s="14">
        <f t="shared" si="41"/>
        <v>49.26118807441209</v>
      </c>
      <c r="CW37" s="22">
        <f t="shared" si="13"/>
        <v>430.30476217007725</v>
      </c>
      <c r="CX37" s="62">
        <f t="shared" si="14"/>
        <v>723.63809550341057</v>
      </c>
      <c r="CY37" s="62">
        <f ca="1">AVERAGE(OFFSET($CX$3,0,0,'Données projet'!$E$13+1,1))-AVERAGE(OFFSET($H$3,0,0,'Données projet'!$E$13+1,1))</f>
        <v>321.56347025977988</v>
      </c>
      <c r="CZ37" s="62">
        <f t="shared" si="42"/>
        <v>285.79375360040717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18.35090920524561</v>
      </c>
      <c r="DG37" s="23">
        <f>EXP(-LN(2)/25)*DG36+(1-EXP(-LN(2)/25))/(LN(2)/25)*Calculateur!DB37*Calculateur!DD37*VLOOKUP('Données projet'!$B$13,Paramètres!$A$1:$I$89,3,0)*0.475*44/12</f>
        <v>10.140141825604026</v>
      </c>
      <c r="DH37" s="23">
        <f>EXP(-LN(2)/2)*DH36+(1-EXP(-LN(2)/2))/(LN(2)/2)*DB37*DE37*VLOOKUP('Données projet'!$B$13,Paramètres!$A$1:$I$89,3,0)*0.475*44/12</f>
        <v>1.7853226419152959</v>
      </c>
      <c r="DI37" s="24">
        <f t="shared" si="15"/>
        <v>30.276373672764933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14.6</v>
      </c>
      <c r="DO37" s="13">
        <f>IF('Données projet'!$A$166&gt;35,DO36+DN37-DW36,IF(A37&lt;'Données projet'!$A$166,$DL$205^A37,IF(A37='Données projet'!$A$166,'Données projet'!$B$166,DO36+DN37-DW36)))</f>
        <v>218.40000000000003</v>
      </c>
      <c r="DP37" s="18">
        <f>DO37*VLOOKUP('Données projet'!$B$14,Paramètres!$A$1:$I$89,3,0)*VLOOKUP('Données projet'!$B$14,Paramètres!$A$1:$I$89,5,0)</f>
        <v>130.60320000000004</v>
      </c>
      <c r="DQ37" s="14">
        <f t="shared" si="43"/>
        <v>34.135703567016428</v>
      </c>
      <c r="DR37" s="22">
        <f t="shared" si="16"/>
        <v>286.92025704588701</v>
      </c>
      <c r="DS37" s="62">
        <f t="shared" si="17"/>
        <v>580.25359037922033</v>
      </c>
      <c r="DT37" s="62">
        <f ca="1">AVERAGE(OFFSET($DS$3,0,0,'Données projet'!$E$14+1,1))-AVERAGE(OFFSET($H$3,0,0,'Données projet'!$E$14+1,1))</f>
        <v>287.69656598881124</v>
      </c>
      <c r="DU37" s="62">
        <f t="shared" si="44"/>
        <v>221.9773436301067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6.4330925262497436</v>
      </c>
      <c r="ED37" s="24">
        <f t="shared" si="18"/>
        <v>6.4330925262497436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344.36303707479811</v>
      </c>
      <c r="T38" s="62">
        <f t="shared" si="34"/>
        <v>207.92972431357452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9.0238095238095237</v>
      </c>
      <c r="AI38" s="14">
        <f>IF('Données projet'!$A$62&gt;35,AI37+AH38-AQ37,IF(A38&lt;'Données projet'!$A$62,$AF$205^A38,IF(A38='Données projet'!$A$62,'Données projet'!$B$62,AI37+AH38-AQ37)))</f>
        <v>315.8333333333332</v>
      </c>
      <c r="AJ38" s="14">
        <f>AI38*VLOOKUP('Données projet'!$B$10,Paramètres!$A$1:$I$89,3,0)*VLOOKUP('Données projet'!$B$10,Paramètres!$A$1:$I$89,5,0)</f>
        <v>147.80999999999995</v>
      </c>
      <c r="AK38" s="14">
        <f t="shared" si="35"/>
        <v>38.080475053580983</v>
      </c>
      <c r="AL38" s="22">
        <f t="shared" si="4"/>
        <v>323.75924405165341</v>
      </c>
      <c r="AM38" s="62">
        <f t="shared" si="5"/>
        <v>617.09257738498673</v>
      </c>
      <c r="AN38" s="62">
        <f ca="1">AVERAGE(OFFSET($AM$3,0,0,'Données projet'!$E$10+1,1))-AVERAGE(OFFSET($H$3,0,0,'Données projet'!$E$10+1,1))</f>
        <v>273.94989417245978</v>
      </c>
      <c r="AO38" s="62">
        <f t="shared" si="36"/>
        <v>244.91615281423549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179</v>
      </c>
      <c r="BB38" s="13">
        <f>VLOOKUP(A38,'Données projet'!$A$87:$I$107,9,0)</f>
        <v>10.6</v>
      </c>
      <c r="BC38" s="13">
        <f t="array" ref="BC38">INDEX(BB:BB,MIN(IF(ISNUMBER(BB38:BB234),ROW(BB38:BB234),"")))</f>
        <v>10.6</v>
      </c>
      <c r="BD38" s="13">
        <f>IF('Données projet'!$A$88&gt;35,BD37+BC38-BL37,IF(A38&lt;'Données projet'!$A$88,$BA$205^A38,IF(A38='Données projet'!$A$88,'Données projet'!$B$88,BD37+BC38-BL37)))</f>
        <v>178.99999999999997</v>
      </c>
      <c r="BE38" s="14">
        <f>BD38*VLOOKUP('Données projet'!$B$11,Paramètres!$A$1:$I$89,3,0)*VLOOKUP('Données projet'!$B$11,Paramètres!$A$1:$I$89,5,0)</f>
        <v>156.37440000000001</v>
      </c>
      <c r="BF38" s="14">
        <f t="shared" si="37"/>
        <v>40.023663524293205</v>
      </c>
      <c r="BG38" s="22">
        <f t="shared" si="7"/>
        <v>342.05996063814399</v>
      </c>
      <c r="BH38" s="62">
        <f t="shared" si="8"/>
        <v>635.39329397147731</v>
      </c>
      <c r="BI38" s="62">
        <f ca="1">AVERAGE(OFFSET($BH$3,0,0,'Données projet'!$E$11+1,1))-AVERAGE(OFFSET($H$3,0,0,'Données projet'!$E$11+1,1))</f>
        <v>247.81726778334098</v>
      </c>
      <c r="BJ38" s="62">
        <f t="shared" si="38"/>
        <v>278.55937893537259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36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3.42685613698489</v>
      </c>
      <c r="BS38" s="24">
        <f t="shared" si="9"/>
        <v>3.42685613698489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156.11420010556668</v>
      </c>
      <c r="CE38" s="62">
        <f t="shared" si="40"/>
        <v>318.01952986326501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89.487630504111962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47.019939397399625</v>
      </c>
      <c r="CN38" s="24">
        <f t="shared" si="12"/>
        <v>136.5075699015116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377.12</v>
      </c>
      <c r="CR38" s="13">
        <f>VLOOKUP(A38,'Données projet'!$A$139:$I$159,9,0)</f>
        <v>23.267142857142858</v>
      </c>
      <c r="CS38" s="13">
        <f t="array" ref="CS38">INDEX(CR:CR,MIN(IF(ISNUMBER(CR38:CR234),ROW(CR38:CR234),"")))</f>
        <v>23.267142857142858</v>
      </c>
      <c r="CT38" s="13">
        <f>IF('Données projet'!$A$140&gt;35,CT37+CS38-DB37,IF(A38&lt;'Données projet'!$A$140,$CQ$205^A38,IF(A38='Données projet'!$A$140,'Données projet'!$B$140,CT37+CS38-DB37)))</f>
        <v>377.12</v>
      </c>
      <c r="CU38" s="18">
        <f>CT38*VLOOKUP('Données projet'!$B$13,Paramètres!$A$1:$I$89,3,0)*VLOOKUP('Données projet'!$B$13,Paramètres!$A$1:$I$89,5,0)</f>
        <v>210.81008</v>
      </c>
      <c r="CV38" s="14">
        <f t="shared" si="41"/>
        <v>52.112568873523912</v>
      </c>
      <c r="CW38" s="22">
        <f t="shared" si="13"/>
        <v>457.92361345472085</v>
      </c>
      <c r="CX38" s="62">
        <f t="shared" si="14"/>
        <v>751.25694678805417</v>
      </c>
      <c r="CY38" s="62">
        <f ca="1">AVERAGE(OFFSET($CX$3,0,0,'Données projet'!$E$13+1,1))-AVERAGE(OFFSET($H$3,0,0,'Données projet'!$E$13+1,1))</f>
        <v>321.56347025977988</v>
      </c>
      <c r="CZ38" s="62">
        <f t="shared" si="42"/>
        <v>285.79375360040717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86.68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17.991059068680148</v>
      </c>
      <c r="DG38" s="23">
        <f>EXP(-LN(2)/25)*DG37+(1-EXP(-LN(2)/25))/(LN(2)/25)*Calculateur!DB38*Calculateur!DD38*VLOOKUP('Données projet'!$B$13,Paramètres!$A$1:$I$89,3,0)*0.475*44/12</f>
        <v>9.8628591141360005</v>
      </c>
      <c r="DH38" s="23">
        <f>EXP(-LN(2)/2)*DH37+(1-EXP(-LN(2)/2))/(LN(2)/2)*DB38*DE38*VLOOKUP('Données projet'!$B$13,Paramètres!$A$1:$I$89,3,0)*0.475*44/12</f>
        <v>1.262413746704188</v>
      </c>
      <c r="DI38" s="24">
        <f t="shared" si="15"/>
        <v>29.116331929520335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233</v>
      </c>
      <c r="DM38" s="13">
        <f>VLOOKUP(A38,'Données projet'!$A$165:$I$185,9,0)</f>
        <v>14.6</v>
      </c>
      <c r="DN38" s="13">
        <f t="array" ref="DN38">INDEX(DM:DM,MIN(IF(ISNUMBER(DM38:DM234),ROW(DM38:DM234),"")))</f>
        <v>14.6</v>
      </c>
      <c r="DO38" s="13">
        <f>IF('Données projet'!$A$166&gt;35,DO37+DN38-DW37,IF(A38&lt;'Données projet'!$A$166,$DL$205^A38,IF(A38='Données projet'!$A$166,'Données projet'!$B$166,DO37+DN38-DW37)))</f>
        <v>233.00000000000003</v>
      </c>
      <c r="DP38" s="18">
        <f>DO38*VLOOKUP('Données projet'!$B$14,Paramètres!$A$1:$I$89,3,0)*VLOOKUP('Données projet'!$B$14,Paramètres!$A$1:$I$89,5,0)</f>
        <v>139.33400000000003</v>
      </c>
      <c r="DQ38" s="14">
        <f t="shared" si="43"/>
        <v>36.144391930570897</v>
      </c>
      <c r="DR38" s="22">
        <f t="shared" si="16"/>
        <v>305.62486594574438</v>
      </c>
      <c r="DS38" s="62">
        <f t="shared" si="17"/>
        <v>598.95819927907769</v>
      </c>
      <c r="DT38" s="62">
        <f ca="1">AVERAGE(OFFSET($DS$3,0,0,'Données projet'!$E$14+1,1))-AVERAGE(OFFSET($H$3,0,0,'Données projet'!$E$14+1,1))</f>
        <v>287.69656598881124</v>
      </c>
      <c r="DU38" s="62">
        <f t="shared" si="44"/>
        <v>221.9773436301067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41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4.5488833493116916</v>
      </c>
      <c r="ED38" s="24">
        <f t="shared" si="18"/>
        <v>4.5488833493116916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344.36303707479811</v>
      </c>
      <c r="T39" s="62">
        <f t="shared" si="34"/>
        <v>207.92972431357452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9.0238095238095237</v>
      </c>
      <c r="AI39" s="14">
        <f>IF('Données projet'!$A$62&gt;35,AI38+AH39-AQ38,IF(A39&lt;'Données projet'!$A$62,$AF$205^A39,IF(A39='Données projet'!$A$62,'Données projet'!$B$62,AI38+AH39-AQ38)))</f>
        <v>324.85714285714272</v>
      </c>
      <c r="AJ39" s="14">
        <f>AI39*VLOOKUP('Données projet'!$B$10,Paramètres!$A$1:$I$89,3,0)*VLOOKUP('Données projet'!$B$10,Paramètres!$A$1:$I$89,5,0)</f>
        <v>152.03314285714279</v>
      </c>
      <c r="AK39" s="14">
        <f t="shared" si="35"/>
        <v>39.040261972349207</v>
      </c>
      <c r="AL39" s="22">
        <f t="shared" si="4"/>
        <v>332.78618007803192</v>
      </c>
      <c r="AM39" s="62">
        <f t="shared" si="5"/>
        <v>626.11951341136523</v>
      </c>
      <c r="AN39" s="62">
        <f ca="1">AVERAGE(OFFSET($AM$3,0,0,'Données projet'!$E$10+1,1))-AVERAGE(OFFSET($H$3,0,0,'Données projet'!$E$10+1,1))</f>
        <v>273.94989417245978</v>
      </c>
      <c r="AO39" s="62">
        <f t="shared" si="36"/>
        <v>244.91615281423549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152.59999999999997</v>
      </c>
      <c r="BE39" s="14">
        <f>BD39*VLOOKUP('Données projet'!$B$11,Paramètres!$A$1:$I$89,3,0)*VLOOKUP('Données projet'!$B$11,Paramètres!$A$1:$I$89,5,0)</f>
        <v>133.31135999999998</v>
      </c>
      <c r="BF39" s="14">
        <f t="shared" si="37"/>
        <v>34.760393689821633</v>
      </c>
      <c r="BG39" s="22">
        <f t="shared" si="7"/>
        <v>292.72497100977256</v>
      </c>
      <c r="BH39" s="62">
        <f t="shared" si="8"/>
        <v>586.05830434310587</v>
      </c>
      <c r="BI39" s="62">
        <f ca="1">AVERAGE(OFFSET($BH$3,0,0,'Données projet'!$E$11+1,1))-AVERAGE(OFFSET($H$3,0,0,'Données projet'!$E$11+1,1))</f>
        <v>247.81726778334098</v>
      </c>
      <c r="BJ39" s="62">
        <f t="shared" si="38"/>
        <v>278.55937893537259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2.4231532126127524</v>
      </c>
      <c r="BS39" s="24">
        <f t="shared" si="9"/>
        <v>2.4231532126127524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156.11420010556668</v>
      </c>
      <c r="CE39" s="62">
        <f t="shared" si="40"/>
        <v>318.01952986326501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87.732832651991401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33.248117998881781</v>
      </c>
      <c r="CN39" s="24">
        <f t="shared" si="12"/>
        <v>120.98095065087318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22.82714285714286</v>
      </c>
      <c r="CT39" s="13">
        <f>IF('Données projet'!$A$140&gt;35,CT38+CS39-DB38,IF(A39&lt;'Données projet'!$A$140,$CQ$205^A39,IF(A39='Données projet'!$A$140,'Données projet'!$B$140,CT38+CS39-DB38)))</f>
        <v>313.26714285714286</v>
      </c>
      <c r="CU39" s="18">
        <f>CT39*VLOOKUP('Données projet'!$B$13,Paramètres!$A$1:$I$89,3,0)*VLOOKUP('Données projet'!$B$13,Paramètres!$A$1:$I$89,5,0)</f>
        <v>175.11633285714288</v>
      </c>
      <c r="CV39" s="14">
        <f t="shared" si="41"/>
        <v>44.233926946721667</v>
      </c>
      <c r="CW39" s="22">
        <f t="shared" si="13"/>
        <v>382.03503582506414</v>
      </c>
      <c r="CX39" s="62">
        <f t="shared" si="14"/>
        <v>675.3683691583974</v>
      </c>
      <c r="CY39" s="62">
        <f ca="1">AVERAGE(OFFSET($CX$3,0,0,'Données projet'!$E$13+1,1))-AVERAGE(OFFSET($H$3,0,0,'Données projet'!$E$13+1,1))</f>
        <v>321.56347025977988</v>
      </c>
      <c r="CZ39" s="62">
        <f t="shared" si="42"/>
        <v>285.79375360040717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17.638265373805822</v>
      </c>
      <c r="DG39" s="23">
        <f>EXP(-LN(2)/25)*DG38+(1-EXP(-LN(2)/25))/(LN(2)/25)*Calculateur!DB39*Calculateur!DD39*VLOOKUP('Données projet'!$B$13,Paramètres!$A$1:$I$89,3,0)*0.475*44/12</f>
        <v>9.5931587129947324</v>
      </c>
      <c r="DH39" s="23">
        <f>EXP(-LN(2)/2)*DH38+(1-EXP(-LN(2)/2))/(LN(2)/2)*DB39*DE39*VLOOKUP('Données projet'!$B$13,Paramètres!$A$1:$I$89,3,0)*0.475*44/12</f>
        <v>0.89266132095764794</v>
      </c>
      <c r="DI39" s="24">
        <f t="shared" si="15"/>
        <v>28.124085407758201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14.4</v>
      </c>
      <c r="DO39" s="13">
        <f>IF('Données projet'!$A$166&gt;35,DO38+DN39-DW38,IF(A39&lt;'Données projet'!$A$166,$DL$205^A39,IF(A39='Données projet'!$A$166,'Données projet'!$B$166,DO38+DN39-DW38)))</f>
        <v>206.40000000000003</v>
      </c>
      <c r="DP39" s="18">
        <f>DO39*VLOOKUP('Données projet'!$B$14,Paramètres!$A$1:$I$89,3,0)*VLOOKUP('Données projet'!$B$14,Paramètres!$A$1:$I$89,5,0)</f>
        <v>123.42720000000003</v>
      </c>
      <c r="DQ39" s="14">
        <f t="shared" si="43"/>
        <v>32.473022671122074</v>
      </c>
      <c r="DR39" s="22">
        <f t="shared" si="16"/>
        <v>271.5262211522043</v>
      </c>
      <c r="DS39" s="62">
        <f t="shared" si="17"/>
        <v>564.85955448553761</v>
      </c>
      <c r="DT39" s="62">
        <f ca="1">AVERAGE(OFFSET($DS$3,0,0,'Données projet'!$E$14+1,1))-AVERAGE(OFFSET($H$3,0,0,'Données projet'!$E$14+1,1))</f>
        <v>287.69656598881124</v>
      </c>
      <c r="DU39" s="62">
        <f t="shared" si="44"/>
        <v>221.9773436301067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3.2165462631248718</v>
      </c>
      <c r="ED39" s="24">
        <f t="shared" si="18"/>
        <v>3.2165462631248718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344.36303707479811</v>
      </c>
      <c r="T40" s="62">
        <f t="shared" si="34"/>
        <v>207.92972431357452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9.0238095238095237</v>
      </c>
      <c r="AI40" s="14">
        <f>IF('Données projet'!$A$62&gt;35,AI39+AH40-AQ39,IF(A40&lt;'Données projet'!$A$62,$AF$205^A40,IF(A40='Données projet'!$A$62,'Données projet'!$B$62,AI39+AH40-AQ39)))</f>
        <v>333.88095238095224</v>
      </c>
      <c r="AJ40" s="14">
        <f>AI40*VLOOKUP('Données projet'!$B$10,Paramètres!$A$1:$I$89,3,0)*VLOOKUP('Données projet'!$B$10,Paramètres!$A$1:$I$89,5,0)</f>
        <v>156.25628571428567</v>
      </c>
      <c r="AK40" s="14">
        <f t="shared" si="35"/>
        <v>39.99695017060872</v>
      </c>
      <c r="AL40" s="22">
        <f t="shared" si="4"/>
        <v>341.80771916619102</v>
      </c>
      <c r="AM40" s="62">
        <f t="shared" si="5"/>
        <v>635.14105249952433</v>
      </c>
      <c r="AN40" s="62">
        <f ca="1">AVERAGE(OFFSET($AM$3,0,0,'Données projet'!$E$10+1,1))-AVERAGE(OFFSET($H$3,0,0,'Données projet'!$E$10+1,1))</f>
        <v>273.94989417245978</v>
      </c>
      <c r="AO40" s="62">
        <f t="shared" si="36"/>
        <v>244.91615281423549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162.19999999999996</v>
      </c>
      <c r="BE40" s="14">
        <f>BD40*VLOOKUP('Données projet'!$B$11,Paramètres!$A$1:$I$89,3,0)*VLOOKUP('Données projet'!$B$11,Paramètres!$A$1:$I$89,5,0)</f>
        <v>141.69791999999998</v>
      </c>
      <c r="BF40" s="14">
        <f t="shared" si="37"/>
        <v>36.685701801209362</v>
      </c>
      <c r="BG40" s="22">
        <f t="shared" si="7"/>
        <v>310.68480797043964</v>
      </c>
      <c r="BH40" s="62">
        <f t="shared" si="8"/>
        <v>604.01814130377295</v>
      </c>
      <c r="BI40" s="62">
        <f ca="1">AVERAGE(OFFSET($BH$3,0,0,'Données projet'!$E$11+1,1))-AVERAGE(OFFSET($H$3,0,0,'Données projet'!$E$11+1,1))</f>
        <v>247.81726778334098</v>
      </c>
      <c r="BJ40" s="62">
        <f t="shared" si="38"/>
        <v>278.55937893537259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1.7134280684924452</v>
      </c>
      <c r="BS40" s="24">
        <f t="shared" si="9"/>
        <v>1.7134280684924452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156.11420010556668</v>
      </c>
      <c r="CE40" s="62">
        <f t="shared" si="40"/>
        <v>318.01952986326501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86.012445315429929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23.509969698699813</v>
      </c>
      <c r="CN40" s="24">
        <f t="shared" si="12"/>
        <v>109.52241501412973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22.82714285714286</v>
      </c>
      <c r="CT40" s="13">
        <f>IF('Données projet'!$A$140&gt;35,CT39+CS40-DB39,IF(A40&lt;'Données projet'!$A$140,$CQ$205^A40,IF(A40='Données projet'!$A$140,'Données projet'!$B$140,CT39+CS40-DB39)))</f>
        <v>336.09428571428572</v>
      </c>
      <c r="CU40" s="18">
        <f>CT40*VLOOKUP('Données projet'!$B$13,Paramètres!$A$1:$I$89,3,0)*VLOOKUP('Données projet'!$B$13,Paramètres!$A$1:$I$89,5,0)</f>
        <v>187.87670571428572</v>
      </c>
      <c r="CV40" s="14">
        <f t="shared" si="41"/>
        <v>47.070216037627915</v>
      </c>
      <c r="CW40" s="22">
        <f t="shared" si="13"/>
        <v>409.19922205124954</v>
      </c>
      <c r="CX40" s="62">
        <f t="shared" si="14"/>
        <v>702.53255538458279</v>
      </c>
      <c r="CY40" s="62">
        <f ca="1">AVERAGE(OFFSET($CX$3,0,0,'Données projet'!$E$13+1,1))-AVERAGE(OFFSET($H$3,0,0,'Données projet'!$E$13+1,1))</f>
        <v>321.56347025977988</v>
      </c>
      <c r="CZ40" s="62">
        <f t="shared" si="42"/>
        <v>285.79375360040717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17.292389748105077</v>
      </c>
      <c r="DG40" s="23">
        <f>EXP(-LN(2)/25)*DG39+(1-EXP(-LN(2)/25))/(LN(2)/25)*Calculateur!DB40*Calculateur!DD40*VLOOKUP('Données projet'!$B$13,Paramètres!$A$1:$I$89,3,0)*0.475*44/12</f>
        <v>9.3308332835055996</v>
      </c>
      <c r="DH40" s="23">
        <f>EXP(-LN(2)/2)*DH39+(1-EXP(-LN(2)/2))/(LN(2)/2)*DB40*DE40*VLOOKUP('Données projet'!$B$13,Paramètres!$A$1:$I$89,3,0)*0.475*44/12</f>
        <v>0.63120687335209402</v>
      </c>
      <c r="DI40" s="24">
        <f t="shared" si="15"/>
        <v>27.254429904962773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14.4</v>
      </c>
      <c r="DO40" s="13">
        <f>IF('Données projet'!$A$166&gt;35,DO39+DN40-DW39,IF(A40&lt;'Données projet'!$A$166,$DL$205^A40,IF(A40='Données projet'!$A$166,'Données projet'!$B$166,DO39+DN40-DW39)))</f>
        <v>220.80000000000004</v>
      </c>
      <c r="DP40" s="18">
        <f>DO40*VLOOKUP('Données projet'!$B$14,Paramètres!$A$1:$I$89,3,0)*VLOOKUP('Données projet'!$B$14,Paramètres!$A$1:$I$89,5,0)</f>
        <v>132.03840000000005</v>
      </c>
      <c r="DQ40" s="14">
        <f t="shared" si="43"/>
        <v>34.466946374534373</v>
      </c>
      <c r="DR40" s="22">
        <f t="shared" si="16"/>
        <v>289.99681160231415</v>
      </c>
      <c r="DS40" s="62">
        <f t="shared" si="17"/>
        <v>583.33014493564747</v>
      </c>
      <c r="DT40" s="62">
        <f ca="1">AVERAGE(OFFSET($DS$3,0,0,'Données projet'!$E$14+1,1))-AVERAGE(OFFSET($H$3,0,0,'Données projet'!$E$14+1,1))</f>
        <v>287.69656598881124</v>
      </c>
      <c r="DU40" s="62">
        <f t="shared" si="44"/>
        <v>221.9773436301067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2.2744416746558458</v>
      </c>
      <c r="ED40" s="24">
        <f t="shared" si="18"/>
        <v>2.2744416746558458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344.36303707479811</v>
      </c>
      <c r="T41" s="62">
        <f t="shared" si="34"/>
        <v>207.92972431357452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9.0238095238095237</v>
      </c>
      <c r="AI41" s="14">
        <f>IF('Données projet'!$A$62&gt;35,AI40+AH41-AQ40,IF(A41&lt;'Données projet'!$A$62,$AF$205^A41,IF(A41='Données projet'!$A$62,'Données projet'!$B$62,AI40+AH41-AQ40)))</f>
        <v>342.90476190476176</v>
      </c>
      <c r="AJ41" s="14">
        <f>AI41*VLOOKUP('Données projet'!$B$10,Paramètres!$A$1:$I$89,3,0)*VLOOKUP('Données projet'!$B$10,Paramètres!$A$1:$I$89,5,0)</f>
        <v>160.47942857142851</v>
      </c>
      <c r="AK41" s="14">
        <f t="shared" si="35"/>
        <v>40.950633022073781</v>
      </c>
      <c r="AL41" s="22">
        <f t="shared" si="4"/>
        <v>350.82402394201648</v>
      </c>
      <c r="AM41" s="62">
        <f t="shared" si="5"/>
        <v>644.1573572753498</v>
      </c>
      <c r="AN41" s="62">
        <f ca="1">AVERAGE(OFFSET($AM$3,0,0,'Données projet'!$E$10+1,1))-AVERAGE(OFFSET($H$3,0,0,'Données projet'!$E$10+1,1))</f>
        <v>273.94989417245978</v>
      </c>
      <c r="AO41" s="62">
        <f t="shared" si="36"/>
        <v>244.91615281423549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171.79999999999995</v>
      </c>
      <c r="BE41" s="14">
        <f>BD41*VLOOKUP('Données projet'!$B$11,Paramètres!$A$1:$I$89,3,0)*VLOOKUP('Données projet'!$B$11,Paramètres!$A$1:$I$89,5,0)</f>
        <v>150.08447999999999</v>
      </c>
      <c r="BF41" s="14">
        <f t="shared" si="37"/>
        <v>38.597783374841299</v>
      </c>
      <c r="BG41" s="22">
        <f t="shared" si="7"/>
        <v>328.62160871118186</v>
      </c>
      <c r="BH41" s="62">
        <f t="shared" si="8"/>
        <v>621.95494204451518</v>
      </c>
      <c r="BI41" s="62">
        <f ca="1">AVERAGE(OFFSET($BH$3,0,0,'Données projet'!$E$11+1,1))-AVERAGE(OFFSET($H$3,0,0,'Données projet'!$E$11+1,1))</f>
        <v>247.81726778334098</v>
      </c>
      <c r="BJ41" s="62">
        <f t="shared" si="38"/>
        <v>278.55937893537259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1.2115766063063762</v>
      </c>
      <c r="BS41" s="24">
        <f t="shared" si="9"/>
        <v>1.2115766063063762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156.11420010556668</v>
      </c>
      <c r="CE41" s="62">
        <f t="shared" si="40"/>
        <v>318.01952986326501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84.325793725205756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16.624058999440891</v>
      </c>
      <c r="CN41" s="24">
        <f t="shared" si="12"/>
        <v>100.94985272464665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22.82714285714286</v>
      </c>
      <c r="CT41" s="13">
        <f>IF('Données projet'!$A$140&gt;35,CT40+CS41-DB40,IF(A41&lt;'Données projet'!$A$140,$CQ$205^A41,IF(A41='Données projet'!$A$140,'Données projet'!$B$140,CT40+CS41-DB40)))</f>
        <v>358.92142857142858</v>
      </c>
      <c r="CU41" s="18">
        <f>CT41*VLOOKUP('Données projet'!$B$13,Paramètres!$A$1:$I$89,3,0)*VLOOKUP('Données projet'!$B$13,Paramètres!$A$1:$I$89,5,0)</f>
        <v>200.63707857142856</v>
      </c>
      <c r="CV41" s="14">
        <f t="shared" si="41"/>
        <v>49.884152387105956</v>
      </c>
      <c r="CW41" s="22">
        <f t="shared" si="13"/>
        <v>436.32447725278098</v>
      </c>
      <c r="CX41" s="62">
        <f t="shared" si="14"/>
        <v>729.65781058611424</v>
      </c>
      <c r="CY41" s="62">
        <f ca="1">AVERAGE(OFFSET($CX$3,0,0,'Données projet'!$E$13+1,1))-AVERAGE(OFFSET($H$3,0,0,'Données projet'!$E$13+1,1))</f>
        <v>321.56347025977988</v>
      </c>
      <c r="CZ41" s="62">
        <f t="shared" si="42"/>
        <v>285.79375360040717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16.953296532461021</v>
      </c>
      <c r="DG41" s="23">
        <f>EXP(-LN(2)/25)*DG40+(1-EXP(-LN(2)/25))/(LN(2)/25)*Calculateur!DB41*Calculateur!DD41*VLOOKUP('Données projet'!$B$13,Paramètres!$A$1:$I$89,3,0)*0.475*44/12</f>
        <v>9.0756811566809432</v>
      </c>
      <c r="DH41" s="23">
        <f>EXP(-LN(2)/2)*DH40+(1-EXP(-LN(2)/2))/(LN(2)/2)*DB41*DE41*VLOOKUP('Données projet'!$B$13,Paramètres!$A$1:$I$89,3,0)*0.475*44/12</f>
        <v>0.44633066047882397</v>
      </c>
      <c r="DI41" s="24">
        <f t="shared" si="15"/>
        <v>26.475308349620789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14.4</v>
      </c>
      <c r="DO41" s="13">
        <f>IF('Données projet'!$A$166&gt;35,DO40+DN41-DW40,IF(A41&lt;'Données projet'!$A$166,$DL$205^A41,IF(A41='Données projet'!$A$166,'Données projet'!$B$166,DO40+DN41-DW40)))</f>
        <v>235.20000000000005</v>
      </c>
      <c r="DP41" s="18">
        <f>DO41*VLOOKUP('Données projet'!$B$14,Paramètres!$A$1:$I$89,3,0)*VLOOKUP('Données projet'!$B$14,Paramètres!$A$1:$I$89,5,0)</f>
        <v>140.64960000000002</v>
      </c>
      <c r="DQ41" s="14">
        <f t="shared" si="43"/>
        <v>36.445779615258601</v>
      </c>
      <c r="DR41" s="22">
        <f t="shared" si="16"/>
        <v>308.44111949657542</v>
      </c>
      <c r="DS41" s="62">
        <f t="shared" si="17"/>
        <v>601.7744528299088</v>
      </c>
      <c r="DT41" s="62">
        <f ca="1">AVERAGE(OFFSET($DS$3,0,0,'Données projet'!$E$14+1,1))-AVERAGE(OFFSET($H$3,0,0,'Données projet'!$E$14+1,1))</f>
        <v>287.69656598881124</v>
      </c>
      <c r="DU41" s="62">
        <f t="shared" si="44"/>
        <v>221.9773436301067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1.6082731315624359</v>
      </c>
      <c r="ED41" s="24">
        <f t="shared" si="18"/>
        <v>1.6082731315624359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344.36303707479811</v>
      </c>
      <c r="T42" s="62">
        <f t="shared" si="34"/>
        <v>207.92972431357452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9.0238095238095237</v>
      </c>
      <c r="AI42" s="14">
        <f>IF('Données projet'!$A$62&gt;35,AI41+AH42-AQ41,IF(A42&lt;'Données projet'!$A$62,$AF$205^A42,IF(A42='Données projet'!$A$62,'Données projet'!$B$62,AI41+AH42-AQ41)))</f>
        <v>351.92857142857127</v>
      </c>
      <c r="AJ42" s="14">
        <f>AI42*VLOOKUP('Données projet'!$B$10,Paramètres!$A$1:$I$89,3,0)*VLOOKUP('Données projet'!$B$10,Paramètres!$A$1:$I$89,5,0)</f>
        <v>164.70257142857136</v>
      </c>
      <c r="AK42" s="14">
        <f t="shared" si="35"/>
        <v>41.901398706181055</v>
      </c>
      <c r="AL42" s="22">
        <f t="shared" si="4"/>
        <v>359.83524798469381</v>
      </c>
      <c r="AM42" s="62">
        <f t="shared" si="5"/>
        <v>653.16858131802712</v>
      </c>
      <c r="AN42" s="62">
        <f ca="1">AVERAGE(OFFSET($AM$3,0,0,'Données projet'!$E$10+1,1))-AVERAGE(OFFSET($H$3,0,0,'Données projet'!$E$10+1,1))</f>
        <v>273.94989417245978</v>
      </c>
      <c r="AO42" s="62">
        <f t="shared" si="36"/>
        <v>244.91615281423549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181.39999999999995</v>
      </c>
      <c r="BE42" s="14">
        <f>BD42*VLOOKUP('Données projet'!$B$11,Paramètres!$A$1:$I$89,3,0)*VLOOKUP('Données projet'!$B$11,Paramètres!$A$1:$I$89,5,0)</f>
        <v>158.47103999999996</v>
      </c>
      <c r="BF42" s="14">
        <f t="shared" si="37"/>
        <v>40.497461727609561</v>
      </c>
      <c r="BG42" s="22">
        <f t="shared" si="7"/>
        <v>346.53680717558655</v>
      </c>
      <c r="BH42" s="62">
        <f t="shared" si="8"/>
        <v>639.8701405089198</v>
      </c>
      <c r="BI42" s="62">
        <f ca="1">AVERAGE(OFFSET($BH$3,0,0,'Données projet'!$E$11+1,1))-AVERAGE(OFFSET($H$3,0,0,'Données projet'!$E$11+1,1))</f>
        <v>247.81726778334098</v>
      </c>
      <c r="BJ42" s="62">
        <f t="shared" si="38"/>
        <v>278.55937893537259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0.85671403424622261</v>
      </c>
      <c r="BS42" s="24">
        <f t="shared" si="9"/>
        <v>0.85671403424622261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156.11420010556668</v>
      </c>
      <c r="CE42" s="62">
        <f t="shared" si="40"/>
        <v>318.01952986326501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82.672216343909994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11.754984849349906</v>
      </c>
      <c r="CN42" s="24">
        <f t="shared" si="12"/>
        <v>94.427201193259904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22.82714285714286</v>
      </c>
      <c r="CT42" s="13">
        <f>IF('Données projet'!$A$140&gt;35,CT41+CS42-DB41,IF(A42&lt;'Données projet'!$A$140,$CQ$205^A42,IF(A42='Données projet'!$A$140,'Données projet'!$B$140,CT41+CS42-DB41)))</f>
        <v>381.74857142857144</v>
      </c>
      <c r="CU42" s="18">
        <f>CT42*VLOOKUP('Données projet'!$B$13,Paramètres!$A$1:$I$89,3,0)*VLOOKUP('Données projet'!$B$13,Paramètres!$A$1:$I$89,5,0)</f>
        <v>213.39745142857146</v>
      </c>
      <c r="CV42" s="14">
        <f t="shared" si="41"/>
        <v>52.67731943158536</v>
      </c>
      <c r="CW42" s="22">
        <f t="shared" si="13"/>
        <v>463.41355924810642</v>
      </c>
      <c r="CX42" s="62">
        <f t="shared" si="14"/>
        <v>756.74689258143974</v>
      </c>
      <c r="CY42" s="62">
        <f ca="1">AVERAGE(OFFSET($CX$3,0,0,'Données projet'!$E$13+1,1))-AVERAGE(OFFSET($H$3,0,0,'Données projet'!$E$13+1,1))</f>
        <v>321.56347025977988</v>
      </c>
      <c r="CZ42" s="62">
        <f t="shared" si="42"/>
        <v>285.79375360040717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16.620852727949305</v>
      </c>
      <c r="DG42" s="23">
        <f>EXP(-LN(2)/25)*DG41+(1-EXP(-LN(2)/25))/(LN(2)/25)*Calculateur!DB42*Calculateur!DD42*VLOOKUP('Données projet'!$B$13,Paramètres!$A$1:$I$89,3,0)*0.475*44/12</f>
        <v>8.8275061781821744</v>
      </c>
      <c r="DH42" s="23">
        <f>EXP(-LN(2)/2)*DH41+(1-EXP(-LN(2)/2))/(LN(2)/2)*DB42*DE42*VLOOKUP('Données projet'!$B$13,Paramètres!$A$1:$I$89,3,0)*0.475*44/12</f>
        <v>0.31560343667604701</v>
      </c>
      <c r="DI42" s="24">
        <f t="shared" si="15"/>
        <v>25.763962342807528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14.4</v>
      </c>
      <c r="DO42" s="13">
        <f>IF('Données projet'!$A$166&gt;35,DO41+DN42-DW41,IF(A42&lt;'Données projet'!$A$166,$DL$205^A42,IF(A42='Données projet'!$A$166,'Données projet'!$B$166,DO41+DN42-DW41)))</f>
        <v>249.60000000000005</v>
      </c>
      <c r="DP42" s="18">
        <f>DO42*VLOOKUP('Données projet'!$B$14,Paramètres!$A$1:$I$89,3,0)*VLOOKUP('Données projet'!$B$14,Paramètres!$A$1:$I$89,5,0)</f>
        <v>149.26080000000005</v>
      </c>
      <c r="DQ42" s="14">
        <f t="shared" si="43"/>
        <v>38.410551499792909</v>
      </c>
      <c r="DR42" s="22">
        <f t="shared" si="16"/>
        <v>326.86093719547273</v>
      </c>
      <c r="DS42" s="62">
        <f t="shared" si="17"/>
        <v>620.1942705288061</v>
      </c>
      <c r="DT42" s="62">
        <f ca="1">AVERAGE(OFFSET($DS$3,0,0,'Données projet'!$E$14+1,1))-AVERAGE(OFFSET($H$3,0,0,'Données projet'!$E$14+1,1))</f>
        <v>287.69656598881124</v>
      </c>
      <c r="DU42" s="62">
        <f t="shared" si="44"/>
        <v>221.9773436301067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1.1372208373279229</v>
      </c>
      <c r="ED42" s="24">
        <f t="shared" si="18"/>
        <v>1.1372208373279229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344.36303707479811</v>
      </c>
      <c r="T43" s="62">
        <f t="shared" si="34"/>
        <v>207.92972431357452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9.0238095238095237</v>
      </c>
      <c r="AI43" s="14">
        <f>IF('Données projet'!$A$62&gt;35,AI42+AH43-AQ42,IF(A43&lt;'Données projet'!$A$62,$AF$205^A43,IF(A43='Données projet'!$A$62,'Données projet'!$B$62,AI42+AH43-AQ42)))</f>
        <v>360.95238095238079</v>
      </c>
      <c r="AJ43" s="14">
        <f>AI43*VLOOKUP('Données projet'!$B$10,Paramètres!$A$1:$I$89,3,0)*VLOOKUP('Données projet'!$B$10,Paramètres!$A$1:$I$89,5,0)</f>
        <v>168.92571428571424</v>
      </c>
      <c r="AK43" s="14">
        <f t="shared" si="35"/>
        <v>42.849330622717098</v>
      </c>
      <c r="AL43" s="22">
        <f t="shared" si="4"/>
        <v>368.84153654885125</v>
      </c>
      <c r="AM43" s="62">
        <f t="shared" si="5"/>
        <v>662.17486988218457</v>
      </c>
      <c r="AN43" s="62">
        <f ca="1">AVERAGE(OFFSET($AM$3,0,0,'Données projet'!$E$10+1,1))-AVERAGE(OFFSET($H$3,0,0,'Données projet'!$E$10+1,1))</f>
        <v>273.94989417245978</v>
      </c>
      <c r="AO43" s="62">
        <f t="shared" si="36"/>
        <v>244.91615281423549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190.99999999999994</v>
      </c>
      <c r="BE43" s="14">
        <f>BD43*VLOOKUP('Données projet'!$B$11,Paramètres!$A$1:$I$89,3,0)*VLOOKUP('Données projet'!$B$11,Paramètres!$A$1:$I$89,5,0)</f>
        <v>166.85759999999996</v>
      </c>
      <c r="BF43" s="14">
        <f t="shared" si="37"/>
        <v>42.385468111966098</v>
      </c>
      <c r="BG43" s="22">
        <f t="shared" si="7"/>
        <v>364.43167696167421</v>
      </c>
      <c r="BH43" s="62">
        <f t="shared" si="8"/>
        <v>657.76501029500753</v>
      </c>
      <c r="BI43" s="62">
        <f ca="1">AVERAGE(OFFSET($BH$3,0,0,'Données projet'!$E$11+1,1))-AVERAGE(OFFSET($H$3,0,0,'Données projet'!$E$11+1,1))</f>
        <v>247.81726778334098</v>
      </c>
      <c r="BJ43" s="62">
        <f t="shared" si="38"/>
        <v>278.55937893537259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33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0.6057883031531881</v>
      </c>
      <c r="BS43" s="24">
        <f t="shared" si="9"/>
        <v>0.6057883031531881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156.11420010556668</v>
      </c>
      <c r="CE43" s="62">
        <f t="shared" si="40"/>
        <v>318.01952986326501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81.051064606478832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8.3120294997204454</v>
      </c>
      <c r="CN43" s="24">
        <f t="shared" si="12"/>
        <v>89.36309410619927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22.82714285714286</v>
      </c>
      <c r="CT43" s="13">
        <f>IF('Données projet'!$A$140&gt;35,CT42+CS43-DB42,IF(A43&lt;'Données projet'!$A$140,$CQ$205^A43,IF(A43='Données projet'!$A$140,'Données projet'!$B$140,CT42+CS43-DB42)))</f>
        <v>404.5757142857143</v>
      </c>
      <c r="CU43" s="18">
        <f>CT43*VLOOKUP('Données projet'!$B$13,Paramètres!$A$1:$I$89,3,0)*VLOOKUP('Données projet'!$B$13,Paramètres!$A$1:$I$89,5,0)</f>
        <v>226.1578242857143</v>
      </c>
      <c r="CV43" s="14">
        <f t="shared" si="41"/>
        <v>55.451100541643569</v>
      </c>
      <c r="CW43" s="22">
        <f t="shared" si="13"/>
        <v>490.46887740764834</v>
      </c>
      <c r="CX43" s="62">
        <f t="shared" si="14"/>
        <v>783.80221074098165</v>
      </c>
      <c r="CY43" s="62">
        <f ca="1">AVERAGE(OFFSET($CX$3,0,0,'Données projet'!$E$13+1,1))-AVERAGE(OFFSET($H$3,0,0,'Données projet'!$E$13+1,1))</f>
        <v>321.56347025977988</v>
      </c>
      <c r="CZ43" s="62">
        <f t="shared" si="42"/>
        <v>285.79375360040717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16.294927943673368</v>
      </c>
      <c r="DG43" s="23">
        <f>EXP(-LN(2)/25)*DG42+(1-EXP(-LN(2)/25))/(LN(2)/25)*Calculateur!DB43*Calculateur!DD43*VLOOKUP('Données projet'!$B$13,Paramètres!$A$1:$I$89,3,0)*0.475*44/12</f>
        <v>8.5861175575214084</v>
      </c>
      <c r="DH43" s="23">
        <f>EXP(-LN(2)/2)*DH42+(1-EXP(-LN(2)/2))/(LN(2)/2)*DB43*DE43*VLOOKUP('Données projet'!$B$13,Paramètres!$A$1:$I$89,3,0)*0.475*44/12</f>
        <v>0.22316533023941199</v>
      </c>
      <c r="DI43" s="24">
        <f t="shared" si="15"/>
        <v>25.104210831434187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264</v>
      </c>
      <c r="DM43" s="13">
        <f>VLOOKUP(A43,'Données projet'!$A$165:$I$185,9,0)</f>
        <v>14.4</v>
      </c>
      <c r="DN43" s="13">
        <f t="array" ref="DN43">INDEX(DM:DM,MIN(IF(ISNUMBER(DM43:DM239),ROW(DM43:DM239),"")))</f>
        <v>14.4</v>
      </c>
      <c r="DO43" s="13">
        <f>IF('Données projet'!$A$166&gt;35,DO42+DN43-DW42,IF(A43&lt;'Données projet'!$A$166,$DL$205^A43,IF(A43='Données projet'!$A$166,'Données projet'!$B$166,DO42+DN43-DW42)))</f>
        <v>264.00000000000006</v>
      </c>
      <c r="DP43" s="18">
        <f>DO43*VLOOKUP('Données projet'!$B$14,Paramètres!$A$1:$I$89,3,0)*VLOOKUP('Données projet'!$B$14,Paramètres!$A$1:$I$89,5,0)</f>
        <v>157.87200000000004</v>
      </c>
      <c r="DQ43" s="14">
        <f t="shared" si="43"/>
        <v>40.362165684361159</v>
      </c>
      <c r="DR43" s="22">
        <f t="shared" si="16"/>
        <v>345.25783856692902</v>
      </c>
      <c r="DS43" s="62">
        <f t="shared" si="17"/>
        <v>638.59117190026234</v>
      </c>
      <c r="DT43" s="62">
        <f ca="1">AVERAGE(OFFSET($DS$3,0,0,'Données projet'!$E$14+1,1))-AVERAGE(OFFSET($H$3,0,0,'Données projet'!$E$14+1,1))</f>
        <v>287.69656598881124</v>
      </c>
      <c r="DU43" s="62">
        <f t="shared" si="44"/>
        <v>221.9773436301067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41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0.80413656578121795</v>
      </c>
      <c r="ED43" s="24">
        <f t="shared" si="18"/>
        <v>0.80413656578121795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344.36303707479811</v>
      </c>
      <c r="T44" s="62">
        <f t="shared" si="34"/>
        <v>207.92972431357452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9.0238095238095237</v>
      </c>
      <c r="AI44" s="14">
        <f>IF('Données projet'!$A$62&gt;35,AI43+AH44-AQ43,IF(A44&lt;'Données projet'!$A$62,$AF$205^A44,IF(A44='Données projet'!$A$62,'Données projet'!$B$62,AI43+AH44-AQ43)))</f>
        <v>369.97619047619031</v>
      </c>
      <c r="AJ44" s="14">
        <f>AI44*VLOOKUP('Données projet'!$B$10,Paramètres!$A$1:$I$89,3,0)*VLOOKUP('Données projet'!$B$10,Paramètres!$A$1:$I$89,5,0)</f>
        <v>173.14885714285705</v>
      </c>
      <c r="AK44" s="14">
        <f t="shared" si="35"/>
        <v>43.794507763815865</v>
      </c>
      <c r="AL44" s="22">
        <f t="shared" si="4"/>
        <v>377.8430272124553</v>
      </c>
      <c r="AM44" s="62">
        <f t="shared" si="5"/>
        <v>671.17636054578861</v>
      </c>
      <c r="AN44" s="62">
        <f ca="1">AVERAGE(OFFSET($AM$3,0,0,'Données projet'!$E$10+1,1))-AVERAGE(OFFSET($H$3,0,0,'Données projet'!$E$10+1,1))</f>
        <v>273.94989417245978</v>
      </c>
      <c r="AO44" s="62">
        <f t="shared" si="36"/>
        <v>244.91615281423549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8.6</v>
      </c>
      <c r="BD44" s="13">
        <f>IF('Données projet'!$A$88&gt;35,BD43+BC44-BL43,IF(A44&lt;'Données projet'!$A$88,$BA$205^A44,IF(A44='Données projet'!$A$88,'Données projet'!$B$88,BD43+BC44-BL43)))</f>
        <v>166.59999999999994</v>
      </c>
      <c r="BE44" s="14">
        <f>BD44*VLOOKUP('Données projet'!$B$11,Paramètres!$A$1:$I$89,3,0)*VLOOKUP('Données projet'!$B$11,Paramètres!$A$1:$I$89,5,0)</f>
        <v>145.54175999999998</v>
      </c>
      <c r="BF44" s="14">
        <f t="shared" si="37"/>
        <v>37.563662342876064</v>
      </c>
      <c r="BG44" s="22">
        <f t="shared" si="7"/>
        <v>318.90861058050911</v>
      </c>
      <c r="BH44" s="62">
        <f t="shared" si="8"/>
        <v>612.24194391384242</v>
      </c>
      <c r="BI44" s="62">
        <f ca="1">AVERAGE(OFFSET($BH$3,0,0,'Données projet'!$E$11+1,1))-AVERAGE(OFFSET($H$3,0,0,'Données projet'!$E$11+1,1))</f>
        <v>247.81726778334098</v>
      </c>
      <c r="BJ44" s="62">
        <f t="shared" si="38"/>
        <v>278.55937893537259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0.42835701712311131</v>
      </c>
      <c r="BS44" s="24">
        <f t="shared" si="9"/>
        <v>0.42835701712311131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156.11420010556668</v>
      </c>
      <c r="CE44" s="62">
        <f t="shared" si="40"/>
        <v>318.01952986326501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79.46170266581376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5.8774924246749531</v>
      </c>
      <c r="CN44" s="24">
        <f t="shared" si="12"/>
        <v>85.339195090488715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22.82714285714286</v>
      </c>
      <c r="CT44" s="13">
        <f>IF('Données projet'!$A$140&gt;35,CT43+CS44-DB43,IF(A44&lt;'Données projet'!$A$140,$CQ$205^A44,IF(A44='Données projet'!$A$140,'Données projet'!$B$140,CT43+CS44-DB43)))</f>
        <v>427.40285714285716</v>
      </c>
      <c r="CU44" s="18">
        <f>CT44*VLOOKUP('Données projet'!$B$13,Paramètres!$A$1:$I$89,3,0)*VLOOKUP('Données projet'!$B$13,Paramètres!$A$1:$I$89,5,0)</f>
        <v>238.91819714285714</v>
      </c>
      <c r="CV44" s="14">
        <f t="shared" si="41"/>
        <v>58.206714164613295</v>
      </c>
      <c r="CW44" s="22">
        <f t="shared" si="13"/>
        <v>517.49255386051107</v>
      </c>
      <c r="CX44" s="62">
        <f t="shared" si="14"/>
        <v>810.82588719384444</v>
      </c>
      <c r="CY44" s="62">
        <f ca="1">AVERAGE(OFFSET($CX$3,0,0,'Données projet'!$E$13+1,1))-AVERAGE(OFFSET($H$3,0,0,'Données projet'!$E$13+1,1))</f>
        <v>321.56347025977988</v>
      </c>
      <c r="CZ44" s="62">
        <f t="shared" si="42"/>
        <v>285.79375360040717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15.975394345622592</v>
      </c>
      <c r="DG44" s="23">
        <f>EXP(-LN(2)/25)*DG43+(1-EXP(-LN(2)/25))/(LN(2)/25)*Calculateur!DB44*Calculateur!DD44*VLOOKUP('Données projet'!$B$13,Paramètres!$A$1:$I$89,3,0)*0.475*44/12</f>
        <v>8.3513297213866871</v>
      </c>
      <c r="DH44" s="23">
        <f>EXP(-LN(2)/2)*DH43+(1-EXP(-LN(2)/2))/(LN(2)/2)*DB44*DE44*VLOOKUP('Données projet'!$B$13,Paramètres!$A$1:$I$89,3,0)*0.475*44/12</f>
        <v>0.15780171833802351</v>
      </c>
      <c r="DI44" s="24">
        <f t="shared" si="15"/>
        <v>24.484525785347305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16.600000000000001</v>
      </c>
      <c r="DO44" s="13">
        <f>IF('Données projet'!$A$166&gt;35,DO43+DN44-DW43,IF(A44&lt;'Données projet'!$A$166,$DL$205^A44,IF(A44='Données projet'!$A$166,'Données projet'!$B$166,DO43+DN44-DW43)))</f>
        <v>239.60000000000008</v>
      </c>
      <c r="DP44" s="18">
        <f>DO44*VLOOKUP('Données projet'!$B$14,Paramètres!$A$1:$I$89,3,0)*VLOOKUP('Données projet'!$B$14,Paramètres!$A$1:$I$89,5,0)</f>
        <v>143.28080000000006</v>
      </c>
      <c r="DQ44" s="14">
        <f t="shared" si="43"/>
        <v>37.047574465948976</v>
      </c>
      <c r="DR44" s="22">
        <f t="shared" si="16"/>
        <v>314.07191886152788</v>
      </c>
      <c r="DS44" s="62">
        <f t="shared" si="17"/>
        <v>607.40525219486119</v>
      </c>
      <c r="DT44" s="62">
        <f ca="1">AVERAGE(OFFSET($DS$3,0,0,'Données projet'!$E$14+1,1))-AVERAGE(OFFSET($H$3,0,0,'Données projet'!$E$14+1,1))</f>
        <v>287.69656598881124</v>
      </c>
      <c r="DU44" s="62">
        <f t="shared" si="44"/>
        <v>221.9773436301067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0.56861041866396145</v>
      </c>
      <c r="ED44" s="24">
        <f t="shared" si="18"/>
        <v>0.56861041866396145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344.36303707479811</v>
      </c>
      <c r="T45" s="62">
        <f t="shared" si="34"/>
        <v>207.92972431357452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379</v>
      </c>
      <c r="AG45" s="13">
        <f>VLOOKUP(A45,'Données projet'!$A$61:$I$81,9,0)</f>
        <v>9.0238095238095237</v>
      </c>
      <c r="AH45" s="13">
        <f t="array" ref="AH45">INDEX(AG:AG,MIN(IF(ISNUMBER(AG45:AG241),ROW(AG45:AG241),"")))</f>
        <v>9.0238095238095237</v>
      </c>
      <c r="AI45" s="14">
        <f>IF('Données projet'!$A$62&gt;35,AI44+AH45-AQ44,IF(A45&lt;'Données projet'!$A$62,$AF$205^A45,IF(A45='Données projet'!$A$62,'Données projet'!$B$62,AI44+AH45-AQ44)))</f>
        <v>378.99999999999983</v>
      </c>
      <c r="AJ45" s="14">
        <f>AI45*VLOOKUP('Données projet'!$B$10,Paramètres!$A$1:$I$89,3,0)*VLOOKUP('Données projet'!$B$10,Paramètres!$A$1:$I$89,5,0)</f>
        <v>177.37199999999993</v>
      </c>
      <c r="AK45" s="14">
        <f t="shared" si="35"/>
        <v>44.737005048641883</v>
      </c>
      <c r="AL45" s="22">
        <f t="shared" si="4"/>
        <v>386.83985045971781</v>
      </c>
      <c r="AM45" s="62">
        <f t="shared" si="5"/>
        <v>680.17318379305107</v>
      </c>
      <c r="AN45" s="62">
        <f ca="1">AVERAGE(OFFSET($AM$3,0,0,'Données projet'!$E$10+1,1))-AVERAGE(OFFSET($H$3,0,0,'Données projet'!$E$10+1,1))</f>
        <v>273.94989417245978</v>
      </c>
      <c r="AO45" s="62">
        <f t="shared" si="36"/>
        <v>244.91615281423549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110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8.6</v>
      </c>
      <c r="BD45" s="13">
        <f>IF('Données projet'!$A$88&gt;35,BD44+BC45-BL44,IF(A45&lt;'Données projet'!$A$88,$BA$205^A45,IF(A45='Données projet'!$A$88,'Données projet'!$B$88,BD44+BC45-BL44)))</f>
        <v>175.19999999999993</v>
      </c>
      <c r="BE45" s="14">
        <f>BD45*VLOOKUP('Données projet'!$B$11,Paramètres!$A$1:$I$89,3,0)*VLOOKUP('Données projet'!$B$11,Paramètres!$A$1:$I$89,5,0)</f>
        <v>153.05471999999995</v>
      </c>
      <c r="BF45" s="14">
        <f t="shared" si="37"/>
        <v>39.271965088385166</v>
      </c>
      <c r="BG45" s="22">
        <f t="shared" si="7"/>
        <v>334.96897652893739</v>
      </c>
      <c r="BH45" s="62">
        <f t="shared" si="8"/>
        <v>628.3023098622707</v>
      </c>
      <c r="BI45" s="62">
        <f ca="1">AVERAGE(OFFSET($BH$3,0,0,'Données projet'!$E$11+1,1))-AVERAGE(OFFSET($H$3,0,0,'Données projet'!$E$11+1,1))</f>
        <v>247.81726778334098</v>
      </c>
      <c r="BJ45" s="62">
        <f t="shared" si="38"/>
        <v>278.55937893537259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0.30289415157659405</v>
      </c>
      <c r="BS45" s="24">
        <f t="shared" si="9"/>
        <v>0.30289415157659405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156.11420010556668</v>
      </c>
      <c r="CE45" s="62">
        <f t="shared" si="40"/>
        <v>318.01952986326501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77.903507143390073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4.1560147498602227</v>
      </c>
      <c r="CN45" s="24">
        <f t="shared" si="12"/>
        <v>82.059521893250292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450.23</v>
      </c>
      <c r="CR45" s="13">
        <f>VLOOKUP(A45,'Données projet'!$A$139:$I$159,9,0)</f>
        <v>22.82714285714286</v>
      </c>
      <c r="CS45" s="13">
        <f t="array" ref="CS45">INDEX(CR:CR,MIN(IF(ISNUMBER(CR45:CR241),ROW(CR45:CR241),"")))</f>
        <v>22.82714285714286</v>
      </c>
      <c r="CT45" s="13">
        <f>IF('Données projet'!$A$140&gt;35,CT44+CS45-DB44,IF(A45&lt;'Données projet'!$A$140,$CQ$205^A45,IF(A45='Données projet'!$A$140,'Données projet'!$B$140,CT44+CS45-DB44)))</f>
        <v>450.23</v>
      </c>
      <c r="CU45" s="18">
        <f>CT45*VLOOKUP('Données projet'!$B$13,Paramètres!$A$1:$I$89,3,0)*VLOOKUP('Données projet'!$B$13,Paramètres!$A$1:$I$89,5,0)</f>
        <v>251.67857000000004</v>
      </c>
      <c r="CV45" s="14">
        <f t="shared" si="41"/>
        <v>60.945241245024086</v>
      </c>
      <c r="CW45" s="22">
        <f t="shared" si="13"/>
        <v>544.48647125175023</v>
      </c>
      <c r="CX45" s="62">
        <f t="shared" si="14"/>
        <v>837.8198045850836</v>
      </c>
      <c r="CY45" s="62">
        <f ca="1">AVERAGE(OFFSET($CX$3,0,0,'Données projet'!$E$13+1,1))-AVERAGE(OFFSET($H$3,0,0,'Données projet'!$E$13+1,1))</f>
        <v>321.56347025977988</v>
      </c>
      <c r="CZ45" s="62">
        <f t="shared" si="42"/>
        <v>285.79375360040717</v>
      </c>
      <c r="DA45" s="16">
        <f>IF(ISNA(VLOOKUP(A45,'Données projet'!$A$139:$I$159,3,0)),0,VLOOKUP(A45,'Données projet'!$A$139:$I$159,3,0))</f>
        <v>5</v>
      </c>
      <c r="DB45" s="16">
        <f>IF(ISNA(VLOOKUP(A45,'Données projet'!$A$139:$I$159,4,0)),0,VLOOKUP(A45,'Données projet'!$A$139:$I$159,4,0))</f>
        <v>99.98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15.66212660653334</v>
      </c>
      <c r="DG45" s="23">
        <f>EXP(-LN(2)/25)*DG44+(1-EXP(-LN(2)/25))/(LN(2)/25)*Calculateur!DB45*Calculateur!DD45*VLOOKUP('Données projet'!$B$13,Paramètres!$A$1:$I$89,3,0)*0.475*44/12</f>
        <v>8.1229621709780258</v>
      </c>
      <c r="DH45" s="23">
        <f>EXP(-LN(2)/2)*DH44+(1-EXP(-LN(2)/2))/(LN(2)/2)*DB45*DE45*VLOOKUP('Données projet'!$B$13,Paramètres!$A$1:$I$89,3,0)*0.475*44/12</f>
        <v>0.11158266511970599</v>
      </c>
      <c r="DI45" s="24">
        <f t="shared" si="15"/>
        <v>23.896671442631071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16.600000000000001</v>
      </c>
      <c r="DO45" s="13">
        <f>IF('Données projet'!$A$166&gt;35,DO44+DN45-DW44,IF(A45&lt;'Données projet'!$A$166,$DL$205^A45,IF(A45='Données projet'!$A$166,'Données projet'!$B$166,DO44+DN45-DW44)))</f>
        <v>256.2000000000001</v>
      </c>
      <c r="DP45" s="18">
        <f>DO45*VLOOKUP('Données projet'!$B$14,Paramètres!$A$1:$I$89,3,0)*VLOOKUP('Données projet'!$B$14,Paramètres!$A$1:$I$89,5,0)</f>
        <v>153.20760000000007</v>
      </c>
      <c r="DQ45" s="14">
        <f t="shared" si="43"/>
        <v>39.306624169832133</v>
      </c>
      <c r="DR45" s="22">
        <f t="shared" si="16"/>
        <v>335.29560709579107</v>
      </c>
      <c r="DS45" s="62">
        <f t="shared" si="17"/>
        <v>628.62894042912444</v>
      </c>
      <c r="DT45" s="62">
        <f ca="1">AVERAGE(OFFSET($DS$3,0,0,'Données projet'!$E$14+1,1))-AVERAGE(OFFSET($H$3,0,0,'Données projet'!$E$14+1,1))</f>
        <v>287.69656598881124</v>
      </c>
      <c r="DU45" s="62">
        <f t="shared" si="44"/>
        <v>221.9773436301067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0.40206828289060897</v>
      </c>
      <c r="ED45" s="24">
        <f t="shared" si="18"/>
        <v>0.40206828289060897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344.36303707479811</v>
      </c>
      <c r="T46" s="62">
        <f t="shared" si="34"/>
        <v>207.92972431357452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20.333333333333332</v>
      </c>
      <c r="AI46" s="14">
        <f>IF('Données projet'!$A$62&gt;35,AI45+AH46-AQ45,IF(A46&lt;'Données projet'!$A$62,$AF$205^A46,IF(A46='Données projet'!$A$62,'Données projet'!$B$62,AI45+AH46-AQ45)))</f>
        <v>289.33333333333314</v>
      </c>
      <c r="AJ46" s="14">
        <f>AI46*VLOOKUP('Données projet'!$B$10,Paramètres!$A$1:$I$89,3,0)*VLOOKUP('Données projet'!$B$10,Paramètres!$A$1:$I$89,5,0)</f>
        <v>135.4079999999999</v>
      </c>
      <c r="AK46" s="14">
        <f t="shared" si="35"/>
        <v>35.243009677478696</v>
      </c>
      <c r="AL46" s="22">
        <f t="shared" si="4"/>
        <v>297.21717518827523</v>
      </c>
      <c r="AM46" s="62">
        <f t="shared" si="5"/>
        <v>590.55050852160855</v>
      </c>
      <c r="AN46" s="62">
        <f ca="1">AVERAGE(OFFSET($AM$3,0,0,'Données projet'!$E$10+1,1))-AVERAGE(OFFSET($H$3,0,0,'Données projet'!$E$10+1,1))</f>
        <v>273.94989417245978</v>
      </c>
      <c r="AO46" s="62">
        <f t="shared" si="36"/>
        <v>244.91615281423549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8.6</v>
      </c>
      <c r="BD46" s="13">
        <f>IF('Données projet'!$A$88&gt;35,BD45+BC46-BL45,IF(A46&lt;'Données projet'!$A$88,$BA$205^A46,IF(A46='Données projet'!$A$88,'Données projet'!$B$88,BD45+BC46-BL45)))</f>
        <v>183.79999999999993</v>
      </c>
      <c r="BE46" s="14">
        <f>BD46*VLOOKUP('Données projet'!$B$11,Paramètres!$A$1:$I$89,3,0)*VLOOKUP('Données projet'!$B$11,Paramètres!$A$1:$I$89,5,0)</f>
        <v>160.56767999999997</v>
      </c>
      <c r="BF46" s="14">
        <f t="shared" si="37"/>
        <v>40.970530810309882</v>
      </c>
      <c r="BG46" s="22">
        <f t="shared" si="7"/>
        <v>351.01238382795628</v>
      </c>
      <c r="BH46" s="62">
        <f t="shared" si="8"/>
        <v>644.3457171612896</v>
      </c>
      <c r="BI46" s="62">
        <f ca="1">AVERAGE(OFFSET($BH$3,0,0,'Données projet'!$E$11+1,1))-AVERAGE(OFFSET($H$3,0,0,'Données projet'!$E$11+1,1))</f>
        <v>247.81726778334098</v>
      </c>
      <c r="BJ46" s="62">
        <f t="shared" si="38"/>
        <v>278.55937893537259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0.21417850856155565</v>
      </c>
      <c r="BS46" s="24">
        <f t="shared" si="9"/>
        <v>0.21417850856155565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156.11420010556668</v>
      </c>
      <c r="CE46" s="62">
        <f t="shared" si="40"/>
        <v>318.01952986326501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76.375866884755695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2.9387462123374766</v>
      </c>
      <c r="CN46" s="24">
        <f t="shared" si="12"/>
        <v>79.314613097093172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21.939999999999998</v>
      </c>
      <c r="CT46" s="13">
        <f>IF('Données projet'!$A$140&gt;35,CT45+CS46-DB45,IF(A46&lt;'Données projet'!$A$140,$CQ$205^A46,IF(A46='Données projet'!$A$140,'Données projet'!$B$140,CT45+CS46-DB45)))</f>
        <v>372.19</v>
      </c>
      <c r="CU46" s="18">
        <f>CT46*VLOOKUP('Données projet'!$B$13,Paramètres!$A$1:$I$89,3,0)*VLOOKUP('Données projet'!$B$13,Paramètres!$A$1:$I$89,5,0)</f>
        <v>208.05420999999998</v>
      </c>
      <c r="CV46" s="14">
        <f t="shared" si="41"/>
        <v>51.510151537098693</v>
      </c>
      <c r="CW46" s="22">
        <f t="shared" si="13"/>
        <v>452.07459634378012</v>
      </c>
      <c r="CX46" s="62">
        <f t="shared" si="14"/>
        <v>745.40792967711343</v>
      </c>
      <c r="CY46" s="62">
        <f ca="1">AVERAGE(OFFSET($CX$3,0,0,'Données projet'!$E$13+1,1))-AVERAGE(OFFSET($H$3,0,0,'Données projet'!$E$13+1,1))</f>
        <v>321.56347025977988</v>
      </c>
      <c r="CZ46" s="62">
        <f t="shared" si="42"/>
        <v>285.79375360040717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15.355001856733175</v>
      </c>
      <c r="DG46" s="23">
        <f>EXP(-LN(2)/25)*DG45+(1-EXP(-LN(2)/25))/(LN(2)/25)*Calculateur!DB46*Calculateur!DD46*VLOOKUP('Données projet'!$B$13,Paramètres!$A$1:$I$89,3,0)*0.475*44/12</f>
        <v>7.9008393432446162</v>
      </c>
      <c r="DH46" s="23">
        <f>EXP(-LN(2)/2)*DH45+(1-EXP(-LN(2)/2))/(LN(2)/2)*DB46*DE46*VLOOKUP('Données projet'!$B$13,Paramètres!$A$1:$I$89,3,0)*0.475*44/12</f>
        <v>7.8900859169011753E-2</v>
      </c>
      <c r="DI46" s="24">
        <f t="shared" si="15"/>
        <v>23.334742059146802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16.600000000000001</v>
      </c>
      <c r="DO46" s="13">
        <f>IF('Données projet'!$A$166&gt;35,DO45+DN46-DW45,IF(A46&lt;'Données projet'!$A$166,$DL$205^A46,IF(A46='Données projet'!$A$166,'Données projet'!$B$166,DO45+DN46-DW45)))</f>
        <v>272.80000000000013</v>
      </c>
      <c r="DP46" s="18">
        <f>DO46*VLOOKUP('Données projet'!$B$14,Paramètres!$A$1:$I$89,3,0)*VLOOKUP('Données projet'!$B$14,Paramètres!$A$1:$I$89,5,0)</f>
        <v>163.13440000000008</v>
      </c>
      <c r="DQ46" s="14">
        <f t="shared" si="43"/>
        <v>41.548687845426002</v>
      </c>
      <c r="DR46" s="22">
        <f t="shared" si="16"/>
        <v>356.48971133078379</v>
      </c>
      <c r="DS46" s="62">
        <f t="shared" si="17"/>
        <v>649.82304466411711</v>
      </c>
      <c r="DT46" s="62">
        <f ca="1">AVERAGE(OFFSET($DS$3,0,0,'Données projet'!$E$14+1,1))-AVERAGE(OFFSET($H$3,0,0,'Données projet'!$E$14+1,1))</f>
        <v>287.69656598881124</v>
      </c>
      <c r="DU46" s="62">
        <f t="shared" si="44"/>
        <v>221.9773436301067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0.28430520933198072</v>
      </c>
      <c r="ED46" s="24">
        <f t="shared" si="18"/>
        <v>0.28430520933198072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344.36303707479811</v>
      </c>
      <c r="T47" s="62">
        <f t="shared" si="34"/>
        <v>207.92972431357452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20.333333333333332</v>
      </c>
      <c r="AI47" s="14">
        <f>IF('Données projet'!$A$62&gt;35,AI46+AH47-AQ46,IF(A47&lt;'Données projet'!$A$62,$AF$205^A47,IF(A47='Données projet'!$A$62,'Données projet'!$B$62,AI46+AH47-AQ46)))</f>
        <v>309.66666666666646</v>
      </c>
      <c r="AJ47" s="14">
        <f>AI47*VLOOKUP('Données projet'!$B$10,Paramètres!$A$1:$I$89,3,0)*VLOOKUP('Données projet'!$B$10,Paramètres!$A$1:$I$89,5,0)</f>
        <v>144.92399999999989</v>
      </c>
      <c r="AK47" s="14">
        <f t="shared" si="35"/>
        <v>37.422745391578168</v>
      </c>
      <c r="AL47" s="22">
        <f t="shared" si="4"/>
        <v>317.58724822366509</v>
      </c>
      <c r="AM47" s="62">
        <f t="shared" si="5"/>
        <v>610.9205815569984</v>
      </c>
      <c r="AN47" s="62">
        <f ca="1">AVERAGE(OFFSET($AM$3,0,0,'Données projet'!$E$10+1,1))-AVERAGE(OFFSET($H$3,0,0,'Données projet'!$E$10+1,1))</f>
        <v>273.94989417245978</v>
      </c>
      <c r="AO47" s="62">
        <f t="shared" si="36"/>
        <v>244.91615281423549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8.6</v>
      </c>
      <c r="BD47" s="13">
        <f>IF('Données projet'!$A$88&gt;35,BD46+BC47-BL46,IF(A47&lt;'Données projet'!$A$88,$BA$205^A47,IF(A47='Données projet'!$A$88,'Données projet'!$B$88,BD46+BC47-BL46)))</f>
        <v>192.39999999999992</v>
      </c>
      <c r="BE47" s="14">
        <f>BD47*VLOOKUP('Données projet'!$B$11,Paramètres!$A$1:$I$89,3,0)*VLOOKUP('Données projet'!$B$11,Paramètres!$A$1:$I$89,5,0)</f>
        <v>168.08063999999996</v>
      </c>
      <c r="BF47" s="14">
        <f t="shared" si="37"/>
        <v>42.659867131343425</v>
      </c>
      <c r="BG47" s="22">
        <f t="shared" si="7"/>
        <v>367.03971658708974</v>
      </c>
      <c r="BH47" s="62">
        <f t="shared" si="8"/>
        <v>660.373049920423</v>
      </c>
      <c r="BI47" s="62">
        <f ca="1">AVERAGE(OFFSET($BH$3,0,0,'Données projet'!$E$11+1,1))-AVERAGE(OFFSET($H$3,0,0,'Données projet'!$E$11+1,1))</f>
        <v>247.81726778334098</v>
      </c>
      <c r="BJ47" s="62">
        <f t="shared" si="38"/>
        <v>278.55937893537259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0.15144707578829703</v>
      </c>
      <c r="BS47" s="24">
        <f t="shared" si="9"/>
        <v>0.15144707578829703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156.11420010556668</v>
      </c>
      <c r="CE47" s="62">
        <f t="shared" si="40"/>
        <v>318.01952986326501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74.878182719824579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2.0780073749301113</v>
      </c>
      <c r="CN47" s="24">
        <f t="shared" si="12"/>
        <v>76.956190094754689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21.939999999999998</v>
      </c>
      <c r="CT47" s="13">
        <f>IF('Données projet'!$A$140&gt;35,CT46+CS47-DB46,IF(A47&lt;'Données projet'!$A$140,$CQ$205^A47,IF(A47='Données projet'!$A$140,'Données projet'!$B$140,CT46+CS47-DB46)))</f>
        <v>394.13</v>
      </c>
      <c r="CU47" s="18">
        <f>CT47*VLOOKUP('Données projet'!$B$13,Paramètres!$A$1:$I$89,3,0)*VLOOKUP('Données projet'!$B$13,Paramètres!$A$1:$I$89,5,0)</f>
        <v>220.31867</v>
      </c>
      <c r="CV47" s="14">
        <f t="shared" si="41"/>
        <v>54.184141234835565</v>
      </c>
      <c r="CW47" s="22">
        <f t="shared" si="13"/>
        <v>478.09239623400526</v>
      </c>
      <c r="CX47" s="62">
        <f t="shared" si="14"/>
        <v>771.42572956733852</v>
      </c>
      <c r="CY47" s="62">
        <f ca="1">AVERAGE(OFFSET($CX$3,0,0,'Données projet'!$E$13+1,1))-AVERAGE(OFFSET($H$3,0,0,'Données projet'!$E$13+1,1))</f>
        <v>321.56347025977988</v>
      </c>
      <c r="CZ47" s="62">
        <f t="shared" si="42"/>
        <v>285.79375360040717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15.053899635948991</v>
      </c>
      <c r="DG47" s="23">
        <f>EXP(-LN(2)/25)*DG46+(1-EXP(-LN(2)/25))/(LN(2)/25)*Calculateur!DB47*Calculateur!DD47*VLOOKUP('Données projet'!$B$13,Paramètres!$A$1:$I$89,3,0)*0.475*44/12</f>
        <v>7.6847904759165084</v>
      </c>
      <c r="DH47" s="23">
        <f>EXP(-LN(2)/2)*DH46+(1-EXP(-LN(2)/2))/(LN(2)/2)*DB47*DE47*VLOOKUP('Données projet'!$B$13,Paramètres!$A$1:$I$89,3,0)*0.475*44/12</f>
        <v>5.5791332559852996E-2</v>
      </c>
      <c r="DI47" s="24">
        <f t="shared" si="15"/>
        <v>22.794481444425351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16.600000000000001</v>
      </c>
      <c r="DO47" s="13">
        <f>IF('Données projet'!$A$166&gt;35,DO46+DN47-DW46,IF(A47&lt;'Données projet'!$A$166,$DL$205^A47,IF(A47='Données projet'!$A$166,'Données projet'!$B$166,DO46+DN47-DW46)))</f>
        <v>289.40000000000015</v>
      </c>
      <c r="DP47" s="18">
        <f>DO47*VLOOKUP('Données projet'!$B$14,Paramètres!$A$1:$I$89,3,0)*VLOOKUP('Données projet'!$B$14,Paramètres!$A$1:$I$89,5,0)</f>
        <v>173.0612000000001</v>
      </c>
      <c r="DQ47" s="14">
        <f t="shared" si="43"/>
        <v>43.774916798471111</v>
      </c>
      <c r="DR47" s="22">
        <f t="shared" si="16"/>
        <v>377.65623675733735</v>
      </c>
      <c r="DS47" s="62">
        <f t="shared" si="17"/>
        <v>670.98957009067067</v>
      </c>
      <c r="DT47" s="62">
        <f ca="1">AVERAGE(OFFSET($DS$3,0,0,'Données projet'!$E$14+1,1))-AVERAGE(OFFSET($H$3,0,0,'Données projet'!$E$14+1,1))</f>
        <v>287.69656598881124</v>
      </c>
      <c r="DU47" s="62">
        <f t="shared" si="44"/>
        <v>221.9773436301067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0.20103414144530449</v>
      </c>
      <c r="ED47" s="24">
        <f t="shared" si="18"/>
        <v>0.20103414144530449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344.36303707479811</v>
      </c>
      <c r="T48" s="62">
        <f t="shared" si="34"/>
        <v>207.92972431357452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20.333333333333332</v>
      </c>
      <c r="AI48" s="14">
        <f>IF('Données projet'!$A$62&gt;35,AI47+AH48-AQ47,IF(A48&lt;'Données projet'!$A$62,$AF$205^A48,IF(A48='Données projet'!$A$62,'Données projet'!$B$62,AI47+AH48-AQ47)))</f>
        <v>329.99999999999977</v>
      </c>
      <c r="AJ48" s="14">
        <f>AI48*VLOOKUP('Données projet'!$B$10,Paramètres!$A$1:$I$89,3,0)*VLOOKUP('Données projet'!$B$10,Paramètres!$A$1:$I$89,5,0)</f>
        <v>154.43999999999988</v>
      </c>
      <c r="AK48" s="14">
        <f t="shared" si="35"/>
        <v>39.585872170955454</v>
      </c>
      <c r="AL48" s="22">
        <f t="shared" si="4"/>
        <v>337.92839403108047</v>
      </c>
      <c r="AM48" s="62">
        <f t="shared" si="5"/>
        <v>631.26172736441379</v>
      </c>
      <c r="AN48" s="62">
        <f ca="1">AVERAGE(OFFSET($AM$3,0,0,'Données projet'!$E$10+1,1))-AVERAGE(OFFSET($H$3,0,0,'Données projet'!$E$10+1,1))</f>
        <v>273.94989417245978</v>
      </c>
      <c r="AO48" s="62">
        <f t="shared" si="36"/>
        <v>244.91615281423549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201</v>
      </c>
      <c r="BB48" s="13">
        <f>VLOOKUP(A48,'Données projet'!$A$87:$I$107,9,0)</f>
        <v>8.6</v>
      </c>
      <c r="BC48" s="13">
        <f t="array" ref="BC48">INDEX(BB:BB,MIN(IF(ISNUMBER(BB48:BB244),ROW(BB48:BB244),"")))</f>
        <v>8.6</v>
      </c>
      <c r="BD48" s="13">
        <f>IF('Données projet'!$A$88&gt;35,BD47+BC48-BL47,IF(A48&lt;'Données projet'!$A$88,$BA$205^A48,IF(A48='Données projet'!$A$88,'Données projet'!$B$88,BD47+BC48-BL47)))</f>
        <v>200.99999999999991</v>
      </c>
      <c r="BE48" s="14">
        <f>BD48*VLOOKUP('Données projet'!$B$11,Paramètres!$A$1:$I$89,3,0)*VLOOKUP('Données projet'!$B$11,Paramètres!$A$1:$I$89,5,0)</f>
        <v>175.59359999999995</v>
      </c>
      <c r="BF48" s="14">
        <f t="shared" si="37"/>
        <v>44.340433728638573</v>
      </c>
      <c r="BG48" s="22">
        <f t="shared" si="7"/>
        <v>383.05177541071203</v>
      </c>
      <c r="BH48" s="62">
        <f t="shared" si="8"/>
        <v>676.38510874404528</v>
      </c>
      <c r="BI48" s="62">
        <f ca="1">AVERAGE(OFFSET($BH$3,0,0,'Données projet'!$E$11+1,1))-AVERAGE(OFFSET($H$3,0,0,'Données projet'!$E$11+1,1))</f>
        <v>247.81726778334098</v>
      </c>
      <c r="BJ48" s="62">
        <f t="shared" si="38"/>
        <v>278.55937893537259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31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0.10708925428077783</v>
      </c>
      <c r="BS48" s="24">
        <f t="shared" si="9"/>
        <v>0.10708925428077783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156.11420010556668</v>
      </c>
      <c r="CE48" s="62">
        <f t="shared" si="40"/>
        <v>318.01952986326501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73.40986722787062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1.4693731061687383</v>
      </c>
      <c r="CN48" s="24">
        <f t="shared" si="12"/>
        <v>74.879240334039352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21.939999999999998</v>
      </c>
      <c r="CT48" s="13">
        <f>IF('Données projet'!$A$140&gt;35,CT47+CS48-DB47,IF(A48&lt;'Données projet'!$A$140,$CQ$205^A48,IF(A48='Données projet'!$A$140,'Données projet'!$B$140,CT47+CS48-DB47)))</f>
        <v>416.07</v>
      </c>
      <c r="CU48" s="18">
        <f>CT48*VLOOKUP('Données projet'!$B$13,Paramètres!$A$1:$I$89,3,0)*VLOOKUP('Données projet'!$B$13,Paramètres!$A$1:$I$89,5,0)</f>
        <v>232.58313000000001</v>
      </c>
      <c r="CV48" s="14">
        <f t="shared" si="41"/>
        <v>56.840851065639789</v>
      </c>
      <c r="CW48" s="22">
        <f t="shared" si="13"/>
        <v>504.08010035598926</v>
      </c>
      <c r="CX48" s="62">
        <f t="shared" si="14"/>
        <v>797.41343368932257</v>
      </c>
      <c r="CY48" s="62">
        <f ca="1">AVERAGE(OFFSET($CX$3,0,0,'Données projet'!$E$13+1,1))-AVERAGE(OFFSET($H$3,0,0,'Données projet'!$E$13+1,1))</f>
        <v>321.56347025977988</v>
      </c>
      <c r="CZ48" s="62">
        <f t="shared" si="42"/>
        <v>285.79375360040717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14.758701846060164</v>
      </c>
      <c r="DG48" s="23">
        <f>EXP(-LN(2)/25)*DG47+(1-EXP(-LN(2)/25))/(LN(2)/25)*Calculateur!DB48*Calculateur!DD48*VLOOKUP('Données projet'!$B$13,Paramètres!$A$1:$I$89,3,0)*0.475*44/12</f>
        <v>7.4746494762270039</v>
      </c>
      <c r="DH48" s="23">
        <f>EXP(-LN(2)/2)*DH47+(1-EXP(-LN(2)/2))/(LN(2)/2)*DB48*DE48*VLOOKUP('Données projet'!$B$13,Paramètres!$A$1:$I$89,3,0)*0.475*44/12</f>
        <v>3.9450429584505876E-2</v>
      </c>
      <c r="DI48" s="24">
        <f t="shared" si="15"/>
        <v>22.272801751871675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306</v>
      </c>
      <c r="DM48" s="13">
        <f>VLOOKUP(A48,'Données projet'!$A$165:$I$185,9,0)</f>
        <v>16.600000000000001</v>
      </c>
      <c r="DN48" s="13">
        <f t="array" ref="DN48">INDEX(DM:DM,MIN(IF(ISNUMBER(DM48:DM244),ROW(DM48:DM244),"")))</f>
        <v>16.600000000000001</v>
      </c>
      <c r="DO48" s="13">
        <f>IF('Données projet'!$A$166&gt;35,DO47+DN48-DW47,IF(A48&lt;'Données projet'!$A$166,$DL$205^A48,IF(A48='Données projet'!$A$166,'Données projet'!$B$166,DO47+DN48-DW47)))</f>
        <v>306.00000000000017</v>
      </c>
      <c r="DP48" s="18">
        <f>DO48*VLOOKUP('Données projet'!$B$14,Paramètres!$A$1:$I$89,3,0)*VLOOKUP('Données projet'!$B$14,Paramètres!$A$1:$I$89,5,0)</f>
        <v>182.98800000000011</v>
      </c>
      <c r="DQ48" s="14">
        <f t="shared" si="43"/>
        <v>45.986322796524874</v>
      </c>
      <c r="DR48" s="22">
        <f t="shared" si="16"/>
        <v>398.79694553728103</v>
      </c>
      <c r="DS48" s="62">
        <f t="shared" si="17"/>
        <v>692.13027887061435</v>
      </c>
      <c r="DT48" s="62">
        <f ca="1">AVERAGE(OFFSET($DS$3,0,0,'Données projet'!$E$14+1,1))-AVERAGE(OFFSET($H$3,0,0,'Données projet'!$E$14+1,1))</f>
        <v>287.69656598881124</v>
      </c>
      <c r="DU48" s="62">
        <f t="shared" si="44"/>
        <v>221.9773436301067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53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0.14215260466599036</v>
      </c>
      <c r="ED48" s="24">
        <f t="shared" si="18"/>
        <v>0.14215260466599036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344.36303707479811</v>
      </c>
      <c r="T49" s="62">
        <f t="shared" si="34"/>
        <v>207.92972431357452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20.333333333333332</v>
      </c>
      <c r="AI49" s="14">
        <f>IF('Données projet'!$A$62&gt;35,AI48+AH49-AQ48,IF(A49&lt;'Données projet'!$A$62,$AF$205^A49,IF(A49='Données projet'!$A$62,'Données projet'!$B$62,AI48+AH49-AQ48)))</f>
        <v>350.33333333333309</v>
      </c>
      <c r="AJ49" s="14">
        <f>AI49*VLOOKUP('Données projet'!$B$10,Paramètres!$A$1:$I$89,3,0)*VLOOKUP('Données projet'!$B$10,Paramètres!$A$1:$I$89,5,0)</f>
        <v>163.95599999999988</v>
      </c>
      <c r="AK49" s="14">
        <f t="shared" si="35"/>
        <v>41.733529914742526</v>
      </c>
      <c r="AL49" s="22">
        <f t="shared" si="4"/>
        <v>358.24259793484299</v>
      </c>
      <c r="AM49" s="62">
        <f t="shared" si="5"/>
        <v>651.5759312681763</v>
      </c>
      <c r="AN49" s="62">
        <f ca="1">AVERAGE(OFFSET($AM$3,0,0,'Données projet'!$E$10+1,1))-AVERAGE(OFFSET($H$3,0,0,'Données projet'!$E$10+1,1))</f>
        <v>273.94989417245978</v>
      </c>
      <c r="AO49" s="62">
        <f t="shared" si="36"/>
        <v>244.91615281423549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7.8</v>
      </c>
      <c r="BD49" s="13">
        <f>IF('Données projet'!$A$88&gt;35,BD48+BC49-BL48,IF(A49&lt;'Données projet'!$A$88,$BA$205^A49,IF(A49='Données projet'!$A$88,'Données projet'!$B$88,BD48+BC49-BL48)))</f>
        <v>177.79999999999993</v>
      </c>
      <c r="BE49" s="14">
        <f>BD49*VLOOKUP('Données projet'!$B$11,Paramètres!$A$1:$I$89,3,0)*VLOOKUP('Données projet'!$B$11,Paramètres!$A$1:$I$89,5,0)</f>
        <v>155.32607999999996</v>
      </c>
      <c r="BF49" s="14">
        <f t="shared" si="37"/>
        <v>39.786487601092411</v>
      </c>
      <c r="BG49" s="22">
        <f t="shared" si="7"/>
        <v>339.82105523856922</v>
      </c>
      <c r="BH49" s="62">
        <f t="shared" si="8"/>
        <v>633.15438857190247</v>
      </c>
      <c r="BI49" s="62">
        <f ca="1">AVERAGE(OFFSET($BH$3,0,0,'Données projet'!$E$11+1,1))-AVERAGE(OFFSET($H$3,0,0,'Données projet'!$E$11+1,1))</f>
        <v>247.81726778334098</v>
      </c>
      <c r="BJ49" s="62">
        <f t="shared" si="38"/>
        <v>278.55937893537259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7.5723537894148513E-2</v>
      </c>
      <c r="BS49" s="24">
        <f t="shared" si="9"/>
        <v>7.5723537894148513E-2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156.11420010556668</v>
      </c>
      <c r="CE49" s="62">
        <f t="shared" si="40"/>
        <v>318.01952986326501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71.970344507129866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1.0390036874650557</v>
      </c>
      <c r="CN49" s="24">
        <f t="shared" si="12"/>
        <v>73.009348194594921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21.939999999999998</v>
      </c>
      <c r="CT49" s="13">
        <f>IF('Données projet'!$A$140&gt;35,CT48+CS49-DB48,IF(A49&lt;'Données projet'!$A$140,$CQ$205^A49,IF(A49='Données projet'!$A$140,'Données projet'!$B$140,CT48+CS49-DB48)))</f>
        <v>438.01</v>
      </c>
      <c r="CU49" s="18">
        <f>CT49*VLOOKUP('Données projet'!$B$13,Paramètres!$A$1:$I$89,3,0)*VLOOKUP('Données projet'!$B$13,Paramètres!$A$1:$I$89,5,0)</f>
        <v>244.84759000000003</v>
      </c>
      <c r="CV49" s="14">
        <f t="shared" si="41"/>
        <v>59.481296135283444</v>
      </c>
      <c r="CW49" s="22">
        <f t="shared" si="13"/>
        <v>530.03947668561875</v>
      </c>
      <c r="CX49" s="62">
        <f t="shared" si="14"/>
        <v>823.37281001895212</v>
      </c>
      <c r="CY49" s="62">
        <f ca="1">AVERAGE(OFFSET($CX$3,0,0,'Données projet'!$E$13+1,1))-AVERAGE(OFFSET($H$3,0,0,'Données projet'!$E$13+1,1))</f>
        <v>321.56347025977988</v>
      </c>
      <c r="CZ49" s="62">
        <f t="shared" si="42"/>
        <v>285.79375360040717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14.469292704778185</v>
      </c>
      <c r="DG49" s="23">
        <f>EXP(-LN(2)/25)*DG48+(1-EXP(-LN(2)/25))/(LN(2)/25)*Calculateur!DB49*Calculateur!DD49*VLOOKUP('Données projet'!$B$13,Paramètres!$A$1:$I$89,3,0)*0.475*44/12</f>
        <v>7.2702547932248445</v>
      </c>
      <c r="DH49" s="23">
        <f>EXP(-LN(2)/2)*DH48+(1-EXP(-LN(2)/2))/(LN(2)/2)*DB49*DE49*VLOOKUP('Données projet'!$B$13,Paramètres!$A$1:$I$89,3,0)*0.475*44/12</f>
        <v>2.7895666279926498E-2</v>
      </c>
      <c r="DI49" s="24">
        <f t="shared" si="15"/>
        <v>21.767443164282959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17.399999999999999</v>
      </c>
      <c r="DO49" s="13">
        <f>IF('Données projet'!$A$166&gt;35,DO48+DN49-DW48,IF(A49&lt;'Données projet'!$A$166,$DL$205^A49,IF(A49='Données projet'!$A$166,'Données projet'!$B$166,DO48+DN49-DW48)))</f>
        <v>270.40000000000015</v>
      </c>
      <c r="DP49" s="18">
        <f>DO49*VLOOKUP('Données projet'!$B$14,Paramètres!$A$1:$I$89,3,0)*VLOOKUP('Données projet'!$B$14,Paramètres!$A$1:$I$89,5,0)</f>
        <v>161.6992000000001</v>
      </c>
      <c r="DQ49" s="14">
        <f t="shared" si="43"/>
        <v>41.225538754249229</v>
      </c>
      <c r="DR49" s="22">
        <f t="shared" si="16"/>
        <v>353.42725333031763</v>
      </c>
      <c r="DS49" s="62">
        <f t="shared" si="17"/>
        <v>646.76058666365088</v>
      </c>
      <c r="DT49" s="62">
        <f ca="1">AVERAGE(OFFSET($DS$3,0,0,'Données projet'!$E$14+1,1))-AVERAGE(OFFSET($H$3,0,0,'Données projet'!$E$14+1,1))</f>
        <v>287.69656598881124</v>
      </c>
      <c r="DU49" s="62">
        <f t="shared" si="44"/>
        <v>221.9773436301067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0.10051707072265224</v>
      </c>
      <c r="ED49" s="24">
        <f t="shared" si="18"/>
        <v>0.10051707072265224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344.36303707479811</v>
      </c>
      <c r="T50" s="62">
        <f t="shared" si="34"/>
        <v>207.92972431357452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20.333333333333332</v>
      </c>
      <c r="AI50" s="14">
        <f>IF('Données projet'!$A$62&gt;35,AI49+AH50-AQ49,IF(A50&lt;'Données projet'!$A$62,$AF$205^A50,IF(A50='Données projet'!$A$62,'Données projet'!$B$62,AI49+AH50-AQ49)))</f>
        <v>370.6666666666664</v>
      </c>
      <c r="AJ50" s="14">
        <f>AI50*VLOOKUP('Données projet'!$B$10,Paramètres!$A$1:$I$89,3,0)*VLOOKUP('Données projet'!$B$10,Paramètres!$A$1:$I$89,5,0)</f>
        <v>173.47199999999989</v>
      </c>
      <c r="AK50" s="14">
        <f t="shared" si="35"/>
        <v>43.866718728383532</v>
      </c>
      <c r="AL50" s="22">
        <f t="shared" si="4"/>
        <v>378.53160178526781</v>
      </c>
      <c r="AM50" s="62">
        <f t="shared" si="5"/>
        <v>671.86493511860112</v>
      </c>
      <c r="AN50" s="62">
        <f ca="1">AVERAGE(OFFSET($AM$3,0,0,'Données projet'!$E$10+1,1))-AVERAGE(OFFSET($H$3,0,0,'Données projet'!$E$10+1,1))</f>
        <v>273.94989417245978</v>
      </c>
      <c r="AO50" s="62">
        <f t="shared" si="36"/>
        <v>244.91615281423549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7.8</v>
      </c>
      <c r="BD50" s="13">
        <f>IF('Données projet'!$A$88&gt;35,BD49+BC50-BL49,IF(A50&lt;'Données projet'!$A$88,$BA$205^A50,IF(A50='Données projet'!$A$88,'Données projet'!$B$88,BD49+BC50-BL49)))</f>
        <v>185.59999999999994</v>
      </c>
      <c r="BE50" s="14">
        <f>BD50*VLOOKUP('Données projet'!$B$11,Paramètres!$A$1:$I$89,3,0)*VLOOKUP('Données projet'!$B$11,Paramètres!$A$1:$I$89,5,0)</f>
        <v>162.14015999999998</v>
      </c>
      <c r="BF50" s="14">
        <f t="shared" si="37"/>
        <v>41.324860537333677</v>
      </c>
      <c r="BG50" s="22">
        <f t="shared" si="7"/>
        <v>354.36824410252279</v>
      </c>
      <c r="BH50" s="62">
        <f t="shared" si="8"/>
        <v>647.70157743585605</v>
      </c>
      <c r="BI50" s="62">
        <f ca="1">AVERAGE(OFFSET($BH$3,0,0,'Données projet'!$E$11+1,1))-AVERAGE(OFFSET($H$3,0,0,'Données projet'!$E$11+1,1))</f>
        <v>247.81726778334098</v>
      </c>
      <c r="BJ50" s="62">
        <f t="shared" si="38"/>
        <v>278.55937893537259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5.3544627140388913E-2</v>
      </c>
      <c r="BS50" s="24">
        <f t="shared" si="9"/>
        <v>5.3544627140388913E-2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156.11420010556668</v>
      </c>
      <c r="CE50" s="62">
        <f t="shared" si="40"/>
        <v>318.01952986326501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70.559049948920674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0.73468655308436914</v>
      </c>
      <c r="CN50" s="24">
        <f t="shared" si="12"/>
        <v>71.293736502005046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21.939999999999998</v>
      </c>
      <c r="CT50" s="13">
        <f>IF('Données projet'!$A$140&gt;35,CT49+CS50-DB49,IF(A50&lt;'Données projet'!$A$140,$CQ$205^A50,IF(A50='Données projet'!$A$140,'Données projet'!$B$140,CT49+CS50-DB49)))</f>
        <v>459.95</v>
      </c>
      <c r="CU50" s="18">
        <f>CT50*VLOOKUP('Données projet'!$B$13,Paramètres!$A$1:$I$89,3,0)*VLOOKUP('Données projet'!$B$13,Paramètres!$A$1:$I$89,5,0)</f>
        <v>257.11205000000001</v>
      </c>
      <c r="CV50" s="14">
        <f t="shared" si="41"/>
        <v>62.106384111300585</v>
      </c>
      <c r="CW50" s="22">
        <f t="shared" si="13"/>
        <v>555.97210607718182</v>
      </c>
      <c r="CX50" s="62">
        <f t="shared" si="14"/>
        <v>849.30543941051519</v>
      </c>
      <c r="CY50" s="62">
        <f ca="1">AVERAGE(OFFSET($CX$3,0,0,'Données projet'!$E$13+1,1))-AVERAGE(OFFSET($H$3,0,0,'Données projet'!$E$13+1,1))</f>
        <v>321.56347025977988</v>
      </c>
      <c r="CZ50" s="62">
        <f t="shared" si="42"/>
        <v>285.79375360040717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14.1855587002346</v>
      </c>
      <c r="DG50" s="23">
        <f>EXP(-LN(2)/25)*DG49+(1-EXP(-LN(2)/25))/(LN(2)/25)*Calculateur!DB50*Calculateur!DD50*VLOOKUP('Données projet'!$B$13,Paramètres!$A$1:$I$89,3,0)*0.475*44/12</f>
        <v>7.071449293578028</v>
      </c>
      <c r="DH50" s="23">
        <f>EXP(-LN(2)/2)*DH49+(1-EXP(-LN(2)/2))/(LN(2)/2)*DB50*DE50*VLOOKUP('Données projet'!$B$13,Paramètres!$A$1:$I$89,3,0)*0.475*44/12</f>
        <v>1.9725214792252938E-2</v>
      </c>
      <c r="DI50" s="24">
        <f t="shared" si="15"/>
        <v>21.276733208604881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17.399999999999999</v>
      </c>
      <c r="DO50" s="13">
        <f>IF('Données projet'!$A$166&gt;35,DO49+DN50-DW49,IF(A50&lt;'Données projet'!$A$166,$DL$205^A50,IF(A50='Données projet'!$A$166,'Données projet'!$B$166,DO49+DN50-DW49)))</f>
        <v>287.80000000000013</v>
      </c>
      <c r="DP50" s="18">
        <f>DO50*VLOOKUP('Données projet'!$B$14,Paramètres!$A$1:$I$89,3,0)*VLOOKUP('Données projet'!$B$14,Paramètres!$A$1:$I$89,5,0)</f>
        <v>172.10440000000008</v>
      </c>
      <c r="DQ50" s="14">
        <f t="shared" si="43"/>
        <v>43.561001176960559</v>
      </c>
      <c r="DR50" s="22">
        <f t="shared" si="16"/>
        <v>375.61724038320648</v>
      </c>
      <c r="DS50" s="62">
        <f t="shared" si="17"/>
        <v>668.95057371653979</v>
      </c>
      <c r="DT50" s="62">
        <f ca="1">AVERAGE(OFFSET($DS$3,0,0,'Données projet'!$E$14+1,1))-AVERAGE(OFFSET($H$3,0,0,'Données projet'!$E$14+1,1))</f>
        <v>287.69656598881124</v>
      </c>
      <c r="DU50" s="62">
        <f t="shared" si="44"/>
        <v>221.9773436301067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7.1076302332995181E-2</v>
      </c>
      <c r="ED50" s="24">
        <f t="shared" si="18"/>
        <v>7.1076302332995181E-2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344.36303707479811</v>
      </c>
      <c r="T51" s="62">
        <f t="shared" si="34"/>
        <v>207.92972431357452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391</v>
      </c>
      <c r="AG51" s="13">
        <f>VLOOKUP(A51,'Données projet'!$A$61:$I$81,9,0)</f>
        <v>20.333333333333332</v>
      </c>
      <c r="AH51" s="13">
        <f t="array" ref="AH51">INDEX(AG:AG,MIN(IF(ISNUMBER(AG51:AG247),ROW(AG51:AG247),"")))</f>
        <v>20.333333333333332</v>
      </c>
      <c r="AI51" s="14">
        <f>IF('Données projet'!$A$62&gt;35,AI50+AH51-AQ50,IF(A51&lt;'Données projet'!$A$62,$AF$205^A51,IF(A51='Données projet'!$A$62,'Données projet'!$B$62,AI50+AH51-AQ50)))</f>
        <v>390.99999999999972</v>
      </c>
      <c r="AJ51" s="14">
        <f>AI51*VLOOKUP('Données projet'!$B$10,Paramètres!$A$1:$I$89,3,0)*VLOOKUP('Données projet'!$B$10,Paramètres!$A$1:$I$89,5,0)</f>
        <v>182.98799999999989</v>
      </c>
      <c r="AK51" s="14">
        <f t="shared" si="35"/>
        <v>45.986322796524831</v>
      </c>
      <c r="AL51" s="22">
        <f t="shared" si="4"/>
        <v>398.79694553728058</v>
      </c>
      <c r="AM51" s="62">
        <f t="shared" si="5"/>
        <v>692.13027887061389</v>
      </c>
      <c r="AN51" s="62">
        <f ca="1">AVERAGE(OFFSET($AM$3,0,0,'Données projet'!$E$10+1,1))-AVERAGE(OFFSET($H$3,0,0,'Données projet'!$E$10+1,1))</f>
        <v>273.94989417245978</v>
      </c>
      <c r="AO51" s="62">
        <f t="shared" si="36"/>
        <v>244.91615281423549</v>
      </c>
      <c r="AP51" s="16">
        <f>IF(ISNA(VLOOKUP(A51,'Données projet'!$A$61:$I$81,3,0)),0,VLOOKUP(A51,'Données projet'!$A$61:$I$81,3,0))</f>
        <v>2</v>
      </c>
      <c r="AQ51" s="16">
        <f>IF(ISNA(VLOOKUP(A51,'Données projet'!$A$61:$I$81,4,0)),0,VLOOKUP(A51,'Données projet'!$A$61:$I$81,4,0))</f>
        <v>78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7.8</v>
      </c>
      <c r="BD51" s="13">
        <f>IF('Données projet'!$A$88&gt;35,BD50+BC51-BL50,IF(A51&lt;'Données projet'!$A$88,$BA$205^A51,IF(A51='Données projet'!$A$88,'Données projet'!$B$88,BD50+BC51-BL50)))</f>
        <v>193.39999999999995</v>
      </c>
      <c r="BE51" s="14">
        <f>BD51*VLOOKUP('Données projet'!$B$11,Paramètres!$A$1:$I$89,3,0)*VLOOKUP('Données projet'!$B$11,Paramètres!$A$1:$I$89,5,0)</f>
        <v>168.95424</v>
      </c>
      <c r="BF51" s="14">
        <f t="shared" si="37"/>
        <v>42.855724087026708</v>
      </c>
      <c r="BG51" s="22">
        <f t="shared" si="7"/>
        <v>368.90235411823818</v>
      </c>
      <c r="BH51" s="62">
        <f t="shared" si="8"/>
        <v>662.23568745157149</v>
      </c>
      <c r="BI51" s="62">
        <f ca="1">AVERAGE(OFFSET($BH$3,0,0,'Données projet'!$E$11+1,1))-AVERAGE(OFFSET($H$3,0,0,'Données projet'!$E$11+1,1))</f>
        <v>247.81726778334098</v>
      </c>
      <c r="BJ51" s="62">
        <f t="shared" si="38"/>
        <v>278.55937893537259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3.7861768947074256E-2</v>
      </c>
      <c r="BS51" s="24">
        <f t="shared" si="9"/>
        <v>3.7861768947074256E-2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156.11420010556668</v>
      </c>
      <c r="CE51" s="62">
        <f t="shared" si="40"/>
        <v>318.01952986326501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69.175430016193275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0.51950184373252783</v>
      </c>
      <c r="CN51" s="24">
        <f t="shared" si="12"/>
        <v>69.694931859925802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21.939999999999998</v>
      </c>
      <c r="CT51" s="13">
        <f>IF('Données projet'!$A$140&gt;35,CT50+CS51-DB50,IF(A51&lt;'Données projet'!$A$140,$CQ$205^A51,IF(A51='Données projet'!$A$140,'Données projet'!$B$140,CT50+CS51-DB50)))</f>
        <v>481.89</v>
      </c>
      <c r="CU51" s="18">
        <f>CT51*VLOOKUP('Données projet'!$B$13,Paramètres!$A$1:$I$89,3,0)*VLOOKUP('Données projet'!$B$13,Paramètres!$A$1:$I$89,5,0)</f>
        <v>269.37651</v>
      </c>
      <c r="CV51" s="14">
        <f t="shared" si="41"/>
        <v>64.716931175288423</v>
      </c>
      <c r="CW51" s="22">
        <f t="shared" si="13"/>
        <v>581.87941004696063</v>
      </c>
      <c r="CX51" s="62">
        <f t="shared" si="14"/>
        <v>875.21274338029389</v>
      </c>
      <c r="CY51" s="62">
        <f ca="1">AVERAGE(OFFSET($CX$3,0,0,'Données projet'!$E$13+1,1))-AVERAGE(OFFSET($H$3,0,0,'Données projet'!$E$13+1,1))</f>
        <v>321.56347025977988</v>
      </c>
      <c r="CZ51" s="62">
        <f t="shared" si="42"/>
        <v>285.79375360040717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13.907388546459458</v>
      </c>
      <c r="DG51" s="23">
        <f>EXP(-LN(2)/25)*DG50+(1-EXP(-LN(2)/25))/(LN(2)/25)*Calculateur!DB51*Calculateur!DD51*VLOOKUP('Données projet'!$B$13,Paramètres!$A$1:$I$89,3,0)*0.475*44/12</f>
        <v>6.8780801407737808</v>
      </c>
      <c r="DH51" s="23">
        <f>EXP(-LN(2)/2)*DH50+(1-EXP(-LN(2)/2))/(LN(2)/2)*DB51*DE51*VLOOKUP('Données projet'!$B$13,Paramètres!$A$1:$I$89,3,0)*0.475*44/12</f>
        <v>1.3947833139963249E-2</v>
      </c>
      <c r="DI51" s="24">
        <f t="shared" si="15"/>
        <v>20.799416520373203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17.399999999999999</v>
      </c>
      <c r="DO51" s="13">
        <f>IF('Données projet'!$A$166&gt;35,DO50+DN51-DW50,IF(A51&lt;'Données projet'!$A$166,$DL$205^A51,IF(A51='Données projet'!$A$166,'Données projet'!$B$166,DO50+DN51-DW50)))</f>
        <v>305.2000000000001</v>
      </c>
      <c r="DP51" s="18">
        <f>DO51*VLOOKUP('Données projet'!$B$14,Paramètres!$A$1:$I$89,3,0)*VLOOKUP('Données projet'!$B$14,Paramètres!$A$1:$I$89,5,0)</f>
        <v>182.50960000000006</v>
      </c>
      <c r="DQ51" s="14">
        <f t="shared" si="43"/>
        <v>45.880075205637056</v>
      </c>
      <c r="DR51" s="22">
        <f t="shared" si="16"/>
        <v>397.77868431648454</v>
      </c>
      <c r="DS51" s="62">
        <f t="shared" si="17"/>
        <v>691.11201764981786</v>
      </c>
      <c r="DT51" s="62">
        <f ca="1">AVERAGE(OFFSET($DS$3,0,0,'Données projet'!$E$14+1,1))-AVERAGE(OFFSET($H$3,0,0,'Données projet'!$E$14+1,1))</f>
        <v>287.69656598881124</v>
      </c>
      <c r="DU51" s="62">
        <f t="shared" si="44"/>
        <v>221.9773436301067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5.0258535361326122E-2</v>
      </c>
      <c r="ED51" s="24">
        <f t="shared" si="18"/>
        <v>5.0258535361326122E-2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344.36303707479811</v>
      </c>
      <c r="T52" s="62">
        <f t="shared" si="34"/>
        <v>207.92972431357452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20.5</v>
      </c>
      <c r="AI52" s="14">
        <f>IF('Données projet'!$A$62&gt;35,AI51+AH52-AQ51,IF(A52&lt;'Données projet'!$A$62,$AF$205^A52,IF(A52='Données projet'!$A$62,'Données projet'!$B$62,AI51+AH52-AQ51)))</f>
        <v>333.49999999999972</v>
      </c>
      <c r="AJ52" s="14">
        <f>AI52*VLOOKUP('Données projet'!$B$10,Paramètres!$A$1:$I$89,3,0)*VLOOKUP('Données projet'!$B$10,Paramètres!$A$1:$I$89,5,0)</f>
        <v>156.07799999999986</v>
      </c>
      <c r="AK52" s="14">
        <f t="shared" si="35"/>
        <v>39.956623674978431</v>
      </c>
      <c r="AL52" s="22">
        <f t="shared" si="4"/>
        <v>341.42696956725382</v>
      </c>
      <c r="AM52" s="62">
        <f t="shared" si="5"/>
        <v>634.76030290058713</v>
      </c>
      <c r="AN52" s="62">
        <f ca="1">AVERAGE(OFFSET($AM$3,0,0,'Données projet'!$E$10+1,1))-AVERAGE(OFFSET($H$3,0,0,'Données projet'!$E$10+1,1))</f>
        <v>273.94989417245978</v>
      </c>
      <c r="AO52" s="62">
        <f t="shared" si="36"/>
        <v>244.91615281423549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7.8</v>
      </c>
      <c r="BD52" s="13">
        <f>IF('Données projet'!$A$88&gt;35,BD51+BC52-BL51,IF(A52&lt;'Données projet'!$A$88,$BA$205^A52,IF(A52='Données projet'!$A$88,'Données projet'!$B$88,BD51+BC52-BL51)))</f>
        <v>201.19999999999996</v>
      </c>
      <c r="BE52" s="14">
        <f>BD52*VLOOKUP('Données projet'!$B$11,Paramètres!$A$1:$I$89,3,0)*VLOOKUP('Données projet'!$B$11,Paramètres!$A$1:$I$89,5,0)</f>
        <v>175.76831999999999</v>
      </c>
      <c r="BF52" s="14">
        <f t="shared" si="37"/>
        <v>44.379415757690168</v>
      </c>
      <c r="BG52" s="22">
        <f t="shared" si="7"/>
        <v>383.42397311131032</v>
      </c>
      <c r="BH52" s="62">
        <f t="shared" si="8"/>
        <v>676.75730644464363</v>
      </c>
      <c r="BI52" s="62">
        <f ca="1">AVERAGE(OFFSET($BH$3,0,0,'Données projet'!$E$11+1,1))-AVERAGE(OFFSET($H$3,0,0,'Données projet'!$E$11+1,1))</f>
        <v>247.81726778334098</v>
      </c>
      <c r="BJ52" s="62">
        <f t="shared" si="38"/>
        <v>278.55937893537259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2.6772313570194457E-2</v>
      </c>
      <c r="BS52" s="24">
        <f t="shared" si="9"/>
        <v>2.6772313570194457E-2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156.11420010556668</v>
      </c>
      <c r="CE52" s="62">
        <f t="shared" si="40"/>
        <v>318.01952986326501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67.818942026421837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0.36734327654218457</v>
      </c>
      <c r="CN52" s="24">
        <f t="shared" si="12"/>
        <v>68.186285302964023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>
        <f>VLOOKUP(A52,'Données projet'!$A$139:$I$159,2,0)</f>
        <v>503.83</v>
      </c>
      <c r="CR52" s="13">
        <f>VLOOKUP(A52,'Données projet'!$A$139:$I$159,9,0)</f>
        <v>21.939999999999998</v>
      </c>
      <c r="CS52" s="13">
        <f t="array" ref="CS52">INDEX(CR:CR,MIN(IF(ISNUMBER(CR52:CR248),ROW(CR52:CR248),"")))</f>
        <v>21.939999999999998</v>
      </c>
      <c r="CT52" s="13">
        <f>IF('Données projet'!$A$140&gt;35,CT51+CS52-DB51,IF(A52&lt;'Données projet'!$A$140,$CQ$205^A52,IF(A52='Données projet'!$A$140,'Données projet'!$B$140,CT51+CS52-DB51)))</f>
        <v>503.83</v>
      </c>
      <c r="CU52" s="18">
        <f>CT52*VLOOKUP('Données projet'!$B$13,Paramètres!$A$1:$I$89,3,0)*VLOOKUP('Données projet'!$B$13,Paramètres!$A$1:$I$89,5,0)</f>
        <v>281.64096999999998</v>
      </c>
      <c r="CV52" s="14">
        <f t="shared" si="41"/>
        <v>67.313674987907362</v>
      </c>
      <c r="CW52" s="22">
        <f t="shared" si="13"/>
        <v>607.76267335393857</v>
      </c>
      <c r="CX52" s="62">
        <f t="shared" si="14"/>
        <v>901.09600668727194</v>
      </c>
      <c r="CY52" s="62">
        <f ca="1">AVERAGE(OFFSET($CX$3,0,0,'Données projet'!$E$13+1,1))-AVERAGE(OFFSET($H$3,0,0,'Données projet'!$E$13+1,1))</f>
        <v>321.56347025977988</v>
      </c>
      <c r="CZ52" s="62">
        <f t="shared" si="42"/>
        <v>285.79375360040717</v>
      </c>
      <c r="DA52" s="16">
        <f>IF(ISNA(VLOOKUP(A52,'Données projet'!$A$139:$I$159,3,0)),0,VLOOKUP(A52,'Données projet'!$A$139:$I$159,3,0))</f>
        <v>6</v>
      </c>
      <c r="DB52" s="16">
        <f>IF(ISNA(VLOOKUP(A52,'Données projet'!$A$139:$I$159,4,0)),0,VLOOKUP(A52,'Données projet'!$A$139:$I$159,4,0))</f>
        <v>112.61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13.634673139732808</v>
      </c>
      <c r="DG52" s="23">
        <f>EXP(-LN(2)/25)*DG51+(1-EXP(-LN(2)/25))/(LN(2)/25)*Calculateur!DB52*Calculateur!DD52*VLOOKUP('Données projet'!$B$13,Paramètres!$A$1:$I$89,3,0)*0.475*44/12</f>
        <v>6.6899986776218077</v>
      </c>
      <c r="DH52" s="23">
        <f>EXP(-LN(2)/2)*DH51+(1-EXP(-LN(2)/2))/(LN(2)/2)*DB52*DE52*VLOOKUP('Données projet'!$B$13,Paramètres!$A$1:$I$89,3,0)*0.475*44/12</f>
        <v>9.8626073961264691E-3</v>
      </c>
      <c r="DI52" s="24">
        <f t="shared" si="15"/>
        <v>20.334534424750743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17.399999999999999</v>
      </c>
      <c r="DO52" s="13">
        <f>IF('Données projet'!$A$166&gt;35,DO51+DN52-DW51,IF(A52&lt;'Données projet'!$A$166,$DL$205^A52,IF(A52='Données projet'!$A$166,'Données projet'!$B$166,DO51+DN52-DW51)))</f>
        <v>322.60000000000008</v>
      </c>
      <c r="DP52" s="18">
        <f>DO52*VLOOKUP('Données projet'!$B$14,Paramètres!$A$1:$I$89,3,0)*VLOOKUP('Données projet'!$B$14,Paramètres!$A$1:$I$89,5,0)</f>
        <v>192.91480000000007</v>
      </c>
      <c r="DQ52" s="14">
        <f t="shared" si="43"/>
        <v>48.18380163388656</v>
      </c>
      <c r="DR52" s="22">
        <f t="shared" si="16"/>
        <v>419.91339784568589</v>
      </c>
      <c r="DS52" s="62">
        <f t="shared" si="17"/>
        <v>713.24673117901921</v>
      </c>
      <c r="DT52" s="62">
        <f ca="1">AVERAGE(OFFSET($DS$3,0,0,'Données projet'!$E$14+1,1))-AVERAGE(OFFSET($H$3,0,0,'Données projet'!$E$14+1,1))</f>
        <v>287.69656598881124</v>
      </c>
      <c r="DU52" s="62">
        <f t="shared" si="44"/>
        <v>221.9773436301067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3.553815116649759E-2</v>
      </c>
      <c r="ED52" s="24">
        <f t="shared" si="18"/>
        <v>3.553815116649759E-2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344.36303707479811</v>
      </c>
      <c r="T53" s="62">
        <f t="shared" si="34"/>
        <v>207.92972431357452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20.5</v>
      </c>
      <c r="AI53" s="14">
        <f>IF('Données projet'!$A$62&gt;35,AI52+AH53-AQ52,IF(A53&lt;'Données projet'!$A$62,$AF$205^A53,IF(A53='Données projet'!$A$62,'Données projet'!$B$62,AI52+AH53-AQ52)))</f>
        <v>353.99999999999972</v>
      </c>
      <c r="AJ53" s="14">
        <f>AI53*VLOOKUP('Données projet'!$B$10,Paramètres!$A$1:$I$89,3,0)*VLOOKUP('Données projet'!$B$10,Paramètres!$A$1:$I$89,5,0)</f>
        <v>165.67199999999988</v>
      </c>
      <c r="AK53" s="14">
        <f t="shared" si="35"/>
        <v>42.119245508815517</v>
      </c>
      <c r="AL53" s="22">
        <f t="shared" si="4"/>
        <v>361.90308592785345</v>
      </c>
      <c r="AM53" s="62">
        <f t="shared" si="5"/>
        <v>655.23641926118671</v>
      </c>
      <c r="AN53" s="62">
        <f ca="1">AVERAGE(OFFSET($AM$3,0,0,'Données projet'!$E$10+1,1))-AVERAGE(OFFSET($H$3,0,0,'Données projet'!$E$10+1,1))</f>
        <v>273.94989417245978</v>
      </c>
      <c r="AO53" s="62">
        <f t="shared" si="36"/>
        <v>244.91615281423549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209</v>
      </c>
      <c r="BB53" s="13">
        <f>VLOOKUP(A53,'Données projet'!$A$87:$I$107,9,0)</f>
        <v>7.8</v>
      </c>
      <c r="BC53" s="13">
        <f t="array" ref="BC53">INDEX(BB:BB,MIN(IF(ISNUMBER(BB53:BB249),ROW(BB53:BB249),"")))</f>
        <v>7.8</v>
      </c>
      <c r="BD53" s="13">
        <f>IF('Données projet'!$A$88&gt;35,BD52+BC53-BL52,IF(A53&lt;'Données projet'!$A$88,$BA$205^A53,IF(A53='Données projet'!$A$88,'Données projet'!$B$88,BD52+BC53-BL52)))</f>
        <v>208.99999999999997</v>
      </c>
      <c r="BE53" s="14">
        <f>BD53*VLOOKUP('Données projet'!$B$11,Paramètres!$A$1:$I$89,3,0)*VLOOKUP('Données projet'!$B$11,Paramètres!$A$1:$I$89,5,0)</f>
        <v>182.58240000000001</v>
      </c>
      <c r="BF53" s="14">
        <f t="shared" si="37"/>
        <v>45.896245406460288</v>
      </c>
      <c r="BG53" s="22">
        <f t="shared" si="7"/>
        <v>397.93364074958498</v>
      </c>
      <c r="BH53" s="62">
        <f t="shared" si="8"/>
        <v>691.2669740829183</v>
      </c>
      <c r="BI53" s="62">
        <f ca="1">AVERAGE(OFFSET($BH$3,0,0,'Données projet'!$E$11+1,1))-AVERAGE(OFFSET($H$3,0,0,'Données projet'!$E$11+1,1))</f>
        <v>247.81726778334098</v>
      </c>
      <c r="BJ53" s="62">
        <f t="shared" si="38"/>
        <v>278.55937893537259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1.8930884473537128E-2</v>
      </c>
      <c r="BS53" s="24">
        <f t="shared" si="9"/>
        <v>1.8930884473537128E-2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156.11420010556668</v>
      </c>
      <c r="CE53" s="62">
        <f t="shared" si="40"/>
        <v>318.01952986326501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66.489053938753841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0.25975092186626392</v>
      </c>
      <c r="CN53" s="24">
        <f t="shared" si="12"/>
        <v>66.748804860620112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20.324285714285718</v>
      </c>
      <c r="CT53" s="13">
        <f>IF('Données projet'!$A$140&gt;35,CT52+CS53-DB52,IF(A53&lt;'Données projet'!$A$140,$CQ$205^A53,IF(A53='Données projet'!$A$140,'Données projet'!$B$140,CT52+CS53-DB52)))</f>
        <v>411.54428571428571</v>
      </c>
      <c r="CU53" s="18">
        <f>CT53*VLOOKUP('Données projet'!$B$13,Paramètres!$A$1:$I$89,3,0)*VLOOKUP('Données projet'!$B$13,Paramètres!$A$1:$I$89,5,0)</f>
        <v>230.05325571428571</v>
      </c>
      <c r="CV53" s="14">
        <f t="shared" si="41"/>
        <v>56.294196506523747</v>
      </c>
      <c r="CW53" s="22">
        <f t="shared" si="13"/>
        <v>498.72181261790985</v>
      </c>
      <c r="CX53" s="62">
        <f t="shared" si="14"/>
        <v>792.05514595124316</v>
      </c>
      <c r="CY53" s="62">
        <f ca="1">AVERAGE(OFFSET($CX$3,0,0,'Données projet'!$E$13+1,1))-AVERAGE(OFFSET($H$3,0,0,'Données projet'!$E$13+1,1))</f>
        <v>321.56347025977988</v>
      </c>
      <c r="CZ53" s="62">
        <f t="shared" si="42"/>
        <v>285.79375360040717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13.367305515792093</v>
      </c>
      <c r="DG53" s="23">
        <f>EXP(-LN(2)/25)*DG52+(1-EXP(-LN(2)/25))/(LN(2)/25)*Calculateur!DB53*Calculateur!DD53*VLOOKUP('Données projet'!$B$13,Paramètres!$A$1:$I$89,3,0)*0.475*44/12</f>
        <v>6.5070603119704993</v>
      </c>
      <c r="DH53" s="23">
        <f>EXP(-LN(2)/2)*DH52+(1-EXP(-LN(2)/2))/(LN(2)/2)*DB53*DE53*VLOOKUP('Données projet'!$B$13,Paramètres!$A$1:$I$89,3,0)*0.475*44/12</f>
        <v>6.9739165699816245E-3</v>
      </c>
      <c r="DI53" s="24">
        <f t="shared" si="15"/>
        <v>19.881339744332575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340</v>
      </c>
      <c r="DM53" s="13">
        <f>VLOOKUP(A53,'Données projet'!$A$165:$I$185,9,0)</f>
        <v>17.399999999999999</v>
      </c>
      <c r="DN53" s="13">
        <f t="array" ref="DN53">INDEX(DM:DM,MIN(IF(ISNUMBER(DM53:DM249),ROW(DM53:DM249),"")))</f>
        <v>17.399999999999999</v>
      </c>
      <c r="DO53" s="13">
        <f>IF('Données projet'!$A$166&gt;35,DO52+DN53-DW52,IF(A53&lt;'Données projet'!$A$166,$DL$205^A53,IF(A53='Données projet'!$A$166,'Données projet'!$B$166,DO52+DN53-DW52)))</f>
        <v>340.00000000000006</v>
      </c>
      <c r="DP53" s="18">
        <f>DO53*VLOOKUP('Données projet'!$B$14,Paramètres!$A$1:$I$89,3,0)*VLOOKUP('Données projet'!$B$14,Paramètres!$A$1:$I$89,5,0)</f>
        <v>203.32000000000005</v>
      </c>
      <c r="DQ53" s="14">
        <f t="shared" si="43"/>
        <v>50.473102640215579</v>
      </c>
      <c r="DR53" s="22">
        <f t="shared" si="16"/>
        <v>442.02298709837555</v>
      </c>
      <c r="DS53" s="62">
        <f t="shared" si="17"/>
        <v>735.35632043170881</v>
      </c>
      <c r="DT53" s="62">
        <f ca="1">AVERAGE(OFFSET($DS$3,0,0,'Données projet'!$E$14+1,1))-AVERAGE(OFFSET($H$3,0,0,'Données projet'!$E$14+1,1))</f>
        <v>287.69656598881124</v>
      </c>
      <c r="DU53" s="62">
        <f t="shared" si="44"/>
        <v>221.9773436301067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53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2.5129267680663061E-2</v>
      </c>
      <c r="ED53" s="24">
        <f t="shared" si="18"/>
        <v>2.5129267680663061E-2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344.36303707479811</v>
      </c>
      <c r="T54" s="62">
        <f t="shared" si="34"/>
        <v>207.92972431357452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20.5</v>
      </c>
      <c r="AI54" s="14">
        <f>IF('Données projet'!$A$62&gt;35,AI53+AH54-AQ53,IF(A54&lt;'Données projet'!$A$62,$AF$205^A54,IF(A54='Données projet'!$A$62,'Données projet'!$B$62,AI53+AH54-AQ53)))</f>
        <v>374.49999999999972</v>
      </c>
      <c r="AJ54" s="14">
        <f>AI54*VLOOKUP('Données projet'!$B$10,Paramètres!$A$1:$I$89,3,0)*VLOOKUP('Données projet'!$B$10,Paramètres!$A$1:$I$89,5,0)</f>
        <v>175.26599999999985</v>
      </c>
      <c r="AK54" s="14">
        <f t="shared" si="35"/>
        <v>44.267330250356274</v>
      </c>
      <c r="AL54" s="22">
        <f t="shared" si="4"/>
        <v>382.35388351937019</v>
      </c>
      <c r="AM54" s="62">
        <f t="shared" si="5"/>
        <v>675.6872168527035</v>
      </c>
      <c r="AN54" s="62">
        <f ca="1">AVERAGE(OFFSET($AM$3,0,0,'Données projet'!$E$10+1,1))-AVERAGE(OFFSET($H$3,0,0,'Données projet'!$E$10+1,1))</f>
        <v>273.94989417245978</v>
      </c>
      <c r="AO54" s="62">
        <f t="shared" si="36"/>
        <v>244.91615281423549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6.8</v>
      </c>
      <c r="BD54" s="13">
        <f>IF('Données projet'!$A$88&gt;35,BD53+BC54-BL53,IF(A54&lt;'Données projet'!$A$88,$BA$205^A54,IF(A54='Données projet'!$A$88,'Données projet'!$B$88,BD53+BC54-BL53)))</f>
        <v>187.79999999999998</v>
      </c>
      <c r="BE54" s="14">
        <f>BD54*VLOOKUP('Données projet'!$B$11,Paramètres!$A$1:$I$89,3,0)*VLOOKUP('Données projet'!$B$11,Paramètres!$A$1:$I$89,5,0)</f>
        <v>164.06208000000001</v>
      </c>
      <c r="BF54" s="14">
        <f t="shared" si="37"/>
        <v>41.75738773013461</v>
      </c>
      <c r="BG54" s="22">
        <f t="shared" si="7"/>
        <v>358.46890629665108</v>
      </c>
      <c r="BH54" s="62">
        <f t="shared" si="8"/>
        <v>651.80223962998434</v>
      </c>
      <c r="BI54" s="62">
        <f ca="1">AVERAGE(OFFSET($BH$3,0,0,'Données projet'!$E$11+1,1))-AVERAGE(OFFSET($H$3,0,0,'Données projet'!$E$11+1,1))</f>
        <v>247.81726778334098</v>
      </c>
      <c r="BJ54" s="62">
        <f t="shared" si="38"/>
        <v>278.55937893537259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1.3386156785097228E-2</v>
      </c>
      <c r="BS54" s="24">
        <f t="shared" si="9"/>
        <v>1.3386156785097228E-2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156.11420010556668</v>
      </c>
      <c r="CE54" s="62">
        <f t="shared" si="40"/>
        <v>318.01952986326501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65.185244145333371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0.18367163827109229</v>
      </c>
      <c r="CN54" s="24">
        <f t="shared" si="12"/>
        <v>65.368915783604464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20.324285714285718</v>
      </c>
      <c r="CT54" s="13">
        <f>IF('Données projet'!$A$140&gt;35,CT53+CS54-DB53,IF(A54&lt;'Données projet'!$A$140,$CQ$205^A54,IF(A54='Données projet'!$A$140,'Données projet'!$B$140,CT53+CS54-DB53)))</f>
        <v>431.86857142857144</v>
      </c>
      <c r="CU54" s="18">
        <f>CT54*VLOOKUP('Données projet'!$B$13,Paramètres!$A$1:$I$89,3,0)*VLOOKUP('Données projet'!$B$13,Paramètres!$A$1:$I$89,5,0)</f>
        <v>241.41453142857142</v>
      </c>
      <c r="CV54" s="14">
        <f t="shared" si="41"/>
        <v>58.743769641045859</v>
      </c>
      <c r="CW54" s="22">
        <f t="shared" si="13"/>
        <v>522.77570769625004</v>
      </c>
      <c r="CX54" s="62">
        <f t="shared" si="14"/>
        <v>816.1090410295833</v>
      </c>
      <c r="CY54" s="62">
        <f ca="1">AVERAGE(OFFSET($CX$3,0,0,'Données projet'!$E$13+1,1))-AVERAGE(OFFSET($H$3,0,0,'Données projet'!$E$13+1,1))</f>
        <v>321.56347025977988</v>
      </c>
      <c r="CZ54" s="62">
        <f t="shared" si="42"/>
        <v>285.79375360040717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13.105180807878709</v>
      </c>
      <c r="DG54" s="23">
        <f>EXP(-LN(2)/25)*DG53+(1-EXP(-LN(2)/25))/(LN(2)/25)*Calculateur!DB54*Calculateur!DD54*VLOOKUP('Données projet'!$B$13,Paramètres!$A$1:$I$89,3,0)*0.475*44/12</f>
        <v>6.3291244055482361</v>
      </c>
      <c r="DH54" s="23">
        <f>EXP(-LN(2)/2)*DH53+(1-EXP(-LN(2)/2))/(LN(2)/2)*DB54*DE54*VLOOKUP('Données projet'!$B$13,Paramètres!$A$1:$I$89,3,0)*0.475*44/12</f>
        <v>4.9313036980632345E-3</v>
      </c>
      <c r="DI54" s="24">
        <f t="shared" si="15"/>
        <v>19.439236517125011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17.625</v>
      </c>
      <c r="DO54" s="13">
        <f>IF('Données projet'!$A$166&gt;35,DO53+DN54-DW53,IF(A54&lt;'Données projet'!$A$166,$DL$205^A54,IF(A54='Données projet'!$A$166,'Données projet'!$B$166,DO53+DN54-DW53)))</f>
        <v>304.62500000000006</v>
      </c>
      <c r="DP54" s="18">
        <f>DO54*VLOOKUP('Données projet'!$B$14,Paramètres!$A$1:$I$89,3,0)*VLOOKUP('Données projet'!$B$14,Paramètres!$A$1:$I$89,5,0)</f>
        <v>182.16575000000003</v>
      </c>
      <c r="DQ54" s="14">
        <f t="shared" si="43"/>
        <v>45.803689728693968</v>
      </c>
      <c r="DR54" s="22">
        <f t="shared" si="16"/>
        <v>397.04677419414202</v>
      </c>
      <c r="DS54" s="62">
        <f t="shared" si="17"/>
        <v>690.38010752747527</v>
      </c>
      <c r="DT54" s="62">
        <f ca="1">AVERAGE(OFFSET($DS$3,0,0,'Données projet'!$E$14+1,1))-AVERAGE(OFFSET($H$3,0,0,'Données projet'!$E$14+1,1))</f>
        <v>287.69656598881124</v>
      </c>
      <c r="DU54" s="62">
        <f t="shared" si="44"/>
        <v>221.9773436301067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1.7769075583248795E-2</v>
      </c>
      <c r="ED54" s="24">
        <f t="shared" si="18"/>
        <v>1.7769075583248795E-2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344.36303707479811</v>
      </c>
      <c r="T55" s="62">
        <f t="shared" si="34"/>
        <v>207.92972431357452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20.5</v>
      </c>
      <c r="AI55" s="14">
        <f>IF('Données projet'!$A$62&gt;35,AI54+AH55-AQ54,IF(A55&lt;'Données projet'!$A$62,$AF$205^A55,IF(A55='Données projet'!$A$62,'Données projet'!$B$62,AI54+AH55-AQ54)))</f>
        <v>394.99999999999972</v>
      </c>
      <c r="AJ55" s="14">
        <f>AI55*VLOOKUP('Données projet'!$B$10,Paramètres!$A$1:$I$89,3,0)*VLOOKUP('Données projet'!$B$10,Paramètres!$A$1:$I$89,5,0)</f>
        <v>184.85999999999987</v>
      </c>
      <c r="AK55" s="14">
        <f t="shared" si="35"/>
        <v>46.401764365641043</v>
      </c>
      <c r="AL55" s="22">
        <f t="shared" si="4"/>
        <v>402.78090627015791</v>
      </c>
      <c r="AM55" s="62">
        <f t="shared" si="5"/>
        <v>696.11423960349123</v>
      </c>
      <c r="AN55" s="62">
        <f ca="1">AVERAGE(OFFSET($AM$3,0,0,'Données projet'!$E$10+1,1))-AVERAGE(OFFSET($H$3,0,0,'Données projet'!$E$10+1,1))</f>
        <v>273.94989417245978</v>
      </c>
      <c r="AO55" s="62">
        <f t="shared" si="36"/>
        <v>244.91615281423549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6.8</v>
      </c>
      <c r="BD55" s="13">
        <f>IF('Données projet'!$A$88&gt;35,BD54+BC55-BL54,IF(A55&lt;'Données projet'!$A$88,$BA$205^A55,IF(A55='Données projet'!$A$88,'Données projet'!$B$88,BD54+BC55-BL54)))</f>
        <v>194.6</v>
      </c>
      <c r="BE55" s="14">
        <f>BD55*VLOOKUP('Données projet'!$B$11,Paramètres!$A$1:$I$89,3,0)*VLOOKUP('Données projet'!$B$11,Paramètres!$A$1:$I$89,5,0)</f>
        <v>170.00256000000002</v>
      </c>
      <c r="BF55" s="14">
        <f t="shared" si="37"/>
        <v>43.090596939649579</v>
      </c>
      <c r="BG55" s="22">
        <f t="shared" si="7"/>
        <v>371.1372483365563</v>
      </c>
      <c r="BH55" s="62">
        <f t="shared" si="8"/>
        <v>664.47058166988961</v>
      </c>
      <c r="BI55" s="62">
        <f ca="1">AVERAGE(OFFSET($BH$3,0,0,'Données projet'!$E$11+1,1))-AVERAGE(OFFSET($H$3,0,0,'Données projet'!$E$11+1,1))</f>
        <v>247.81726778334098</v>
      </c>
      <c r="BJ55" s="62">
        <f t="shared" si="38"/>
        <v>278.55937893537259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9.4654422367685641E-3</v>
      </c>
      <c r="BS55" s="24">
        <f t="shared" si="9"/>
        <v>9.4654422367685641E-3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156.11420010556668</v>
      </c>
      <c r="CE55" s="62">
        <f t="shared" si="40"/>
        <v>318.01952986326501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63.907001266716428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0.12987546093313196</v>
      </c>
      <c r="CN55" s="24">
        <f t="shared" si="12"/>
        <v>64.036876727649556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20.324285714285718</v>
      </c>
      <c r="CT55" s="13">
        <f>IF('Données projet'!$A$140&gt;35,CT54+CS55-DB54,IF(A55&lt;'Données projet'!$A$140,$CQ$205^A55,IF(A55='Données projet'!$A$140,'Données projet'!$B$140,CT54+CS55-DB54)))</f>
        <v>452.19285714285718</v>
      </c>
      <c r="CU55" s="18">
        <f>CT55*VLOOKUP('Données projet'!$B$13,Paramètres!$A$1:$I$89,3,0)*VLOOKUP('Données projet'!$B$13,Paramètres!$A$1:$I$89,5,0)</f>
        <v>252.77580714285716</v>
      </c>
      <c r="CV55" s="14">
        <f t="shared" si="41"/>
        <v>61.179955647848509</v>
      </c>
      <c r="CW55" s="22">
        <f t="shared" si="13"/>
        <v>546.80628686047896</v>
      </c>
      <c r="CX55" s="62">
        <f t="shared" si="14"/>
        <v>840.13962019381233</v>
      </c>
      <c r="CY55" s="62">
        <f ca="1">AVERAGE(OFFSET($CX$3,0,0,'Données projet'!$E$13+1,1))-AVERAGE(OFFSET($H$3,0,0,'Données projet'!$E$13+1,1))</f>
        <v>321.56347025977988</v>
      </c>
      <c r="CZ55" s="62">
        <f t="shared" si="42"/>
        <v>285.79375360040717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12.84819620560722</v>
      </c>
      <c r="DG55" s="23">
        <f>EXP(-LN(2)/25)*DG54+(1-EXP(-LN(2)/25))/(LN(2)/25)*Calculateur!DB55*Calculateur!DD55*VLOOKUP('Données projet'!$B$13,Paramètres!$A$1:$I$89,3,0)*0.475*44/12</f>
        <v>6.1560541658443322</v>
      </c>
      <c r="DH55" s="23">
        <f>EXP(-LN(2)/2)*DH54+(1-EXP(-LN(2)/2))/(LN(2)/2)*DB55*DE55*VLOOKUP('Données projet'!$B$13,Paramètres!$A$1:$I$89,3,0)*0.475*44/12</f>
        <v>3.4869582849908123E-3</v>
      </c>
      <c r="DI55" s="24">
        <f t="shared" si="15"/>
        <v>19.007737329736543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17.625</v>
      </c>
      <c r="DO55" s="13">
        <f>IF('Données projet'!$A$166&gt;35,DO54+DN55-DW54,IF(A55&lt;'Données projet'!$A$166,$DL$205^A55,IF(A55='Données projet'!$A$166,'Données projet'!$B$166,DO54+DN55-DW54)))</f>
        <v>322.25000000000006</v>
      </c>
      <c r="DP55" s="18">
        <f>DO55*VLOOKUP('Données projet'!$B$14,Paramètres!$A$1:$I$89,3,0)*VLOOKUP('Données projet'!$B$14,Paramètres!$A$1:$I$89,5,0)</f>
        <v>192.70550000000006</v>
      </c>
      <c r="DQ55" s="14">
        <f t="shared" si="43"/>
        <v>48.137607387789963</v>
      </c>
      <c r="DR55" s="22">
        <f t="shared" si="16"/>
        <v>419.46841203373424</v>
      </c>
      <c r="DS55" s="62">
        <f t="shared" si="17"/>
        <v>712.8017453670675</v>
      </c>
      <c r="DT55" s="62">
        <f ca="1">AVERAGE(OFFSET($DS$3,0,0,'Données projet'!$E$14+1,1))-AVERAGE(OFFSET($H$3,0,0,'Données projet'!$E$14+1,1))</f>
        <v>287.69656598881124</v>
      </c>
      <c r="DU55" s="62">
        <f t="shared" si="44"/>
        <v>221.9773436301067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1.256463384033153E-2</v>
      </c>
      <c r="ED55" s="24">
        <f t="shared" si="18"/>
        <v>1.256463384033153E-2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344.36303707479811</v>
      </c>
      <c r="T56" s="62">
        <f t="shared" si="34"/>
        <v>207.92972431357452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20.5</v>
      </c>
      <c r="AI56" s="14">
        <f>IF('Données projet'!$A$62&gt;35,AI55+AH56-AQ55,IF(A56&lt;'Données projet'!$A$62,$AF$205^A56,IF(A56='Données projet'!$A$62,'Données projet'!$B$62,AI55+AH56-AQ55)))</f>
        <v>415.49999999999972</v>
      </c>
      <c r="AJ56" s="14">
        <f>AI56*VLOOKUP('Données projet'!$B$10,Paramètres!$A$1:$I$89,3,0)*VLOOKUP('Données projet'!$B$10,Paramètres!$A$1:$I$89,5,0)</f>
        <v>194.45399999999987</v>
      </c>
      <c r="AK56" s="14">
        <f t="shared" si="35"/>
        <v>48.523337110742148</v>
      </c>
      <c r="AL56" s="22">
        <f t="shared" si="4"/>
        <v>423.18552880120905</v>
      </c>
      <c r="AM56" s="62">
        <f t="shared" si="5"/>
        <v>716.51886213454236</v>
      </c>
      <c r="AN56" s="62">
        <f ca="1">AVERAGE(OFFSET($AM$3,0,0,'Données projet'!$E$10+1,1))-AVERAGE(OFFSET($H$3,0,0,'Données projet'!$E$10+1,1))</f>
        <v>273.94989417245978</v>
      </c>
      <c r="AO56" s="62">
        <f t="shared" si="36"/>
        <v>244.91615281423549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6.8</v>
      </c>
      <c r="BD56" s="13">
        <f>IF('Données projet'!$A$88&gt;35,BD55+BC56-BL55,IF(A56&lt;'Données projet'!$A$88,$BA$205^A56,IF(A56='Données projet'!$A$88,'Données projet'!$B$88,BD55+BC56-BL55)))</f>
        <v>201.4</v>
      </c>
      <c r="BE56" s="14">
        <f>BD56*VLOOKUP('Données projet'!$B$11,Paramètres!$A$1:$I$89,3,0)*VLOOKUP('Données projet'!$B$11,Paramètres!$A$1:$I$89,5,0)</f>
        <v>175.94304000000002</v>
      </c>
      <c r="BF56" s="14">
        <f t="shared" si="37"/>
        <v>44.418393276556458</v>
      </c>
      <c r="BG56" s="22">
        <f t="shared" si="7"/>
        <v>383.79616295666915</v>
      </c>
      <c r="BH56" s="62">
        <f t="shared" si="8"/>
        <v>677.12949629000241</v>
      </c>
      <c r="BI56" s="62">
        <f ca="1">AVERAGE(OFFSET($BH$3,0,0,'Données projet'!$E$11+1,1))-AVERAGE(OFFSET($H$3,0,0,'Données projet'!$E$11+1,1))</f>
        <v>247.81726778334098</v>
      </c>
      <c r="BJ56" s="62">
        <f t="shared" si="38"/>
        <v>278.55937893537259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6.6930783925486141E-3</v>
      </c>
      <c r="BS56" s="24">
        <f t="shared" si="9"/>
        <v>6.6930783925486141E-3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156.11420010556668</v>
      </c>
      <c r="CE56" s="62">
        <f t="shared" si="40"/>
        <v>318.01952986326501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62.653823951297994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9.1835819135546143E-2</v>
      </c>
      <c r="CN56" s="24">
        <f t="shared" si="12"/>
        <v>62.745659770433541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20.324285714285718</v>
      </c>
      <c r="CT56" s="13">
        <f>IF('Données projet'!$A$140&gt;35,CT55+CS56-DB55,IF(A56&lt;'Données projet'!$A$140,$CQ$205^A56,IF(A56='Données projet'!$A$140,'Données projet'!$B$140,CT55+CS56-DB55)))</f>
        <v>472.51714285714291</v>
      </c>
      <c r="CU56" s="18">
        <f>CT56*VLOOKUP('Données projet'!$B$13,Paramètres!$A$1:$I$89,3,0)*VLOOKUP('Données projet'!$B$13,Paramètres!$A$1:$I$89,5,0)</f>
        <v>264.1370828571429</v>
      </c>
      <c r="CV56" s="14">
        <f t="shared" si="41"/>
        <v>63.60342497029243</v>
      </c>
      <c r="CW56" s="22">
        <f t="shared" si="13"/>
        <v>570.81471779944991</v>
      </c>
      <c r="CX56" s="62">
        <f t="shared" si="14"/>
        <v>864.14805113278317</v>
      </c>
      <c r="CY56" s="62">
        <f ca="1">AVERAGE(OFFSET($CX$3,0,0,'Données projet'!$E$13+1,1))-AVERAGE(OFFSET($H$3,0,0,'Données projet'!$E$13+1,1))</f>
        <v>321.56347025977988</v>
      </c>
      <c r="CZ56" s="62">
        <f t="shared" si="42"/>
        <v>285.79375360040717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12.596250914641145</v>
      </c>
      <c r="DG56" s="23">
        <f>EXP(-LN(2)/25)*DG55+(1-EXP(-LN(2)/25))/(LN(2)/25)*Calculateur!DB56*Calculateur!DD56*VLOOKUP('Données projet'!$B$13,Paramètres!$A$1:$I$89,3,0)*0.475*44/12</f>
        <v>5.9877165409464999</v>
      </c>
      <c r="DH56" s="23">
        <f>EXP(-LN(2)/2)*DH55+(1-EXP(-LN(2)/2))/(LN(2)/2)*DB56*DE56*VLOOKUP('Données projet'!$B$13,Paramètres!$A$1:$I$89,3,0)*0.475*44/12</f>
        <v>2.4656518490316173E-3</v>
      </c>
      <c r="DI56" s="24">
        <f t="shared" si="15"/>
        <v>18.586433107436676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17.625</v>
      </c>
      <c r="DO56" s="13">
        <f>IF('Données projet'!$A$166&gt;35,DO55+DN56-DW55,IF(A56&lt;'Données projet'!$A$166,$DL$205^A56,IF(A56='Données projet'!$A$166,'Données projet'!$B$166,DO55+DN56-DW55)))</f>
        <v>339.87500000000006</v>
      </c>
      <c r="DP56" s="18">
        <f>DO56*VLOOKUP('Données projet'!$B$14,Paramètres!$A$1:$I$89,3,0)*VLOOKUP('Données projet'!$B$14,Paramètres!$A$1:$I$89,5,0)</f>
        <v>203.24525000000006</v>
      </c>
      <c r="DQ56" s="14">
        <f t="shared" si="43"/>
        <v>50.45670595349123</v>
      </c>
      <c r="DR56" s="22">
        <f t="shared" si="16"/>
        <v>441.86423995233059</v>
      </c>
      <c r="DS56" s="62">
        <f t="shared" si="17"/>
        <v>735.19757328566391</v>
      </c>
      <c r="DT56" s="62">
        <f ca="1">AVERAGE(OFFSET($DS$3,0,0,'Données projet'!$E$14+1,1))-AVERAGE(OFFSET($H$3,0,0,'Données projet'!$E$14+1,1))</f>
        <v>287.69656598881124</v>
      </c>
      <c r="DU56" s="62">
        <f t="shared" si="44"/>
        <v>221.9773436301067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8.8845377916243976E-3</v>
      </c>
      <c r="ED56" s="24">
        <f t="shared" si="18"/>
        <v>8.8845377916243976E-3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344.36303707479811</v>
      </c>
      <c r="T57" s="62">
        <f t="shared" si="34"/>
        <v>207.92972431357452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436</v>
      </c>
      <c r="AG57" s="13">
        <f>VLOOKUP(A57,'Données projet'!$A$61:$I$81,9,0)</f>
        <v>20.5</v>
      </c>
      <c r="AH57" s="13">
        <f t="array" ref="AH57">INDEX(AG:AG,MIN(IF(ISNUMBER(AG57:AG253),ROW(AG57:AG253),"")))</f>
        <v>20.5</v>
      </c>
      <c r="AI57" s="14">
        <f>IF('Données projet'!$A$62&gt;35,AI56+AH57-AQ56,IF(A57&lt;'Données projet'!$A$62,$AF$205^A57,IF(A57='Données projet'!$A$62,'Données projet'!$B$62,AI56+AH57-AQ56)))</f>
        <v>435.99999999999972</v>
      </c>
      <c r="AJ57" s="14">
        <f>AI57*VLOOKUP('Données projet'!$B$10,Paramètres!$A$1:$I$89,3,0)*VLOOKUP('Données projet'!$B$10,Paramètres!$A$1:$I$89,5,0)</f>
        <v>204.04799999999986</v>
      </c>
      <c r="AK57" s="14">
        <f t="shared" si="35"/>
        <v>50.632755461121967</v>
      </c>
      <c r="AL57" s="22">
        <f t="shared" si="4"/>
        <v>443.56898242812048</v>
      </c>
      <c r="AM57" s="62">
        <f t="shared" si="5"/>
        <v>736.90231576145379</v>
      </c>
      <c r="AN57" s="62">
        <f ca="1">AVERAGE(OFFSET($AM$3,0,0,'Données projet'!$E$10+1,1))-AVERAGE(OFFSET($H$3,0,0,'Données projet'!$E$10+1,1))</f>
        <v>273.94989417245978</v>
      </c>
      <c r="AO57" s="62">
        <f t="shared" si="36"/>
        <v>244.91615281423549</v>
      </c>
      <c r="AP57" s="16">
        <f>IF(ISNA(VLOOKUP(A57,'Données projet'!$A$61:$I$81,3,0)),0,VLOOKUP(A57,'Données projet'!$A$61:$I$81,3,0))</f>
        <v>3</v>
      </c>
      <c r="AQ57" s="16">
        <f>IF(ISNA(VLOOKUP(A57,'Données projet'!$A$61:$I$81,4,0)),0,VLOOKUP(A57,'Données projet'!$A$61:$I$81,4,0))</f>
        <v>86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6.8</v>
      </c>
      <c r="BD57" s="13">
        <f>IF('Données projet'!$A$88&gt;35,BD56+BC57-BL56,IF(A57&lt;'Données projet'!$A$88,$BA$205^A57,IF(A57='Données projet'!$A$88,'Données projet'!$B$88,BD56+BC57-BL56)))</f>
        <v>208.20000000000002</v>
      </c>
      <c r="BE57" s="14">
        <f>BD57*VLOOKUP('Données projet'!$B$11,Paramètres!$A$1:$I$89,3,0)*VLOOKUP('Données projet'!$B$11,Paramètres!$A$1:$I$89,5,0)</f>
        <v>181.88352000000006</v>
      </c>
      <c r="BF57" s="14">
        <f t="shared" si="37"/>
        <v>45.74098045051349</v>
      </c>
      <c r="BG57" s="22">
        <f t="shared" si="7"/>
        <v>396.44600495131112</v>
      </c>
      <c r="BH57" s="62">
        <f t="shared" si="8"/>
        <v>689.77933828464438</v>
      </c>
      <c r="BI57" s="62">
        <f ca="1">AVERAGE(OFFSET($BH$3,0,0,'Données projet'!$E$11+1,1))-AVERAGE(OFFSET($H$3,0,0,'Données projet'!$E$11+1,1))</f>
        <v>247.81726778334098</v>
      </c>
      <c r="BJ57" s="62">
        <f t="shared" si="38"/>
        <v>278.55937893537259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4.732721118384282E-3</v>
      </c>
      <c r="BS57" s="24">
        <f t="shared" si="9"/>
        <v>4.732721118384282E-3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156.11420010556668</v>
      </c>
      <c r="CE57" s="62">
        <f t="shared" si="40"/>
        <v>318.01952986326501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61.425220678672225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6.4937730466565979E-2</v>
      </c>
      <c r="CN57" s="24">
        <f t="shared" si="12"/>
        <v>61.490158409138793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20.324285714285718</v>
      </c>
      <c r="CT57" s="13">
        <f>IF('Données projet'!$A$140&gt;35,CT56+CS57-DB56,IF(A57&lt;'Données projet'!$A$140,$CQ$205^A57,IF(A57='Données projet'!$A$140,'Données projet'!$B$140,CT56+CS57-DB56)))</f>
        <v>492.84142857142865</v>
      </c>
      <c r="CU57" s="18">
        <f>CT57*VLOOKUP('Données projet'!$B$13,Paramètres!$A$1:$I$89,3,0)*VLOOKUP('Données projet'!$B$13,Paramètres!$A$1:$I$89,5,0)</f>
        <v>275.49835857142858</v>
      </c>
      <c r="CV57" s="14">
        <f t="shared" si="41"/>
        <v>66.0147871145425</v>
      </c>
      <c r="CW57" s="22">
        <f t="shared" si="13"/>
        <v>594.80206206973287</v>
      </c>
      <c r="CX57" s="62">
        <f t="shared" si="14"/>
        <v>888.13539540306624</v>
      </c>
      <c r="CY57" s="62">
        <f ca="1">AVERAGE(OFFSET($CX$3,0,0,'Données projet'!$E$13+1,1))-AVERAGE(OFFSET($H$3,0,0,'Données projet'!$E$13+1,1))</f>
        <v>321.56347025977988</v>
      </c>
      <c r="CZ57" s="62">
        <f t="shared" si="42"/>
        <v>285.79375360040717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12.349246117159462</v>
      </c>
      <c r="DG57" s="23">
        <f>EXP(-LN(2)/25)*DG56+(1-EXP(-LN(2)/25))/(LN(2)/25)*Calculateur!DB57*Calculateur!DD57*VLOOKUP('Données projet'!$B$13,Paramètres!$A$1:$I$89,3,0)*0.475*44/12</f>
        <v>5.8239821172539896</v>
      </c>
      <c r="DH57" s="23">
        <f>EXP(-LN(2)/2)*DH56+(1-EXP(-LN(2)/2))/(LN(2)/2)*DB57*DE57*VLOOKUP('Données projet'!$B$13,Paramètres!$A$1:$I$89,3,0)*0.475*44/12</f>
        <v>1.7434791424954061E-3</v>
      </c>
      <c r="DI57" s="24">
        <f t="shared" si="15"/>
        <v>18.174971713555944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17.625</v>
      </c>
      <c r="DO57" s="13">
        <f>IF('Données projet'!$A$166&gt;35,DO56+DN57-DW56,IF(A57&lt;'Données projet'!$A$166,$DL$205^A57,IF(A57='Données projet'!$A$166,'Données projet'!$B$166,DO56+DN57-DW56)))</f>
        <v>357.50000000000006</v>
      </c>
      <c r="DP57" s="18">
        <f>DO57*VLOOKUP('Données projet'!$B$14,Paramètres!$A$1:$I$89,3,0)*VLOOKUP('Données projet'!$B$14,Paramètres!$A$1:$I$89,5,0)</f>
        <v>213.78500000000005</v>
      </c>
      <c r="DQ57" s="14">
        <f t="shared" si="43"/>
        <v>52.761841557402377</v>
      </c>
      <c r="DR57" s="22">
        <f t="shared" si="16"/>
        <v>464.2357490458092</v>
      </c>
      <c r="DS57" s="62">
        <f t="shared" si="17"/>
        <v>757.56908237914251</v>
      </c>
      <c r="DT57" s="62">
        <f ca="1">AVERAGE(OFFSET($DS$3,0,0,'Données projet'!$E$14+1,1))-AVERAGE(OFFSET($H$3,0,0,'Données projet'!$E$14+1,1))</f>
        <v>287.69656598881124</v>
      </c>
      <c r="DU57" s="62">
        <f t="shared" si="44"/>
        <v>221.9773436301067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6.2823169201657652E-3</v>
      </c>
      <c r="ED57" s="24">
        <f t="shared" si="18"/>
        <v>6.2823169201657652E-3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344.36303707479811</v>
      </c>
      <c r="T58" s="62">
        <f t="shared" si="34"/>
        <v>207.92972431357452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19.833333333333332</v>
      </c>
      <c r="AI58" s="14">
        <f>IF('Données projet'!$A$62&gt;35,AI57+AH58-AQ57,IF(A58&lt;'Données projet'!$A$62,$AF$205^A58,IF(A58='Données projet'!$A$62,'Données projet'!$B$62,AI57+AH58-AQ57)))</f>
        <v>369.83333333333303</v>
      </c>
      <c r="AJ58" s="14">
        <f>AI58*VLOOKUP('Données projet'!$B$10,Paramètres!$A$1:$I$89,3,0)*VLOOKUP('Données projet'!$B$10,Paramètres!$A$1:$I$89,5,0)</f>
        <v>173.08199999999985</v>
      </c>
      <c r="AK58" s="14">
        <f t="shared" si="35"/>
        <v>43.77956560661174</v>
      </c>
      <c r="AL58" s="22">
        <f t="shared" si="4"/>
        <v>377.70056009818182</v>
      </c>
      <c r="AM58" s="62">
        <f t="shared" si="5"/>
        <v>671.03389343151514</v>
      </c>
      <c r="AN58" s="62">
        <f ca="1">AVERAGE(OFFSET($AM$3,0,0,'Données projet'!$E$10+1,1))-AVERAGE(OFFSET($H$3,0,0,'Données projet'!$E$10+1,1))</f>
        <v>273.94989417245978</v>
      </c>
      <c r="AO58" s="62">
        <f t="shared" si="36"/>
        <v>244.91615281423549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215</v>
      </c>
      <c r="BB58" s="13">
        <f>VLOOKUP(A58,'Données projet'!$A$87:$I$107,9,0)</f>
        <v>6.8</v>
      </c>
      <c r="BC58" s="13">
        <f t="array" ref="BC58">INDEX(BB:BB,MIN(IF(ISNUMBER(BB58:BB254),ROW(BB58:BB254),"")))</f>
        <v>6.8</v>
      </c>
      <c r="BD58" s="13">
        <f>IF('Données projet'!$A$88&gt;35,BD57+BC58-BL57,IF(A58&lt;'Données projet'!$A$88,$BA$205^A58,IF(A58='Données projet'!$A$88,'Données projet'!$B$88,BD57+BC58-BL57)))</f>
        <v>215.00000000000003</v>
      </c>
      <c r="BE58" s="14">
        <f>BD58*VLOOKUP('Données projet'!$B$11,Paramètres!$A$1:$I$89,3,0)*VLOOKUP('Données projet'!$B$11,Paramètres!$A$1:$I$89,5,0)</f>
        <v>187.82400000000007</v>
      </c>
      <c r="BF58" s="14">
        <f t="shared" si="37"/>
        <v>47.05854810918273</v>
      </c>
      <c r="BG58" s="22">
        <f t="shared" si="7"/>
        <v>409.08710462349336</v>
      </c>
      <c r="BH58" s="62">
        <f t="shared" si="8"/>
        <v>702.42043795682662</v>
      </c>
      <c r="BI58" s="62">
        <f ca="1">AVERAGE(OFFSET($BH$3,0,0,'Données projet'!$E$11+1,1))-AVERAGE(OFFSET($H$3,0,0,'Données projet'!$E$11+1,1))</f>
        <v>247.81726778334098</v>
      </c>
      <c r="BJ58" s="62">
        <f t="shared" si="38"/>
        <v>278.55937893537259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25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3.3465391962743071E-3</v>
      </c>
      <c r="BS58" s="24">
        <f t="shared" si="9"/>
        <v>3.3465391962743071E-3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156.11420010556668</v>
      </c>
      <c r="CE58" s="62">
        <f t="shared" si="40"/>
        <v>318.01952986326501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60.220709566848647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4.5917909567773071E-2</v>
      </c>
      <c r="CN58" s="24">
        <f t="shared" si="12"/>
        <v>60.266627476416417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20.324285714285718</v>
      </c>
      <c r="CT58" s="13">
        <f>IF('Données projet'!$A$140&gt;35,CT57+CS58-DB57,IF(A58&lt;'Données projet'!$A$140,$CQ$205^A58,IF(A58='Données projet'!$A$140,'Données projet'!$B$140,CT57+CS58-DB57)))</f>
        <v>513.16571428571433</v>
      </c>
      <c r="CU58" s="18">
        <f>CT58*VLOOKUP('Données projet'!$B$13,Paramètres!$A$1:$I$89,3,0)*VLOOKUP('Données projet'!$B$13,Paramètres!$A$1:$I$89,5,0)</f>
        <v>286.85963428571432</v>
      </c>
      <c r="CV58" s="14">
        <f t="shared" si="41"/>
        <v>68.414598471463037</v>
      </c>
      <c r="CW58" s="22">
        <f t="shared" si="13"/>
        <v>618.76928871875054</v>
      </c>
      <c r="CX58" s="62">
        <f t="shared" si="14"/>
        <v>912.10262205208392</v>
      </c>
      <c r="CY58" s="62">
        <f ca="1">AVERAGE(OFFSET($CX$3,0,0,'Données projet'!$E$13+1,1))-AVERAGE(OFFSET($H$3,0,0,'Données projet'!$E$13+1,1))</f>
        <v>321.56347025977988</v>
      </c>
      <c r="CZ58" s="62">
        <f t="shared" si="42"/>
        <v>285.79375360040717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12.107084933098344</v>
      </c>
      <c r="DG58" s="23">
        <f>EXP(-LN(2)/25)*DG57+(1-EXP(-LN(2)/25))/(LN(2)/25)*Calculateur!DB58*Calculateur!DD58*VLOOKUP('Données projet'!$B$13,Paramètres!$A$1:$I$89,3,0)*0.475*44/12</f>
        <v>5.6647250199877703</v>
      </c>
      <c r="DH58" s="23">
        <f>EXP(-LN(2)/2)*DH57+(1-EXP(-LN(2)/2))/(LN(2)/2)*DB58*DE58*VLOOKUP('Données projet'!$B$13,Paramètres!$A$1:$I$89,3,0)*0.475*44/12</f>
        <v>1.2328259245158086E-3</v>
      </c>
      <c r="DI58" s="24">
        <f t="shared" si="15"/>
        <v>17.773042779010627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17.625</v>
      </c>
      <c r="DO58" s="13">
        <f>IF('Données projet'!$A$166&gt;35,DO57+DN58-DW57,IF(A58&lt;'Données projet'!$A$166,$DL$205^A58,IF(A58='Données projet'!$A$166,'Données projet'!$B$166,DO57+DN58-DW57)))</f>
        <v>375.12500000000006</v>
      </c>
      <c r="DP58" s="18">
        <f>DO58*VLOOKUP('Données projet'!$B$14,Paramètres!$A$1:$I$89,3,0)*VLOOKUP('Données projet'!$B$14,Paramètres!$A$1:$I$89,5,0)</f>
        <v>224.32475000000005</v>
      </c>
      <c r="DQ58" s="14">
        <f t="shared" si="43"/>
        <v>55.053781146410472</v>
      </c>
      <c r="DR58" s="22">
        <f t="shared" si="16"/>
        <v>486.58427507999835</v>
      </c>
      <c r="DS58" s="62">
        <f t="shared" si="17"/>
        <v>779.91760841333166</v>
      </c>
      <c r="DT58" s="62">
        <f ca="1">AVERAGE(OFFSET($DS$3,0,0,'Données projet'!$E$14+1,1))-AVERAGE(OFFSET($H$3,0,0,'Données projet'!$E$14+1,1))</f>
        <v>287.69656598881124</v>
      </c>
      <c r="DU58" s="62">
        <f t="shared" si="44"/>
        <v>221.9773436301067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4.4422688958121988E-3</v>
      </c>
      <c r="ED58" s="24">
        <f t="shared" si="18"/>
        <v>4.4422688958121988E-3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344.36303707479811</v>
      </c>
      <c r="T59" s="62">
        <f t="shared" si="34"/>
        <v>207.92972431357452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19.833333333333332</v>
      </c>
      <c r="AI59" s="14">
        <f>IF('Données projet'!$A$62&gt;35,AI58+AH59-AQ58,IF(A59&lt;'Données projet'!$A$62,$AF$205^A59,IF(A59='Données projet'!$A$62,'Données projet'!$B$62,AI58+AH59-AQ58)))</f>
        <v>389.66666666666634</v>
      </c>
      <c r="AJ59" s="14">
        <f>AI59*VLOOKUP('Données projet'!$B$10,Paramètres!$A$1:$I$89,3,0)*VLOOKUP('Données projet'!$B$10,Paramètres!$A$1:$I$89,5,0)</f>
        <v>182.36399999999986</v>
      </c>
      <c r="AK59" s="14">
        <f t="shared" si="35"/>
        <v>45.84773255125662</v>
      </c>
      <c r="AL59" s="22">
        <f t="shared" si="4"/>
        <v>397.46876752677173</v>
      </c>
      <c r="AM59" s="62">
        <f t="shared" si="5"/>
        <v>690.80210086010504</v>
      </c>
      <c r="AN59" s="62">
        <f ca="1">AVERAGE(OFFSET($AM$3,0,0,'Données projet'!$E$10+1,1))-AVERAGE(OFFSET($H$3,0,0,'Données projet'!$E$10+1,1))</f>
        <v>273.94989417245978</v>
      </c>
      <c r="AO59" s="62">
        <f t="shared" si="36"/>
        <v>244.91615281423549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</v>
      </c>
      <c r="BD59" s="13">
        <f>IF('Données projet'!$A$88&gt;35,BD58+BC59-BL58,IF(A59&lt;'Données projet'!$A$88,$BA$205^A59,IF(A59='Données projet'!$A$88,'Données projet'!$B$88,BD58+BC59-BL58)))</f>
        <v>196.00000000000003</v>
      </c>
      <c r="BE59" s="14">
        <f>BD59*VLOOKUP('Données projet'!$B$11,Paramètres!$A$1:$I$89,3,0)*VLOOKUP('Données projet'!$B$11,Paramètres!$A$1:$I$89,5,0)</f>
        <v>171.22560000000004</v>
      </c>
      <c r="BF59" s="14">
        <f t="shared" si="37"/>
        <v>43.364402348589557</v>
      </c>
      <c r="BG59" s="22">
        <f t="shared" si="7"/>
        <v>373.74425409046017</v>
      </c>
      <c r="BH59" s="62">
        <f t="shared" si="8"/>
        <v>667.07758742379349</v>
      </c>
      <c r="BI59" s="62">
        <f ca="1">AVERAGE(OFFSET($BH$3,0,0,'Données projet'!$E$11+1,1))-AVERAGE(OFFSET($H$3,0,0,'Données projet'!$E$11+1,1))</f>
        <v>247.81726778334098</v>
      </c>
      <c r="BJ59" s="62">
        <f t="shared" si="38"/>
        <v>278.55937893537259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2.366360559192141E-3</v>
      </c>
      <c r="BS59" s="24">
        <f t="shared" si="9"/>
        <v>2.366360559192141E-3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156.11420010556668</v>
      </c>
      <c r="CE59" s="62">
        <f t="shared" si="40"/>
        <v>318.01952986326501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59.039818183248698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3.246886523328299E-2</v>
      </c>
      <c r="CN59" s="24">
        <f t="shared" si="12"/>
        <v>59.072287048481982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>
        <f>VLOOKUP(A59,'Données projet'!$A$139:$I$159,2,0)</f>
        <v>533.49</v>
      </c>
      <c r="CR59" s="13">
        <f>VLOOKUP(A59,'Données projet'!$A$139:$I$159,9,0)</f>
        <v>20.324285714285718</v>
      </c>
      <c r="CS59" s="13">
        <f t="array" ref="CS59">INDEX(CR:CR,MIN(IF(ISNUMBER(CR59:CR255),ROW(CR59:CR255),"")))</f>
        <v>20.324285714285718</v>
      </c>
      <c r="CT59" s="13">
        <f>IF('Données projet'!$A$140&gt;35,CT58+CS59-DB58,IF(A59&lt;'Données projet'!$A$140,$CQ$205^A59,IF(A59='Données projet'!$A$140,'Données projet'!$B$140,CT58+CS59-DB58)))</f>
        <v>533.49</v>
      </c>
      <c r="CU59" s="18">
        <f>CT59*VLOOKUP('Données projet'!$B$13,Paramètres!$A$1:$I$89,3,0)*VLOOKUP('Données projet'!$B$13,Paramètres!$A$1:$I$89,5,0)</f>
        <v>298.22091</v>
      </c>
      <c r="CV59" s="14">
        <f t="shared" si="41"/>
        <v>70.803368864473384</v>
      </c>
      <c r="CW59" s="22">
        <f t="shared" si="13"/>
        <v>642.71728568895776</v>
      </c>
      <c r="CX59" s="62">
        <f t="shared" si="14"/>
        <v>936.05061902229113</v>
      </c>
      <c r="CY59" s="62">
        <f ca="1">AVERAGE(OFFSET($CX$3,0,0,'Données projet'!$E$13+1,1))-AVERAGE(OFFSET($H$3,0,0,'Données projet'!$E$13+1,1))</f>
        <v>321.56347025977988</v>
      </c>
      <c r="CZ59" s="62">
        <f t="shared" si="42"/>
        <v>285.79375360040717</v>
      </c>
      <c r="DA59" s="16">
        <f>IF(ISNA(VLOOKUP(A59,'Données projet'!$A$139:$I$159,3,0)),0,VLOOKUP(A59,'Données projet'!$A$139:$I$159,3,0))</f>
        <v>7</v>
      </c>
      <c r="DB59" s="16">
        <f>IF(ISNA(VLOOKUP(A59,'Données projet'!$A$139:$I$159,4,0)),0,VLOOKUP(A59,'Données projet'!$A$139:$I$159,4,0))</f>
        <v>94.57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11.869672382152926</v>
      </c>
      <c r="DG59" s="23">
        <f>EXP(-LN(2)/25)*DG58+(1-EXP(-LN(2)/25))/(LN(2)/25)*Calculateur!DB59*Calculateur!DD59*VLOOKUP('Données projet'!$B$13,Paramètres!$A$1:$I$89,3,0)*0.475*44/12</f>
        <v>5.5098228164212628</v>
      </c>
      <c r="DH59" s="23">
        <f>EXP(-LN(2)/2)*DH58+(1-EXP(-LN(2)/2))/(LN(2)/2)*DB59*DE59*VLOOKUP('Données projet'!$B$13,Paramètres!$A$1:$I$89,3,0)*0.475*44/12</f>
        <v>8.7173957124770307E-4</v>
      </c>
      <c r="DI59" s="24">
        <f t="shared" si="15"/>
        <v>17.380366938145439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17.625</v>
      </c>
      <c r="DO59" s="13">
        <f>IF('Données projet'!$A$166&gt;35,DO58+DN59-DW58,IF(A59&lt;'Données projet'!$A$166,$DL$205^A59,IF(A59='Données projet'!$A$166,'Données projet'!$B$166,DO58+DN59-DW58)))</f>
        <v>392.75000000000006</v>
      </c>
      <c r="DP59" s="18">
        <f>DO59*VLOOKUP('Données projet'!$B$14,Paramètres!$A$1:$I$89,3,0)*VLOOKUP('Données projet'!$B$14,Paramètres!$A$1:$I$89,5,0)</f>
        <v>234.86450000000002</v>
      </c>
      <c r="DQ59" s="14">
        <f t="shared" si="43"/>
        <v>57.33321552572081</v>
      </c>
      <c r="DR59" s="22">
        <f t="shared" si="16"/>
        <v>508.9110212072971</v>
      </c>
      <c r="DS59" s="62">
        <f t="shared" si="17"/>
        <v>802.24435454063041</v>
      </c>
      <c r="DT59" s="62">
        <f ca="1">AVERAGE(OFFSET($DS$3,0,0,'Données projet'!$E$14+1,1))-AVERAGE(OFFSET($H$3,0,0,'Données projet'!$E$14+1,1))</f>
        <v>287.69656598881124</v>
      </c>
      <c r="DU59" s="62">
        <f t="shared" si="44"/>
        <v>221.9773436301067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3.1411584600828826E-3</v>
      </c>
      <c r="ED59" s="24">
        <f t="shared" si="18"/>
        <v>3.1411584600828826E-3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344.36303707479811</v>
      </c>
      <c r="T60" s="62">
        <f t="shared" si="34"/>
        <v>207.92972431357452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19.833333333333332</v>
      </c>
      <c r="AI60" s="14">
        <f>IF('Données projet'!$A$62&gt;35,AI59+AH60-AQ59,IF(A60&lt;'Données projet'!$A$62,$AF$205^A60,IF(A60='Données projet'!$A$62,'Données projet'!$B$62,AI59+AH60-AQ59)))</f>
        <v>409.49999999999966</v>
      </c>
      <c r="AJ60" s="14">
        <f>AI60*VLOOKUP('Données projet'!$B$10,Paramètres!$A$1:$I$89,3,0)*VLOOKUP('Données projet'!$B$10,Paramètres!$A$1:$I$89,5,0)</f>
        <v>191.64599999999984</v>
      </c>
      <c r="AK60" s="14">
        <f t="shared" si="35"/>
        <v>47.903677189291592</v>
      </c>
      <c r="AL60" s="22">
        <f t="shared" si="4"/>
        <v>417.21568777134922</v>
      </c>
      <c r="AM60" s="62">
        <f t="shared" si="5"/>
        <v>710.54902110468254</v>
      </c>
      <c r="AN60" s="62">
        <f ca="1">AVERAGE(OFFSET($AM$3,0,0,'Données projet'!$E$10+1,1))-AVERAGE(OFFSET($H$3,0,0,'Données projet'!$E$10+1,1))</f>
        <v>273.94989417245978</v>
      </c>
      <c r="AO60" s="62">
        <f t="shared" si="36"/>
        <v>244.91615281423549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</v>
      </c>
      <c r="BD60" s="13">
        <f>IF('Données projet'!$A$88&gt;35,BD59+BC60-BL59,IF(A60&lt;'Données projet'!$A$88,$BA$205^A60,IF(A60='Données projet'!$A$88,'Données projet'!$B$88,BD59+BC60-BL59)))</f>
        <v>202.00000000000003</v>
      </c>
      <c r="BE60" s="14">
        <f>BD60*VLOOKUP('Données projet'!$B$11,Paramètres!$A$1:$I$89,3,0)*VLOOKUP('Données projet'!$B$11,Paramètres!$A$1:$I$89,5,0)</f>
        <v>176.46720000000005</v>
      </c>
      <c r="BF60" s="14">
        <f t="shared" si="37"/>
        <v>44.535298821989393</v>
      </c>
      <c r="BG60" s="22">
        <f t="shared" si="7"/>
        <v>384.91268544829819</v>
      </c>
      <c r="BH60" s="62">
        <f t="shared" si="8"/>
        <v>678.24601878163151</v>
      </c>
      <c r="BI60" s="62">
        <f ca="1">AVERAGE(OFFSET($BH$3,0,0,'Données projet'!$E$11+1,1))-AVERAGE(OFFSET($H$3,0,0,'Données projet'!$E$11+1,1))</f>
        <v>247.81726778334098</v>
      </c>
      <c r="BJ60" s="62">
        <f t="shared" si="38"/>
        <v>278.55937893537259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1.6732695981371535E-3</v>
      </c>
      <c r="BS60" s="24">
        <f t="shared" si="9"/>
        <v>1.6732695981371535E-3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156.11420010556668</v>
      </c>
      <c r="CE60" s="62">
        <f t="shared" si="40"/>
        <v>318.01952986326501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57.882083359408519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2.2958954783886536E-2</v>
      </c>
      <c r="CN60" s="24">
        <f t="shared" si="12"/>
        <v>57.905042314192407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18.58285714285714</v>
      </c>
      <c r="CT60" s="13">
        <f>IF('Données projet'!$A$140&gt;35,CT59+CS60-DB59,IF(A60&lt;'Données projet'!$A$140,$CQ$205^A60,IF(A60='Données projet'!$A$140,'Données projet'!$B$140,CT59+CS60-DB59)))</f>
        <v>457.50285714285718</v>
      </c>
      <c r="CU60" s="18">
        <f>CT60*VLOOKUP('Données projet'!$B$13,Paramètres!$A$1:$I$89,3,0)*VLOOKUP('Données projet'!$B$13,Paramètres!$A$1:$I$89,5,0)</f>
        <v>255.74409714285716</v>
      </c>
      <c r="CV60" s="14">
        <f t="shared" si="41"/>
        <v>61.814321894325772</v>
      </c>
      <c r="CW60" s="22">
        <f t="shared" si="13"/>
        <v>553.08091315642696</v>
      </c>
      <c r="CX60" s="62">
        <f t="shared" si="14"/>
        <v>846.41424648976022</v>
      </c>
      <c r="CY60" s="62">
        <f ca="1">AVERAGE(OFFSET($CX$3,0,0,'Données projet'!$E$13+1,1))-AVERAGE(OFFSET($H$3,0,0,'Données projet'!$E$13+1,1))</f>
        <v>321.56347025977988</v>
      </c>
      <c r="CZ60" s="62">
        <f t="shared" si="42"/>
        <v>285.79375360040717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11.636915346524191</v>
      </c>
      <c r="DG60" s="23">
        <f>EXP(-LN(2)/25)*DG59+(1-EXP(-LN(2)/25))/(LN(2)/25)*Calculateur!DB60*Calculateur!DD60*VLOOKUP('Données projet'!$B$13,Paramètres!$A$1:$I$89,3,0)*0.475*44/12</f>
        <v>5.3591564217572341</v>
      </c>
      <c r="DH60" s="23">
        <f>EXP(-LN(2)/2)*DH59+(1-EXP(-LN(2)/2))/(LN(2)/2)*DB60*DE60*VLOOKUP('Données projet'!$B$13,Paramètres!$A$1:$I$89,3,0)*0.475*44/12</f>
        <v>6.1641296225790432E-4</v>
      </c>
      <c r="DI60" s="24">
        <f t="shared" si="15"/>
        <v>16.996688181243684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17.625</v>
      </c>
      <c r="DO60" s="13">
        <f>IF('Données projet'!$A$166&gt;35,DO59+DN60-DW59,IF(A60&lt;'Données projet'!$A$166,$DL$205^A60,IF(A60='Données projet'!$A$166,'Données projet'!$B$166,DO59+DN60-DW59)))</f>
        <v>410.37500000000006</v>
      </c>
      <c r="DP60" s="18">
        <f>DO60*VLOOKUP('Données projet'!$B$14,Paramètres!$A$1:$I$89,3,0)*VLOOKUP('Données projet'!$B$14,Paramètres!$A$1:$I$89,5,0)</f>
        <v>245.40425000000005</v>
      </c>
      <c r="DQ60" s="14">
        <f t="shared" si="43"/>
        <v>59.60076999447687</v>
      </c>
      <c r="DR60" s="22">
        <f t="shared" si="16"/>
        <v>531.21707649038069</v>
      </c>
      <c r="DS60" s="62">
        <f t="shared" si="17"/>
        <v>824.55040982371406</v>
      </c>
      <c r="DT60" s="62">
        <f ca="1">AVERAGE(OFFSET($DS$3,0,0,'Données projet'!$E$14+1,1))-AVERAGE(OFFSET($H$3,0,0,'Données projet'!$E$14+1,1))</f>
        <v>287.69656598881124</v>
      </c>
      <c r="DU60" s="62">
        <f t="shared" si="44"/>
        <v>221.9773436301067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2.2211344479060994E-3</v>
      </c>
      <c r="ED60" s="24">
        <f t="shared" si="18"/>
        <v>2.2211344479060994E-3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344.36303707479811</v>
      </c>
      <c r="T61" s="62">
        <f t="shared" si="34"/>
        <v>207.92972431357452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19.833333333333332</v>
      </c>
      <c r="AI61" s="14">
        <f>IF('Données projet'!$A$62&gt;35,AI60+AH61-AQ60,IF(A61&lt;'Données projet'!$A$62,$AF$205^A61,IF(A61='Données projet'!$A$62,'Données projet'!$B$62,AI60+AH61-AQ60)))</f>
        <v>429.33333333333297</v>
      </c>
      <c r="AJ61" s="14">
        <f>AI61*VLOOKUP('Données projet'!$B$10,Paramètres!$A$1:$I$89,3,0)*VLOOKUP('Données projet'!$B$10,Paramètres!$A$1:$I$89,5,0)</f>
        <v>200.92799999999983</v>
      </c>
      <c r="AK61" s="14">
        <f t="shared" si="35"/>
        <v>49.948059057188999</v>
      </c>
      <c r="AL61" s="22">
        <f t="shared" si="4"/>
        <v>436.94246952460384</v>
      </c>
      <c r="AM61" s="62">
        <f t="shared" si="5"/>
        <v>730.27580285793715</v>
      </c>
      <c r="AN61" s="62">
        <f ca="1">AVERAGE(OFFSET($AM$3,0,0,'Données projet'!$E$10+1,1))-AVERAGE(OFFSET($H$3,0,0,'Données projet'!$E$10+1,1))</f>
        <v>273.94989417245978</v>
      </c>
      <c r="AO61" s="62">
        <f t="shared" si="36"/>
        <v>244.91615281423549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</v>
      </c>
      <c r="BD61" s="13">
        <f>IF('Données projet'!$A$88&gt;35,BD60+BC61-BL60,IF(A61&lt;'Données projet'!$A$88,$BA$205^A61,IF(A61='Données projet'!$A$88,'Données projet'!$B$88,BD60+BC61-BL60)))</f>
        <v>208.00000000000003</v>
      </c>
      <c r="BE61" s="14">
        <f>BD61*VLOOKUP('Données projet'!$B$11,Paramètres!$A$1:$I$89,3,0)*VLOOKUP('Données projet'!$B$11,Paramètres!$A$1:$I$89,5,0)</f>
        <v>181.70880000000005</v>
      </c>
      <c r="BF61" s="14">
        <f t="shared" si="37"/>
        <v>45.702153370067812</v>
      </c>
      <c r="BG61" s="22">
        <f t="shared" si="7"/>
        <v>396.07407711953482</v>
      </c>
      <c r="BH61" s="62">
        <f t="shared" si="8"/>
        <v>689.40741045286813</v>
      </c>
      <c r="BI61" s="62">
        <f ca="1">AVERAGE(OFFSET($BH$3,0,0,'Données projet'!$E$11+1,1))-AVERAGE(OFFSET($H$3,0,0,'Données projet'!$E$11+1,1))</f>
        <v>247.81726778334098</v>
      </c>
      <c r="BJ61" s="62">
        <f t="shared" si="38"/>
        <v>278.55937893537259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1.1831802795960705E-3</v>
      </c>
      <c r="BS61" s="24">
        <f t="shared" si="9"/>
        <v>1.1831802795960705E-3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156.11420010556668</v>
      </c>
      <c r="CE61" s="62">
        <f t="shared" si="40"/>
        <v>318.01952986326501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56.747051009315328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1.6234432616641495E-2</v>
      </c>
      <c r="CN61" s="24">
        <f t="shared" si="12"/>
        <v>56.76328544193197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18.58285714285714</v>
      </c>
      <c r="CT61" s="13">
        <f>IF('Données projet'!$A$140&gt;35,CT60+CS61-DB60,IF(A61&lt;'Données projet'!$A$140,$CQ$205^A61,IF(A61='Données projet'!$A$140,'Données projet'!$B$140,CT60+CS61-DB60)))</f>
        <v>476.08571428571435</v>
      </c>
      <c r="CU61" s="18">
        <f>CT61*VLOOKUP('Données projet'!$B$13,Paramètres!$A$1:$I$89,3,0)*VLOOKUP('Données projet'!$B$13,Paramètres!$A$1:$I$89,5,0)</f>
        <v>266.13191428571434</v>
      </c>
      <c r="CV61" s="14">
        <f t="shared" si="41"/>
        <v>64.027675737818782</v>
      </c>
      <c r="CW61" s="22">
        <f t="shared" si="13"/>
        <v>575.02795262432016</v>
      </c>
      <c r="CX61" s="62">
        <f t="shared" si="14"/>
        <v>868.36128595765354</v>
      </c>
      <c r="CY61" s="62">
        <f ca="1">AVERAGE(OFFSET($CX$3,0,0,'Données projet'!$E$13+1,1))-AVERAGE(OFFSET($H$3,0,0,'Données projet'!$E$13+1,1))</f>
        <v>321.56347025977988</v>
      </c>
      <c r="CZ61" s="62">
        <f t="shared" si="42"/>
        <v>285.79375360040717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11.408722534396361</v>
      </c>
      <c r="DG61" s="23">
        <f>EXP(-LN(2)/25)*DG60+(1-EXP(-LN(2)/25))/(LN(2)/25)*Calculateur!DB61*Calculateur!DD61*VLOOKUP('Données projet'!$B$13,Paramètres!$A$1:$I$89,3,0)*0.475*44/12</f>
        <v>5.2126100075784949</v>
      </c>
      <c r="DH61" s="23">
        <f>EXP(-LN(2)/2)*DH60+(1-EXP(-LN(2)/2))/(LN(2)/2)*DB61*DE61*VLOOKUP('Données projet'!$B$13,Paramètres!$A$1:$I$89,3,0)*0.475*44/12</f>
        <v>4.3586978562385153E-4</v>
      </c>
      <c r="DI61" s="24">
        <f t="shared" si="15"/>
        <v>16.621768411760478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>
        <f>VLOOKUP(A61,'Données projet'!$A$165:$I$185,2,0)</f>
        <v>428</v>
      </c>
      <c r="DM61" s="13">
        <f>VLOOKUP(A61,'Données projet'!$A$165:$I$185,9,0)</f>
        <v>17.625</v>
      </c>
      <c r="DN61" s="13">
        <f t="array" ref="DN61">INDEX(DM:DM,MIN(IF(ISNUMBER(DM61:DM257),ROW(DM61:DM257),"")))</f>
        <v>17.625</v>
      </c>
      <c r="DO61" s="13">
        <f>IF('Données projet'!$A$166&gt;35,DO60+DN61-DW60,IF(A61&lt;'Données projet'!$A$166,$DL$205^A61,IF(A61='Données projet'!$A$166,'Données projet'!$B$166,DO60+DN61-DW60)))</f>
        <v>428.00000000000006</v>
      </c>
      <c r="DP61" s="18">
        <f>DO61*VLOOKUP('Données projet'!$B$14,Paramètres!$A$1:$I$89,3,0)*VLOOKUP('Données projet'!$B$14,Paramètres!$A$1:$I$89,5,0)</f>
        <v>255.94400000000005</v>
      </c>
      <c r="DQ61" s="14">
        <f t="shared" si="43"/>
        <v>61.857013102708898</v>
      </c>
      <c r="DR61" s="22">
        <f t="shared" si="16"/>
        <v>553.50343115388478</v>
      </c>
      <c r="DS61" s="62">
        <f t="shared" si="17"/>
        <v>846.83676448721803</v>
      </c>
      <c r="DT61" s="62">
        <f ca="1">AVERAGE(OFFSET($DS$3,0,0,'Données projet'!$E$14+1,1))-AVERAGE(OFFSET($H$3,0,0,'Données projet'!$E$14+1,1))</f>
        <v>287.69656598881124</v>
      </c>
      <c r="DU61" s="62">
        <f t="shared" si="44"/>
        <v>221.9773436301067</v>
      </c>
      <c r="DV61" s="16">
        <f>IF(ISNA(VLOOKUP(A61,'Données projet'!$A$165:$I$185,3,0)),0,VLOOKUP(A61,'Données projet'!$A$165:$I$185,3,0))</f>
        <v>8</v>
      </c>
      <c r="DW61" s="16">
        <f>IF(ISNA(VLOOKUP(A61,'Données projet'!$A$165:$I$185,4,0)),0,VLOOKUP(A61,'Données projet'!$A$165:$I$185,4,0))</f>
        <v>78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1.5705792300414413E-3</v>
      </c>
      <c r="ED61" s="24">
        <f t="shared" si="18"/>
        <v>1.5705792300414413E-3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344.36303707479811</v>
      </c>
      <c r="T62" s="62">
        <f t="shared" si="34"/>
        <v>207.92972431357452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19.833333333333332</v>
      </c>
      <c r="AI62" s="14">
        <f>IF('Données projet'!$A$62&gt;35,AI61+AH62-AQ61,IF(A62&lt;'Données projet'!$A$62,$AF$205^A62,IF(A62='Données projet'!$A$62,'Données projet'!$B$62,AI61+AH62-AQ61)))</f>
        <v>449.16666666666629</v>
      </c>
      <c r="AJ62" s="14">
        <f>AI62*VLOOKUP('Données projet'!$B$10,Paramètres!$A$1:$I$89,3,0)*VLOOKUP('Données projet'!$B$10,Paramètres!$A$1:$I$89,5,0)</f>
        <v>210.20999999999981</v>
      </c>
      <c r="AK62" s="14">
        <f t="shared" si="35"/>
        <v>51.981473312002805</v>
      </c>
      <c r="AL62" s="22">
        <f t="shared" si="4"/>
        <v>456.65014935173781</v>
      </c>
      <c r="AM62" s="62">
        <f t="shared" si="5"/>
        <v>749.98348268507107</v>
      </c>
      <c r="AN62" s="62">
        <f ca="1">AVERAGE(OFFSET($AM$3,0,0,'Données projet'!$E$10+1,1))-AVERAGE(OFFSET($H$3,0,0,'Données projet'!$E$10+1,1))</f>
        <v>273.94989417245978</v>
      </c>
      <c r="AO62" s="62">
        <f t="shared" si="36"/>
        <v>244.91615281423549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</v>
      </c>
      <c r="BD62" s="13">
        <f>IF('Données projet'!$A$88&gt;35,BD61+BC62-BL61,IF(A62&lt;'Données projet'!$A$88,$BA$205^A62,IF(A62='Données projet'!$A$88,'Données projet'!$B$88,BD61+BC62-BL61)))</f>
        <v>214.00000000000003</v>
      </c>
      <c r="BE62" s="14">
        <f>BD62*VLOOKUP('Données projet'!$B$11,Paramètres!$A$1:$I$89,3,0)*VLOOKUP('Données projet'!$B$11,Paramètres!$A$1:$I$89,5,0)</f>
        <v>186.95040000000006</v>
      </c>
      <c r="BF62" s="14">
        <f t="shared" si="37"/>
        <v>46.865095976617653</v>
      </c>
      <c r="BG62" s="22">
        <f t="shared" si="7"/>
        <v>407.22865549260922</v>
      </c>
      <c r="BH62" s="62">
        <f t="shared" si="8"/>
        <v>700.56198882594254</v>
      </c>
      <c r="BI62" s="62">
        <f ca="1">AVERAGE(OFFSET($BH$3,0,0,'Données projet'!$E$11+1,1))-AVERAGE(OFFSET($H$3,0,0,'Données projet'!$E$11+1,1))</f>
        <v>247.81726778334098</v>
      </c>
      <c r="BJ62" s="62">
        <f t="shared" si="38"/>
        <v>278.55937893537259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8.3663479906857677E-4</v>
      </c>
      <c r="BS62" s="24">
        <f t="shared" si="9"/>
        <v>8.3663479906857677E-4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156.11420010556668</v>
      </c>
      <c r="CE62" s="62">
        <f t="shared" si="40"/>
        <v>318.01952986326501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55.634275951306094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1.1479477391943268E-2</v>
      </c>
      <c r="CN62" s="24">
        <f t="shared" si="12"/>
        <v>55.645755428698038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18.58285714285714</v>
      </c>
      <c r="CT62" s="13">
        <f>IF('Données projet'!$A$140&gt;35,CT61+CS62-DB61,IF(A62&lt;'Données projet'!$A$140,$CQ$205^A62,IF(A62='Données projet'!$A$140,'Données projet'!$B$140,CT61+CS62-DB61)))</f>
        <v>494.66857142857151</v>
      </c>
      <c r="CU62" s="18">
        <f>CT62*VLOOKUP('Données projet'!$B$13,Paramètres!$A$1:$I$89,3,0)*VLOOKUP('Données projet'!$B$13,Paramètres!$A$1:$I$89,5,0)</f>
        <v>276.5197314285715</v>
      </c>
      <c r="CV62" s="14">
        <f t="shared" si="41"/>
        <v>66.230993562988985</v>
      </c>
      <c r="CW62" s="22">
        <f t="shared" si="13"/>
        <v>596.9575126936345</v>
      </c>
      <c r="CX62" s="62">
        <f t="shared" si="14"/>
        <v>890.29084602696776</v>
      </c>
      <c r="CY62" s="62">
        <f ca="1">AVERAGE(OFFSET($CX$3,0,0,'Données projet'!$E$13+1,1))-AVERAGE(OFFSET($H$3,0,0,'Données projet'!$E$13+1,1))</f>
        <v>321.56347025977988</v>
      </c>
      <c r="CZ62" s="62">
        <f t="shared" si="42"/>
        <v>285.79375360040717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11.185004444130486</v>
      </c>
      <c r="DG62" s="23">
        <f>EXP(-LN(2)/25)*DG61+(1-EXP(-LN(2)/25))/(LN(2)/25)*Calculateur!DB62*Calculateur!DD62*VLOOKUP('Données projet'!$B$13,Paramètres!$A$1:$I$89,3,0)*0.475*44/12</f>
        <v>5.0700709128020138</v>
      </c>
      <c r="DH62" s="23">
        <f>EXP(-LN(2)/2)*DH61+(1-EXP(-LN(2)/2))/(LN(2)/2)*DB62*DE62*VLOOKUP('Données projet'!$B$13,Paramètres!$A$1:$I$89,3,0)*0.475*44/12</f>
        <v>3.0820648112895216E-4</v>
      </c>
      <c r="DI62" s="24">
        <f t="shared" si="15"/>
        <v>16.255383563413631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16.625</v>
      </c>
      <c r="DO62" s="13">
        <f>IF('Données projet'!$A$166&gt;35,DO61+DN62-DW61,IF(A62&lt;'Données projet'!$A$166,$DL$205^A62,IF(A62='Données projet'!$A$166,'Données projet'!$B$166,DO61+DN62-DW61)))</f>
        <v>366.62500000000006</v>
      </c>
      <c r="DP62" s="18">
        <f>DO62*VLOOKUP('Données projet'!$B$14,Paramètres!$A$1:$I$89,3,0)*VLOOKUP('Données projet'!$B$14,Paramètres!$A$1:$I$89,5,0)</f>
        <v>219.24175000000005</v>
      </c>
      <c r="DQ62" s="14">
        <f t="shared" si="43"/>
        <v>53.950050729111297</v>
      </c>
      <c r="DR62" s="22">
        <f t="shared" si="16"/>
        <v>475.80905293653558</v>
      </c>
      <c r="DS62" s="62">
        <f t="shared" si="17"/>
        <v>769.14238626986889</v>
      </c>
      <c r="DT62" s="62">
        <f ca="1">AVERAGE(OFFSET($DS$3,0,0,'Données projet'!$E$14+1,1))-AVERAGE(OFFSET($H$3,0,0,'Données projet'!$E$14+1,1))</f>
        <v>287.69656598881124</v>
      </c>
      <c r="DU62" s="62">
        <f t="shared" si="44"/>
        <v>221.9773436301067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1.1105672239530497E-3</v>
      </c>
      <c r="ED62" s="24">
        <f t="shared" si="18"/>
        <v>1.1105672239530497E-3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344.36303707479811</v>
      </c>
      <c r="T63" s="62">
        <f t="shared" si="34"/>
        <v>207.92972431357452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469</v>
      </c>
      <c r="AG63" s="13">
        <f>VLOOKUP(A63,'Données projet'!$A$61:$I$81,9,0)</f>
        <v>19.833333333333332</v>
      </c>
      <c r="AH63" s="13">
        <f t="array" ref="AH63">INDEX(AG:AG,MIN(IF(ISNUMBER(AG63:AG259),ROW(AG63:AG259),"")))</f>
        <v>19.833333333333332</v>
      </c>
      <c r="AI63" s="14">
        <f>IF('Données projet'!$A$62&gt;35,AI62+AH63-AQ62,IF(A63&lt;'Données projet'!$A$62,$AF$205^A63,IF(A63='Données projet'!$A$62,'Données projet'!$B$62,AI62+AH63-AQ62)))</f>
        <v>468.9999999999996</v>
      </c>
      <c r="AJ63" s="14">
        <f>AI63*VLOOKUP('Données projet'!$B$10,Paramètres!$A$1:$I$89,3,0)*VLOOKUP('Données projet'!$B$10,Paramètres!$A$1:$I$89,5,0)</f>
        <v>219.49199999999982</v>
      </c>
      <c r="AK63" s="14">
        <f t="shared" si="35"/>
        <v>54.004459579686618</v>
      </c>
      <c r="AL63" s="22">
        <f t="shared" si="4"/>
        <v>476.3396671012872</v>
      </c>
      <c r="AM63" s="62">
        <f t="shared" si="5"/>
        <v>769.67300043462046</v>
      </c>
      <c r="AN63" s="62">
        <f ca="1">AVERAGE(OFFSET($AM$3,0,0,'Données projet'!$E$10+1,1))-AVERAGE(OFFSET($H$3,0,0,'Données projet'!$E$10+1,1))</f>
        <v>273.94989417245978</v>
      </c>
      <c r="AO63" s="62">
        <f t="shared" si="36"/>
        <v>244.91615281423549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84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220</v>
      </c>
      <c r="BB63" s="13">
        <f>VLOOKUP(A63,'Données projet'!$A$87:$I$107,9,0)</f>
        <v>6</v>
      </c>
      <c r="BC63" s="13">
        <f t="array" ref="BC63">INDEX(BB:BB,MIN(IF(ISNUMBER(BB63:BB259),ROW(BB63:BB259),"")))</f>
        <v>6</v>
      </c>
      <c r="BD63" s="13">
        <f>IF('Données projet'!$A$88&gt;35,BD62+BC63-BL62,IF(A63&lt;'Données projet'!$A$88,$BA$205^A63,IF(A63='Données projet'!$A$88,'Données projet'!$B$88,BD62+BC63-BL62)))</f>
        <v>220.00000000000003</v>
      </c>
      <c r="BE63" s="14">
        <f>BD63*VLOOKUP('Données projet'!$B$11,Paramètres!$A$1:$I$89,3,0)*VLOOKUP('Données projet'!$B$11,Paramètres!$A$1:$I$89,5,0)</f>
        <v>192.19200000000006</v>
      </c>
      <c r="BF63" s="14">
        <f t="shared" si="37"/>
        <v>48.02424892193244</v>
      </c>
      <c r="BG63" s="22">
        <f t="shared" si="7"/>
        <v>418.37663353903241</v>
      </c>
      <c r="BH63" s="62">
        <f t="shared" si="8"/>
        <v>711.70996687236573</v>
      </c>
      <c r="BI63" s="62">
        <f ca="1">AVERAGE(OFFSET($BH$3,0,0,'Données projet'!$E$11+1,1))-AVERAGE(OFFSET($H$3,0,0,'Données projet'!$E$11+1,1))</f>
        <v>247.81726778334098</v>
      </c>
      <c r="BJ63" s="62">
        <f t="shared" si="38"/>
        <v>278.55937893537259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5.9159013979803526E-4</v>
      </c>
      <c r="BS63" s="24">
        <f t="shared" si="9"/>
        <v>5.9159013979803526E-4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156.11420010556668</v>
      </c>
      <c r="CE63" s="62">
        <f t="shared" si="40"/>
        <v>318.01952986326501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54.543321733458654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8.1172163083207474E-3</v>
      </c>
      <c r="CN63" s="24">
        <f t="shared" si="12"/>
        <v>54.551438949766975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18.58285714285714</v>
      </c>
      <c r="CT63" s="13">
        <f>IF('Données projet'!$A$140&gt;35,CT62+CS63-DB62,IF(A63&lt;'Données projet'!$A$140,$CQ$205^A63,IF(A63='Données projet'!$A$140,'Données projet'!$B$140,CT62+CS63-DB62)))</f>
        <v>513.25142857142862</v>
      </c>
      <c r="CU63" s="18">
        <f>CT63*VLOOKUP('Données projet'!$B$13,Paramètres!$A$1:$I$89,3,0)*VLOOKUP('Données projet'!$B$13,Paramètres!$A$1:$I$89,5,0)</f>
        <v>286.90754857142861</v>
      </c>
      <c r="CV63" s="14">
        <f t="shared" si="41"/>
        <v>68.424695552593661</v>
      </c>
      <c r="CW63" s="22">
        <f t="shared" si="13"/>
        <v>618.87032518267222</v>
      </c>
      <c r="CX63" s="62">
        <f t="shared" si="14"/>
        <v>912.20365851600559</v>
      </c>
      <c r="CY63" s="62">
        <f ca="1">AVERAGE(OFFSET($CX$3,0,0,'Données projet'!$E$13+1,1))-AVERAGE(OFFSET($H$3,0,0,'Données projet'!$E$13+1,1))</f>
        <v>321.56347025977988</v>
      </c>
      <c r="CZ63" s="62">
        <f t="shared" si="42"/>
        <v>285.79375360040717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10.965673329160165</v>
      </c>
      <c r="DG63" s="23">
        <f>EXP(-LN(2)/25)*DG62+(1-EXP(-LN(2)/25))/(LN(2)/25)*Calculateur!DB63*Calculateur!DD63*VLOOKUP('Données projet'!$B$13,Paramètres!$A$1:$I$89,3,0)*0.475*44/12</f>
        <v>4.9314295570680011</v>
      </c>
      <c r="DH63" s="23">
        <f>EXP(-LN(2)/2)*DH62+(1-EXP(-LN(2)/2))/(LN(2)/2)*DB63*DE63*VLOOKUP('Données projet'!$B$13,Paramètres!$A$1:$I$89,3,0)*0.475*44/12</f>
        <v>2.1793489281192577E-4</v>
      </c>
      <c r="DI63" s="24">
        <f t="shared" si="15"/>
        <v>15.897320821120976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16.625</v>
      </c>
      <c r="DO63" s="13">
        <f>IF('Données projet'!$A$166&gt;35,DO62+DN63-DW62,IF(A63&lt;'Données projet'!$A$166,$DL$205^A63,IF(A63='Données projet'!$A$166,'Données projet'!$B$166,DO62+DN63-DW62)))</f>
        <v>383.25000000000006</v>
      </c>
      <c r="DP63" s="18">
        <f>DO63*VLOOKUP('Données projet'!$B$14,Paramètres!$A$1:$I$89,3,0)*VLOOKUP('Données projet'!$B$14,Paramètres!$A$1:$I$89,5,0)</f>
        <v>229.18350000000007</v>
      </c>
      <c r="DQ63" s="14">
        <f t="shared" si="43"/>
        <v>56.106098616839645</v>
      </c>
      <c r="DR63" s="22">
        <f t="shared" si="16"/>
        <v>496.87938425766248</v>
      </c>
      <c r="DS63" s="62">
        <f t="shared" si="17"/>
        <v>790.21271759099579</v>
      </c>
      <c r="DT63" s="62">
        <f ca="1">AVERAGE(OFFSET($DS$3,0,0,'Données projet'!$E$14+1,1))-AVERAGE(OFFSET($H$3,0,0,'Données projet'!$E$14+1,1))</f>
        <v>287.69656598881124</v>
      </c>
      <c r="DU63" s="62">
        <f t="shared" si="44"/>
        <v>221.9773436301067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7.8528961502072065E-4</v>
      </c>
      <c r="ED63" s="24">
        <f t="shared" si="18"/>
        <v>7.8528961502072065E-4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344.36303707479811</v>
      </c>
      <c r="T64" s="62">
        <f t="shared" si="34"/>
        <v>207.92972431357452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19.166666666666668</v>
      </c>
      <c r="AI64" s="14">
        <f>IF('Données projet'!$A$62&gt;35,AI63+AH64-AQ63,IF(A64&lt;'Données projet'!$A$62,$AF$205^A64,IF(A64='Données projet'!$A$62,'Données projet'!$B$62,AI63+AH64-AQ63)))</f>
        <v>404.16666666666629</v>
      </c>
      <c r="AJ64" s="14">
        <f>AI64*VLOOKUP('Données projet'!$B$10,Paramètres!$A$1:$I$89,3,0)*VLOOKUP('Données projet'!$B$10,Paramètres!$A$1:$I$89,5,0)</f>
        <v>189.14999999999984</v>
      </c>
      <c r="AK64" s="14">
        <f t="shared" si="35"/>
        <v>47.351980908861918</v>
      </c>
      <c r="AL64" s="22">
        <f t="shared" si="4"/>
        <v>411.90761674960089</v>
      </c>
      <c r="AM64" s="62">
        <f t="shared" si="5"/>
        <v>705.24095008293421</v>
      </c>
      <c r="AN64" s="62">
        <f ca="1">AVERAGE(OFFSET($AM$3,0,0,'Données projet'!$E$10+1,1))-AVERAGE(OFFSET($H$3,0,0,'Données projet'!$E$10+1,1))</f>
        <v>273.94989417245978</v>
      </c>
      <c r="AO64" s="62">
        <f t="shared" si="36"/>
        <v>244.91615281423549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203.20000000000002</v>
      </c>
      <c r="BE64" s="14">
        <f>BD64*VLOOKUP('Données projet'!$B$11,Paramètres!$A$1:$I$89,3,0)*VLOOKUP('Données projet'!$B$11,Paramètres!$A$1:$I$89,5,0)</f>
        <v>177.51552000000004</v>
      </c>
      <c r="BF64" s="14">
        <f t="shared" si="37"/>
        <v>44.768988809542904</v>
      </c>
      <c r="BG64" s="22">
        <f t="shared" si="7"/>
        <v>387.145519509954</v>
      </c>
      <c r="BH64" s="62">
        <f t="shared" si="8"/>
        <v>680.47885284328731</v>
      </c>
      <c r="BI64" s="62">
        <f ca="1">AVERAGE(OFFSET($BH$3,0,0,'Données projet'!$E$11+1,1))-AVERAGE(OFFSET($H$3,0,0,'Données projet'!$E$11+1,1))</f>
        <v>247.81726778334098</v>
      </c>
      <c r="BJ64" s="62">
        <f t="shared" si="38"/>
        <v>278.55937893537259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4.1831739953428838E-4</v>
      </c>
      <c r="BS64" s="24">
        <f t="shared" si="9"/>
        <v>4.1831739953428838E-4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156.11420010556668</v>
      </c>
      <c r="CE64" s="62">
        <f t="shared" si="40"/>
        <v>318.01952986326501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53.47376046240683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5.7397386959716339E-3</v>
      </c>
      <c r="CN64" s="24">
        <f t="shared" si="12"/>
        <v>53.479500201102802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18.58285714285714</v>
      </c>
      <c r="CT64" s="13">
        <f>IF('Données projet'!$A$140&gt;35,CT63+CS64-DB63,IF(A64&lt;'Données projet'!$A$140,$CQ$205^A64,IF(A64='Données projet'!$A$140,'Données projet'!$B$140,CT63+CS64-DB63)))</f>
        <v>531.83428571428578</v>
      </c>
      <c r="CU64" s="18">
        <f>CT64*VLOOKUP('Données projet'!$B$13,Paramètres!$A$1:$I$89,3,0)*VLOOKUP('Données projet'!$B$13,Paramètres!$A$1:$I$89,5,0)</f>
        <v>297.29536571428577</v>
      </c>
      <c r="CV64" s="14">
        <f t="shared" si="41"/>
        <v>70.609169738501635</v>
      </c>
      <c r="CW64" s="22">
        <f t="shared" si="13"/>
        <v>640.76706591360471</v>
      </c>
      <c r="CX64" s="62">
        <f t="shared" si="14"/>
        <v>934.10039924693797</v>
      </c>
      <c r="CY64" s="62">
        <f ca="1">AVERAGE(OFFSET($CX$3,0,0,'Données projet'!$E$13+1,1))-AVERAGE(OFFSET($H$3,0,0,'Données projet'!$E$13+1,1))</f>
        <v>321.56347025977988</v>
      </c>
      <c r="CZ64" s="62">
        <f t="shared" si="42"/>
        <v>285.79375360040717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10.75064316357564</v>
      </c>
      <c r="DG64" s="23">
        <f>EXP(-LN(2)/25)*DG63+(1-EXP(-LN(2)/25))/(LN(2)/25)*Calculateur!DB64*Calculateur!DD64*VLOOKUP('Données projet'!$B$13,Paramètres!$A$1:$I$89,3,0)*0.475*44/12</f>
        <v>4.7965793564973671</v>
      </c>
      <c r="DH64" s="23">
        <f>EXP(-LN(2)/2)*DH63+(1-EXP(-LN(2)/2))/(LN(2)/2)*DB64*DE64*VLOOKUP('Données projet'!$B$13,Paramètres!$A$1:$I$89,3,0)*0.475*44/12</f>
        <v>1.5410324056447608E-4</v>
      </c>
      <c r="DI64" s="24">
        <f t="shared" si="15"/>
        <v>15.547376623313571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16.625</v>
      </c>
      <c r="DO64" s="13">
        <f>IF('Données projet'!$A$166&gt;35,DO63+DN64-DW63,IF(A64&lt;'Données projet'!$A$166,$DL$205^A64,IF(A64='Données projet'!$A$166,'Données projet'!$B$166,DO63+DN64-DW63)))</f>
        <v>399.87500000000006</v>
      </c>
      <c r="DP64" s="18">
        <f>DO64*VLOOKUP('Données projet'!$B$14,Paramètres!$A$1:$I$89,3,0)*VLOOKUP('Données projet'!$B$14,Paramètres!$A$1:$I$89,5,0)</f>
        <v>239.12525000000005</v>
      </c>
      <c r="DQ64" s="14">
        <f t="shared" si="43"/>
        <v>58.251283780505084</v>
      </c>
      <c r="DR64" s="22">
        <f t="shared" si="16"/>
        <v>517.93079633437981</v>
      </c>
      <c r="DS64" s="62">
        <f t="shared" si="17"/>
        <v>811.26412966771318</v>
      </c>
      <c r="DT64" s="62">
        <f ca="1">AVERAGE(OFFSET($DS$3,0,0,'Données projet'!$E$14+1,1))-AVERAGE(OFFSET($H$3,0,0,'Données projet'!$E$14+1,1))</f>
        <v>287.69656598881124</v>
      </c>
      <c r="DU64" s="62">
        <f t="shared" si="44"/>
        <v>221.9773436301067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5.5528361197652485E-4</v>
      </c>
      <c r="ED64" s="24">
        <f t="shared" si="18"/>
        <v>5.5528361197652485E-4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344.36303707479811</v>
      </c>
      <c r="T65" s="62">
        <f t="shared" si="34"/>
        <v>207.92972431357452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19.166666666666668</v>
      </c>
      <c r="AI65" s="14">
        <f>IF('Données projet'!$A$62&gt;35,AI64+AH65-AQ64,IF(A65&lt;'Données projet'!$A$62,$AF$205^A65,IF(A65='Données projet'!$A$62,'Données projet'!$B$62,AI64+AH65-AQ64)))</f>
        <v>423.33333333333297</v>
      </c>
      <c r="AJ65" s="14">
        <f>AI65*VLOOKUP('Données projet'!$B$10,Paramètres!$A$1:$I$89,3,0)*VLOOKUP('Données projet'!$B$10,Paramètres!$A$1:$I$89,5,0)</f>
        <v>198.11999999999983</v>
      </c>
      <c r="AK65" s="14">
        <f t="shared" si="35"/>
        <v>49.330773797227167</v>
      </c>
      <c r="AL65" s="22">
        <f t="shared" si="4"/>
        <v>430.97676436350366</v>
      </c>
      <c r="AM65" s="62">
        <f t="shared" si="5"/>
        <v>724.31009769683692</v>
      </c>
      <c r="AN65" s="62">
        <f ca="1">AVERAGE(OFFSET($AM$3,0,0,'Données projet'!$E$10+1,1))-AVERAGE(OFFSET($H$3,0,0,'Données projet'!$E$10+1,1))</f>
        <v>273.94989417245978</v>
      </c>
      <c r="AO65" s="62">
        <f t="shared" si="36"/>
        <v>244.91615281423549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208.4</v>
      </c>
      <c r="BE65" s="14">
        <f>BD65*VLOOKUP('Données projet'!$B$11,Paramètres!$A$1:$I$89,3,0)*VLOOKUP('Données projet'!$B$11,Paramètres!$A$1:$I$89,5,0)</f>
        <v>182.05824000000001</v>
      </c>
      <c r="BF65" s="14">
        <f t="shared" si="37"/>
        <v>45.779803189729343</v>
      </c>
      <c r="BG65" s="22">
        <f t="shared" si="7"/>
        <v>396.81792522211191</v>
      </c>
      <c r="BH65" s="62">
        <f t="shared" si="8"/>
        <v>690.15125855544522</v>
      </c>
      <c r="BI65" s="62">
        <f ca="1">AVERAGE(OFFSET($BH$3,0,0,'Données projet'!$E$11+1,1))-AVERAGE(OFFSET($H$3,0,0,'Données projet'!$E$11+1,1))</f>
        <v>247.81726778334098</v>
      </c>
      <c r="BJ65" s="62">
        <f t="shared" si="38"/>
        <v>278.55937893537259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2.9579506989901763E-4</v>
      </c>
      <c r="BS65" s="24">
        <f t="shared" si="9"/>
        <v>2.9579506989901763E-4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156.11420010556668</v>
      </c>
      <c r="CE65" s="62">
        <f t="shared" si="40"/>
        <v>318.01952986326501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52.425172635512375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4.0586081541603737E-3</v>
      </c>
      <c r="CN65" s="24">
        <f t="shared" si="12"/>
        <v>52.429231243666536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18.58285714285714</v>
      </c>
      <c r="CT65" s="13">
        <f>IF('Données projet'!$A$140&gt;35,CT64+CS65-DB64,IF(A65&lt;'Données projet'!$A$140,$CQ$205^A65,IF(A65='Données projet'!$A$140,'Données projet'!$B$140,CT64+CS65-DB64)))</f>
        <v>550.41714285714295</v>
      </c>
      <c r="CU65" s="18">
        <f>CT65*VLOOKUP('Données projet'!$B$13,Paramètres!$A$1:$I$89,3,0)*VLOOKUP('Données projet'!$B$13,Paramètres!$A$1:$I$89,5,0)</f>
        <v>307.68318285714292</v>
      </c>
      <c r="CV65" s="14">
        <f t="shared" si="41"/>
        <v>72.784775498421382</v>
      </c>
      <c r="CW65" s="22">
        <f t="shared" si="13"/>
        <v>662.64836080260773</v>
      </c>
      <c r="CX65" s="62">
        <f t="shared" si="14"/>
        <v>955.9816941359411</v>
      </c>
      <c r="CY65" s="62">
        <f ca="1">AVERAGE(OFFSET($CX$3,0,0,'Données projet'!$E$13+1,1))-AVERAGE(OFFSET($H$3,0,0,'Données projet'!$E$13+1,1))</f>
        <v>321.56347025977988</v>
      </c>
      <c r="CZ65" s="62">
        <f t="shared" si="42"/>
        <v>285.79375360040717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10.539829608382778</v>
      </c>
      <c r="DG65" s="23">
        <f>EXP(-LN(2)/25)*DG64+(1-EXP(-LN(2)/25))/(LN(2)/25)*Calculateur!DB65*Calculateur!DD65*VLOOKUP('Données projet'!$B$13,Paramètres!$A$1:$I$89,3,0)*0.475*44/12</f>
        <v>4.6654166417528007</v>
      </c>
      <c r="DH65" s="23">
        <f>EXP(-LN(2)/2)*DH64+(1-EXP(-LN(2)/2))/(LN(2)/2)*DB65*DE65*VLOOKUP('Données projet'!$B$13,Paramètres!$A$1:$I$89,3,0)*0.475*44/12</f>
        <v>1.0896744640596288E-4</v>
      </c>
      <c r="DI65" s="24">
        <f t="shared" si="15"/>
        <v>15.205355217581985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16.625</v>
      </c>
      <c r="DO65" s="13">
        <f>IF('Données projet'!$A$166&gt;35,DO64+DN65-DW64,IF(A65&lt;'Données projet'!$A$166,$DL$205^A65,IF(A65='Données projet'!$A$166,'Données projet'!$B$166,DO64+DN65-DW64)))</f>
        <v>416.50000000000006</v>
      </c>
      <c r="DP65" s="18">
        <f>DO65*VLOOKUP('Données projet'!$B$14,Paramètres!$A$1:$I$89,3,0)*VLOOKUP('Données projet'!$B$14,Paramètres!$A$1:$I$89,5,0)</f>
        <v>249.06700000000004</v>
      </c>
      <c r="DQ65" s="14">
        <f t="shared" si="43"/>
        <v>60.386109489804014</v>
      </c>
      <c r="DR65" s="22">
        <f t="shared" si="16"/>
        <v>538.96416569474195</v>
      </c>
      <c r="DS65" s="62">
        <f t="shared" si="17"/>
        <v>832.29749902807521</v>
      </c>
      <c r="DT65" s="62">
        <f ca="1">AVERAGE(OFFSET($DS$3,0,0,'Données projet'!$E$14+1,1))-AVERAGE(OFFSET($H$3,0,0,'Données projet'!$E$14+1,1))</f>
        <v>287.69656598881124</v>
      </c>
      <c r="DU65" s="62">
        <f t="shared" si="44"/>
        <v>221.9773436301067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3.9264480751036033E-4</v>
      </c>
      <c r="ED65" s="24">
        <f t="shared" si="18"/>
        <v>3.9264480751036033E-4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344.36303707479811</v>
      </c>
      <c r="T66" s="62">
        <f t="shared" si="34"/>
        <v>207.92972431357452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19.166666666666668</v>
      </c>
      <c r="AI66" s="14">
        <f>IF('Données projet'!$A$62&gt;35,AI65+AH66-AQ65,IF(A66&lt;'Données projet'!$A$62,$AF$205^A66,IF(A66='Données projet'!$A$62,'Données projet'!$B$62,AI65+AH66-AQ65)))</f>
        <v>442.49999999999966</v>
      </c>
      <c r="AJ66" s="14">
        <f>AI66*VLOOKUP('Données projet'!$B$10,Paramètres!$A$1:$I$89,3,0)*VLOOKUP('Données projet'!$B$10,Paramètres!$A$1:$I$89,5,0)</f>
        <v>207.08999999999983</v>
      </c>
      <c r="AK66" s="14">
        <f t="shared" si="35"/>
        <v>51.299161968697469</v>
      </c>
      <c r="AL66" s="22">
        <f t="shared" si="4"/>
        <v>450.0277904288144</v>
      </c>
      <c r="AM66" s="62">
        <f t="shared" si="5"/>
        <v>743.36112376214771</v>
      </c>
      <c r="AN66" s="62">
        <f ca="1">AVERAGE(OFFSET($AM$3,0,0,'Données projet'!$E$10+1,1))-AVERAGE(OFFSET($H$3,0,0,'Données projet'!$E$10+1,1))</f>
        <v>273.94989417245978</v>
      </c>
      <c r="AO66" s="62">
        <f t="shared" si="36"/>
        <v>244.91615281423549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213.6</v>
      </c>
      <c r="BE66" s="14">
        <f>BD66*VLOOKUP('Données projet'!$B$11,Paramètres!$A$1:$I$89,3,0)*VLOOKUP('Données projet'!$B$11,Paramètres!$A$1:$I$89,5,0)</f>
        <v>186.60096000000001</v>
      </c>
      <c r="BF66" s="14">
        <f t="shared" si="37"/>
        <v>46.787685683664144</v>
      </c>
      <c r="BG66" s="22">
        <f t="shared" si="7"/>
        <v>406.48522456571504</v>
      </c>
      <c r="BH66" s="62">
        <f t="shared" si="8"/>
        <v>699.8185578990483</v>
      </c>
      <c r="BI66" s="62">
        <f ca="1">AVERAGE(OFFSET($BH$3,0,0,'Données projet'!$E$11+1,1))-AVERAGE(OFFSET($H$3,0,0,'Données projet'!$E$11+1,1))</f>
        <v>247.81726778334098</v>
      </c>
      <c r="BJ66" s="62">
        <f t="shared" si="38"/>
        <v>278.55937893537259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2.0915869976714419E-4</v>
      </c>
      <c r="BS66" s="24">
        <f t="shared" si="9"/>
        <v>2.0915869976714419E-4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156.11420010556668</v>
      </c>
      <c r="CE66" s="62">
        <f t="shared" si="40"/>
        <v>318.01952986326501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51.397146976327896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2.869869347985817E-3</v>
      </c>
      <c r="CN66" s="24">
        <f t="shared" si="12"/>
        <v>51.400016845675879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569</v>
      </c>
      <c r="CR66" s="13">
        <f>VLOOKUP(A66,'Données projet'!$A$139:$I$159,9,0)</f>
        <v>18.58285714285714</v>
      </c>
      <c r="CS66" s="13">
        <f t="array" ref="CS66">INDEX(CR:CR,MIN(IF(ISNUMBER(CR66:CR262),ROW(CR66:CR262),"")))</f>
        <v>18.58285714285714</v>
      </c>
      <c r="CT66" s="13">
        <f>IF('Données projet'!$A$140&gt;35,CT65+CS66-DB65,IF(A66&lt;'Données projet'!$A$140,$CQ$205^A66,IF(A66='Données projet'!$A$140,'Données projet'!$B$140,CT65+CS66-DB65)))</f>
        <v>569.00000000000011</v>
      </c>
      <c r="CU66" s="18">
        <f>CT66*VLOOKUP('Données projet'!$B$13,Paramètres!$A$1:$I$89,3,0)*VLOOKUP('Données projet'!$B$13,Paramètres!$A$1:$I$89,5,0)</f>
        <v>318.07100000000008</v>
      </c>
      <c r="CV66" s="14">
        <f t="shared" si="41"/>
        <v>74.951846567144685</v>
      </c>
      <c r="CW66" s="22">
        <f t="shared" si="13"/>
        <v>684.51479110444382</v>
      </c>
      <c r="CX66" s="62">
        <f t="shared" si="14"/>
        <v>977.84812443777719</v>
      </c>
      <c r="CY66" s="62">
        <f ca="1">AVERAGE(OFFSET($CX$3,0,0,'Données projet'!$E$13+1,1))-AVERAGE(OFFSET($H$3,0,0,'Données projet'!$E$13+1,1))</f>
        <v>321.56347025977988</v>
      </c>
      <c r="CZ66" s="62">
        <f t="shared" si="42"/>
        <v>285.79375360040717</v>
      </c>
      <c r="DA66" s="16">
        <f>IF(ISNA(VLOOKUP(A66,'Données projet'!$A$139:$I$159,3,0)),0,VLOOKUP(A66,'Données projet'!$A$139:$I$159,3,0))</f>
        <v>8</v>
      </c>
      <c r="DB66" s="16">
        <f>IF(ISNA(VLOOKUP(A66,'Données projet'!$A$139:$I$159,4,0)),0,VLOOKUP(A66,'Données projet'!$A$139:$I$159,4,0))</f>
        <v>99.49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10.333149978423675</v>
      </c>
      <c r="DG66" s="23">
        <f>EXP(-LN(2)/25)*DG65+(1-EXP(-LN(2)/25))/(LN(2)/25)*Calculateur!DB66*Calculateur!DD66*VLOOKUP('Données projet'!$B$13,Paramètres!$A$1:$I$89,3,0)*0.475*44/12</f>
        <v>4.5378405783404725</v>
      </c>
      <c r="DH66" s="23">
        <f>EXP(-LN(2)/2)*DH65+(1-EXP(-LN(2)/2))/(LN(2)/2)*DB66*DE66*VLOOKUP('Données projet'!$B$13,Paramètres!$A$1:$I$89,3,0)*0.475*44/12</f>
        <v>7.705162028223804E-5</v>
      </c>
      <c r="DI66" s="24">
        <f t="shared" si="15"/>
        <v>14.871067608384431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16.625</v>
      </c>
      <c r="DO66" s="13">
        <f>IF('Données projet'!$A$166&gt;35,DO65+DN66-DW65,IF(A66&lt;'Données projet'!$A$166,$DL$205^A66,IF(A66='Données projet'!$A$166,'Données projet'!$B$166,DO65+DN66-DW65)))</f>
        <v>433.12500000000006</v>
      </c>
      <c r="DP66" s="18">
        <f>DO66*VLOOKUP('Données projet'!$B$14,Paramètres!$A$1:$I$89,3,0)*VLOOKUP('Données projet'!$B$14,Paramètres!$A$1:$I$89,5,0)</f>
        <v>259.00875000000008</v>
      </c>
      <c r="DQ66" s="14">
        <f t="shared" si="43"/>
        <v>62.511036563235727</v>
      </c>
      <c r="DR66" s="22">
        <f t="shared" si="16"/>
        <v>559.98029493096897</v>
      </c>
      <c r="DS66" s="62">
        <f t="shared" si="17"/>
        <v>853.31362826430222</v>
      </c>
      <c r="DT66" s="62">
        <f ca="1">AVERAGE(OFFSET($DS$3,0,0,'Données projet'!$E$14+1,1))-AVERAGE(OFFSET($H$3,0,0,'Données projet'!$E$14+1,1))</f>
        <v>287.69656598881124</v>
      </c>
      <c r="DU66" s="62">
        <f t="shared" si="44"/>
        <v>221.9773436301067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2.7764180598826243E-4</v>
      </c>
      <c r="ED66" s="24">
        <f t="shared" si="18"/>
        <v>2.7764180598826243E-4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344.36303707479811</v>
      </c>
      <c r="T67" s="62">
        <f t="shared" si="34"/>
        <v>207.92972431357452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19.166666666666668</v>
      </c>
      <c r="AI67" s="14">
        <f>IF('Données projet'!$A$62&gt;35,AI66+AH67-AQ66,IF(A67&lt;'Données projet'!$A$62,$AF$205^A67,IF(A67='Données projet'!$A$62,'Données projet'!$B$62,AI66+AH67-AQ66)))</f>
        <v>461.66666666666634</v>
      </c>
      <c r="AJ67" s="14">
        <f>AI67*VLOOKUP('Données projet'!$B$10,Paramètres!$A$1:$I$89,3,0)*VLOOKUP('Données projet'!$B$10,Paramètres!$A$1:$I$89,5,0)</f>
        <v>216.05999999999983</v>
      </c>
      <c r="AK67" s="14">
        <f t="shared" si="35"/>
        <v>53.25764761128822</v>
      </c>
      <c r="AL67" s="22">
        <f t="shared" si="4"/>
        <v>469.06156958966</v>
      </c>
      <c r="AM67" s="62">
        <f t="shared" si="5"/>
        <v>762.39490292299331</v>
      </c>
      <c r="AN67" s="62">
        <f ca="1">AVERAGE(OFFSET($AM$3,0,0,'Données projet'!$E$10+1,1))-AVERAGE(OFFSET($H$3,0,0,'Données projet'!$E$10+1,1))</f>
        <v>273.94989417245978</v>
      </c>
      <c r="AO67" s="62">
        <f t="shared" si="36"/>
        <v>244.91615281423549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218.79999999999998</v>
      </c>
      <c r="BE67" s="14">
        <f>BD67*VLOOKUP('Données projet'!$B$11,Paramètres!$A$1:$I$89,3,0)*VLOOKUP('Données projet'!$B$11,Paramètres!$A$1:$I$89,5,0)</f>
        <v>191.14368000000002</v>
      </c>
      <c r="BF67" s="14">
        <f t="shared" si="37"/>
        <v>47.792715878069586</v>
      </c>
      <c r="BG67" s="22">
        <f t="shared" si="7"/>
        <v>416.14755615430454</v>
      </c>
      <c r="BH67" s="62">
        <f t="shared" si="8"/>
        <v>709.4808894876378</v>
      </c>
      <c r="BI67" s="62">
        <f ca="1">AVERAGE(OFFSET($BH$3,0,0,'Données projet'!$E$11+1,1))-AVERAGE(OFFSET($H$3,0,0,'Données projet'!$E$11+1,1))</f>
        <v>247.81726778334098</v>
      </c>
      <c r="BJ67" s="62">
        <f t="shared" si="38"/>
        <v>278.55937893537259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1.4789753494950881E-4</v>
      </c>
      <c r="BS67" s="24">
        <f t="shared" si="9"/>
        <v>1.4789753494950881E-4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156.11420010556668</v>
      </c>
      <c r="CE67" s="62">
        <f t="shared" si="40"/>
        <v>318.01952986326501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50.389280273286289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2.0293040770801869E-3</v>
      </c>
      <c r="CN67" s="24">
        <f t="shared" si="12"/>
        <v>50.391309577363366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16.745000000000005</v>
      </c>
      <c r="CT67" s="13">
        <f>IF('Données projet'!$A$140&gt;35,CT66+CS67-DB66,IF(A67&lt;'Données projet'!$A$140,$CQ$205^A67,IF(A67='Données projet'!$A$140,'Données projet'!$B$140,CT66+CS67-DB66)))</f>
        <v>486.25500000000011</v>
      </c>
      <c r="CU67" s="18">
        <f>CT67*VLOOKUP('Données projet'!$B$13,Paramètres!$A$1:$I$89,3,0)*VLOOKUP('Données projet'!$B$13,Paramètres!$A$1:$I$89,5,0)</f>
        <v>271.81654500000008</v>
      </c>
      <c r="CV67" s="14">
        <f t="shared" si="41"/>
        <v>65.234635404592368</v>
      </c>
      <c r="CW67" s="22">
        <f t="shared" si="13"/>
        <v>587.03080587133184</v>
      </c>
      <c r="CX67" s="62">
        <f t="shared" si="14"/>
        <v>880.36413920466521</v>
      </c>
      <c r="CY67" s="62">
        <f ca="1">AVERAGE(OFFSET($CX$3,0,0,'Données projet'!$E$13+1,1))-AVERAGE(OFFSET($H$3,0,0,'Données projet'!$E$13+1,1))</f>
        <v>321.56347025977988</v>
      </c>
      <c r="CZ67" s="62">
        <f t="shared" si="42"/>
        <v>285.79375360040717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10.130523209945943</v>
      </c>
      <c r="DG67" s="23">
        <f>EXP(-LN(2)/25)*DG66+(1-EXP(-LN(2)/25))/(LN(2)/25)*Calculateur!DB67*Calculateur!DD67*VLOOKUP('Données projet'!$B$13,Paramètres!$A$1:$I$89,3,0)*0.475*44/12</f>
        <v>4.4137530890910872</v>
      </c>
      <c r="DH67" s="23">
        <f>EXP(-LN(2)/2)*DH66+(1-EXP(-LN(2)/2))/(LN(2)/2)*DB67*DE67*VLOOKUP('Données projet'!$B$13,Paramètres!$A$1:$I$89,3,0)*0.475*44/12</f>
        <v>5.4483723202981442E-5</v>
      </c>
      <c r="DI67" s="24">
        <f t="shared" si="15"/>
        <v>14.544330782760232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16.625</v>
      </c>
      <c r="DO67" s="13">
        <f>IF('Données projet'!$A$166&gt;35,DO66+DN67-DW66,IF(A67&lt;'Données projet'!$A$166,$DL$205^A67,IF(A67='Données projet'!$A$166,'Données projet'!$B$166,DO66+DN67-DW66)))</f>
        <v>449.75000000000006</v>
      </c>
      <c r="DP67" s="18">
        <f>DO67*VLOOKUP('Données projet'!$B$14,Paramètres!$A$1:$I$89,3,0)*VLOOKUP('Données projet'!$B$14,Paramètres!$A$1:$I$89,5,0)</f>
        <v>268.95050000000009</v>
      </c>
      <c r="DQ67" s="14">
        <f t="shared" si="43"/>
        <v>64.626488439895155</v>
      </c>
      <c r="DR67" s="22">
        <f t="shared" si="16"/>
        <v>580.97992153281746</v>
      </c>
      <c r="DS67" s="62">
        <f t="shared" si="17"/>
        <v>874.31325486615083</v>
      </c>
      <c r="DT67" s="62">
        <f ca="1">AVERAGE(OFFSET($DS$3,0,0,'Données projet'!$E$14+1,1))-AVERAGE(OFFSET($H$3,0,0,'Données projet'!$E$14+1,1))</f>
        <v>287.69656598881124</v>
      </c>
      <c r="DU67" s="62">
        <f t="shared" si="44"/>
        <v>221.9773436301067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1.9632240375518016E-4</v>
      </c>
      <c r="ED67" s="24">
        <f t="shared" si="18"/>
        <v>1.9632240375518016E-4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344.36303707479811</v>
      </c>
      <c r="T68" s="62">
        <f t="shared" si="34"/>
        <v>207.92972431357452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19.166666666666668</v>
      </c>
      <c r="AI68" s="14">
        <f>IF('Données projet'!$A$62&gt;35,AI67+AH68-AQ67,IF(A68&lt;'Données projet'!$A$62,$AF$205^A68,IF(A68='Données projet'!$A$62,'Données projet'!$B$62,AI67+AH68-AQ67)))</f>
        <v>480.83333333333303</v>
      </c>
      <c r="AJ68" s="14">
        <f>AI68*VLOOKUP('Données projet'!$B$10,Paramètres!$A$1:$I$89,3,0)*VLOOKUP('Données projet'!$B$10,Paramètres!$A$1:$I$89,5,0)</f>
        <v>225.02999999999986</v>
      </c>
      <c r="AK68" s="14">
        <f t="shared" si="35"/>
        <v>55.206688855897156</v>
      </c>
      <c r="AL68" s="22">
        <f t="shared" ref="AL68:AL131" si="58">(AJ68+AK68)*0.475*44/12</f>
        <v>488.07889975735389</v>
      </c>
      <c r="AM68" s="62">
        <f t="shared" ref="AM68:AM131" si="59">AL68+(AD68+AE68)*44/12</f>
        <v>781.41223309068721</v>
      </c>
      <c r="AN68" s="62">
        <f ca="1">AVERAGE(OFFSET($AM$3,0,0,'Données projet'!$E$10+1,1))-AVERAGE(OFFSET($H$3,0,0,'Données projet'!$E$10+1,1))</f>
        <v>273.94989417245978</v>
      </c>
      <c r="AO68" s="62">
        <f t="shared" si="36"/>
        <v>244.91615281423549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224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223.99999999999997</v>
      </c>
      <c r="BE68" s="14">
        <f>BD68*VLOOKUP('Données projet'!$B$11,Paramètres!$A$1:$I$89,3,0)*VLOOKUP('Données projet'!$B$11,Paramètres!$A$1:$I$89,5,0)</f>
        <v>195.68639999999999</v>
      </c>
      <c r="BF68" s="14">
        <f t="shared" si="37"/>
        <v>48.794969360985156</v>
      </c>
      <c r="BG68" s="22">
        <f t="shared" ref="BG68:BG131" si="61">(BE68+BF68)*0.475*44/12</f>
        <v>425.80505163704908</v>
      </c>
      <c r="BH68" s="62">
        <f t="shared" ref="BH68:BH131" si="62">BG68+(AY68+AZ68)*44/12</f>
        <v>719.13838497038239</v>
      </c>
      <c r="BI68" s="62">
        <f ca="1">AVERAGE(OFFSET($BH$3,0,0,'Données projet'!$E$11+1,1))-AVERAGE(OFFSET($H$3,0,0,'Données projet'!$E$11+1,1))</f>
        <v>247.81726778334098</v>
      </c>
      <c r="BJ68" s="62">
        <f t="shared" si="38"/>
        <v>278.55937893537259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1.045793498835721E-4</v>
      </c>
      <c r="BS68" s="24">
        <f t="shared" ref="BS68:BS131" si="63">SUM(BP68:BR68)</f>
        <v>1.045793498835721E-4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156.11420010556668</v>
      </c>
      <c r="CE68" s="62">
        <f t="shared" si="40"/>
        <v>318.01952986326501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49.40117722155334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1.4349346739929085E-3</v>
      </c>
      <c r="CN68" s="24">
        <f t="shared" ref="CN68:CN131" si="66">SUM(CK68:CM68)</f>
        <v>49.402612156227335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16.745000000000005</v>
      </c>
      <c r="CT68" s="13">
        <f>IF('Données projet'!$A$140&gt;35,CT67+CS68-DB67,IF(A68&lt;'Données projet'!$A$140,$CQ$205^A68,IF(A68='Données projet'!$A$140,'Données projet'!$B$140,CT67+CS68-DB67)))</f>
        <v>503.00000000000011</v>
      </c>
      <c r="CU68" s="18">
        <f>CT68*VLOOKUP('Données projet'!$B$13,Paramètres!$A$1:$I$89,3,0)*VLOOKUP('Données projet'!$B$13,Paramètres!$A$1:$I$89,5,0)</f>
        <v>281.17700000000008</v>
      </c>
      <c r="CV68" s="14">
        <f t="shared" si="41"/>
        <v>67.215682058608678</v>
      </c>
      <c r="CW68" s="22">
        <f t="shared" ref="CW68:CW131" si="67">(CU68+CV68)*0.475*44/12</f>
        <v>606.78392125207699</v>
      </c>
      <c r="CX68" s="62">
        <f t="shared" ref="CX68:CX131" si="68">CW68+(CO68+CP68)*44/12</f>
        <v>900.11725458541036</v>
      </c>
      <c r="CY68" s="62">
        <f ca="1">AVERAGE(OFFSET($CX$3,0,0,'Données projet'!$E$13+1,1))-AVERAGE(OFFSET($H$3,0,0,'Données projet'!$E$13+1,1))</f>
        <v>321.56347025977988</v>
      </c>
      <c r="CZ68" s="62">
        <f t="shared" si="42"/>
        <v>285.79375360040717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9.931869828807935</v>
      </c>
      <c r="DG68" s="23">
        <f>EXP(-LN(2)/25)*DG67+(1-EXP(-LN(2)/25))/(LN(2)/25)*Calculateur!DB68*Calculateur!DD68*VLOOKUP('Données projet'!$B$13,Paramètres!$A$1:$I$89,3,0)*0.475*44/12</f>
        <v>4.2930587787607042</v>
      </c>
      <c r="DH68" s="23">
        <f>EXP(-LN(2)/2)*DH67+(1-EXP(-LN(2)/2))/(LN(2)/2)*DB68*DE68*VLOOKUP('Données projet'!$B$13,Paramètres!$A$1:$I$89,3,0)*0.475*44/12</f>
        <v>3.852581014111902E-5</v>
      </c>
      <c r="DI68" s="24">
        <f t="shared" ref="DI68:DI131" si="69">SUM(DF68:DH68)</f>
        <v>14.224967133378779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16.625</v>
      </c>
      <c r="DO68" s="13">
        <f>IF('Données projet'!$A$166&gt;35,DO67+DN68-DW67,IF(A68&lt;'Données projet'!$A$166,$DL$205^A68,IF(A68='Données projet'!$A$166,'Données projet'!$B$166,DO67+DN68-DW67)))</f>
        <v>466.37500000000006</v>
      </c>
      <c r="DP68" s="18">
        <f>DO68*VLOOKUP('Données projet'!$B$14,Paramètres!$A$1:$I$89,3,0)*VLOOKUP('Données projet'!$B$14,Paramètres!$A$1:$I$89,5,0)</f>
        <v>278.89225000000005</v>
      </c>
      <c r="DQ68" s="14">
        <f t="shared" si="43"/>
        <v>66.732855480271084</v>
      </c>
      <c r="DR68" s="22">
        <f t="shared" ref="DR68:DR131" si="70">(DP68+DQ68)*0.475*44/12</f>
        <v>601.96372537813886</v>
      </c>
      <c r="DS68" s="62">
        <f t="shared" ref="DS68:DS131" si="71">DR68+(DJ68+DK68)*44/12</f>
        <v>895.29705871147212</v>
      </c>
      <c r="DT68" s="62">
        <f ca="1">AVERAGE(OFFSET($DS$3,0,0,'Données projet'!$E$14+1,1))-AVERAGE(OFFSET($H$3,0,0,'Données projet'!$E$14+1,1))</f>
        <v>287.69656598881124</v>
      </c>
      <c r="DU68" s="62">
        <f t="shared" si="44"/>
        <v>221.9773436301067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1.3882090299413121E-4</v>
      </c>
      <c r="ED68" s="24">
        <f t="shared" ref="ED68:ED131" si="72">SUM(EA68:EC68)</f>
        <v>1.3882090299413121E-4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344.36303707479811</v>
      </c>
      <c r="T69" s="62">
        <f t="shared" ref="T69:T132" si="88">$T$3</f>
        <v>207.92972431357452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500</v>
      </c>
      <c r="AG69" s="13">
        <f>VLOOKUP(A69,'Données projet'!$A$61:$I$81,9,0)</f>
        <v>19.166666666666668</v>
      </c>
      <c r="AH69" s="13">
        <f t="array" ref="AH69">INDEX(AG:AG,MIN(IF(ISNUMBER(AG69:AG265),ROW(AG69:AG265),"")))</f>
        <v>19.166666666666668</v>
      </c>
      <c r="AI69" s="14">
        <f>IF('Données projet'!$A$62&gt;35,AI68+AH69-AQ68,IF(A69&lt;'Données projet'!$A$62,$AF$205^A69,IF(A69='Données projet'!$A$62,'Données projet'!$B$62,AI68+AH69-AQ68)))</f>
        <v>499.99999999999972</v>
      </c>
      <c r="AJ69" s="14">
        <f>AI69*VLOOKUP('Données projet'!$B$10,Paramètres!$A$1:$I$89,3,0)*VLOOKUP('Données projet'!$B$10,Paramètres!$A$1:$I$89,5,0)</f>
        <v>233.99999999999986</v>
      </c>
      <c r="AK69" s="14">
        <f t="shared" ref="AK69:AK132" si="89">EXP(-1.0587+0.8836*LN(AJ69)+0.284)</f>
        <v>57.14670524255709</v>
      </c>
      <c r="AL69" s="22">
        <f t="shared" si="58"/>
        <v>507.08051163078659</v>
      </c>
      <c r="AM69" s="62">
        <f t="shared" si="59"/>
        <v>800.4138449641199</v>
      </c>
      <c r="AN69" s="62">
        <f ca="1">AVERAGE(OFFSET($AM$3,0,0,'Données projet'!$E$10+1,1))-AVERAGE(OFFSET($H$3,0,0,'Données projet'!$E$10+1,1))</f>
        <v>273.94989417245978</v>
      </c>
      <c r="AO69" s="62">
        <f t="shared" ref="AO69:AO132" si="90">$AO$3</f>
        <v>244.91615281423549</v>
      </c>
      <c r="AP69" s="16">
        <f>IF(ISNA(VLOOKUP(A69,'Données projet'!$A$61:$I$81,3,0)),0,VLOOKUP(A69,'Données projet'!$A$61:$I$81,3,0))</f>
        <v>5</v>
      </c>
      <c r="AQ69" s="16">
        <f>IF(ISNA(VLOOKUP(A69,'Données projet'!$A$61:$I$81,4,0)),0,VLOOKUP(A69,'Données projet'!$A$61:$I$81,4,0))</f>
        <v>88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4.5999999999999996</v>
      </c>
      <c r="BD69" s="13">
        <f>IF('Données projet'!$A$88&gt;35,BD68+BC69-BL68,IF(A69&lt;'Données projet'!$A$88,$BA$205^A69,IF(A69='Données projet'!$A$88,'Données projet'!$B$88,BD68+BC69-BL68)))</f>
        <v>208.59999999999997</v>
      </c>
      <c r="BE69" s="14">
        <f>BD69*VLOOKUP('Données projet'!$B$11,Paramètres!$A$1:$I$89,3,0)*VLOOKUP('Données projet'!$B$11,Paramètres!$A$1:$I$89,5,0)</f>
        <v>182.23295999999999</v>
      </c>
      <c r="BF69" s="14">
        <f t="shared" ref="BF69:BF132" si="91">EXP(-1.0587+0.8836*LN(BE69)+0.284)</f>
        <v>45.818621592366291</v>
      </c>
      <c r="BG69" s="22">
        <f t="shared" si="61"/>
        <v>397.18983794003793</v>
      </c>
      <c r="BH69" s="62">
        <f t="shared" si="62"/>
        <v>690.52317127337119</v>
      </c>
      <c r="BI69" s="62">
        <f ca="1">AVERAGE(OFFSET($BH$3,0,0,'Données projet'!$E$11+1,1))-AVERAGE(OFFSET($H$3,0,0,'Données projet'!$E$11+1,1))</f>
        <v>247.81726778334098</v>
      </c>
      <c r="BJ69" s="62">
        <f t="shared" ref="BJ69:BJ132" si="92">$BJ$3</f>
        <v>278.55937893537259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7.3948767474754407E-5</v>
      </c>
      <c r="BS69" s="24">
        <f t="shared" si="63"/>
        <v>7.3948767474754407E-5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156.11420010556668</v>
      </c>
      <c r="CE69" s="62">
        <f t="shared" ref="CE69:CE132" si="94">$CE$3</f>
        <v>318.01952986326501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48.432450267981523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1.0146520385400934E-3</v>
      </c>
      <c r="CN69" s="24">
        <f t="shared" si="66"/>
        <v>48.433464920020064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16.745000000000005</v>
      </c>
      <c r="CT69" s="13">
        <f>IF('Données projet'!$A$140&gt;35,CT68+CS69-DB68,IF(A69&lt;'Données projet'!$A$140,$CQ$205^A69,IF(A69='Données projet'!$A$140,'Données projet'!$B$140,CT68+CS69-DB68)))</f>
        <v>519.74500000000012</v>
      </c>
      <c r="CU69" s="18">
        <f>CT69*VLOOKUP('Données projet'!$B$13,Paramètres!$A$1:$I$89,3,0)*VLOOKUP('Données projet'!$B$13,Paramètres!$A$1:$I$89,5,0)</f>
        <v>290.53745500000008</v>
      </c>
      <c r="CV69" s="14">
        <f t="shared" ref="CV69:CV132" si="95">EXP(-1.0587+0.8836*LN(CU69)+0.284)</f>
        <v>69.189065543116882</v>
      </c>
      <c r="CW69" s="22">
        <f t="shared" si="67"/>
        <v>626.52368994592871</v>
      </c>
      <c r="CX69" s="62">
        <f t="shared" si="68"/>
        <v>919.85702327926197</v>
      </c>
      <c r="CY69" s="62">
        <f ca="1">AVERAGE(OFFSET($CX$3,0,0,'Données projet'!$E$13+1,1))-AVERAGE(OFFSET($H$3,0,0,'Données projet'!$E$13+1,1))</f>
        <v>321.56347025977988</v>
      </c>
      <c r="CZ69" s="62">
        <f t="shared" ref="CZ69:CZ132" si="96">$CZ$3</f>
        <v>285.79375360040717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9.7371119193074449</v>
      </c>
      <c r="DG69" s="23">
        <f>EXP(-LN(2)/25)*DG68+(1-EXP(-LN(2)/25))/(LN(2)/25)*Calculateur!DB69*Calculateur!DD69*VLOOKUP('Données projet'!$B$13,Paramètres!$A$1:$I$89,3,0)*0.475*44/12</f>
        <v>4.1756648606933435</v>
      </c>
      <c r="DH69" s="23">
        <f>EXP(-LN(2)/2)*DH68+(1-EXP(-LN(2)/2))/(LN(2)/2)*DB69*DE69*VLOOKUP('Données projet'!$B$13,Paramètres!$A$1:$I$89,3,0)*0.475*44/12</f>
        <v>2.7241861601490721E-5</v>
      </c>
      <c r="DI69" s="24">
        <f t="shared" si="69"/>
        <v>13.912804021862391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>
        <f>VLOOKUP(A69,'Données projet'!$A$165:$I$185,2,0)</f>
        <v>483</v>
      </c>
      <c r="DM69" s="13">
        <f>VLOOKUP(A69,'Données projet'!$A$165:$I$185,9,0)</f>
        <v>16.625</v>
      </c>
      <c r="DN69" s="13">
        <f t="array" ref="DN69">INDEX(DM:DM,MIN(IF(ISNUMBER(DM69:DM265),ROW(DM69:DM265),"")))</f>
        <v>16.625</v>
      </c>
      <c r="DO69" s="13">
        <f>IF('Données projet'!$A$166&gt;35,DO68+DN69-DW68,IF(A69&lt;'Données projet'!$A$166,$DL$205^A69,IF(A69='Données projet'!$A$166,'Données projet'!$B$166,DO68+DN69-DW68)))</f>
        <v>483.00000000000006</v>
      </c>
      <c r="DP69" s="18">
        <f>DO69*VLOOKUP('Données projet'!$B$14,Paramètres!$A$1:$I$89,3,0)*VLOOKUP('Données projet'!$B$14,Paramètres!$A$1:$I$89,5,0)</f>
        <v>288.83400000000006</v>
      </c>
      <c r="DQ69" s="14">
        <f t="shared" ref="DQ69:DQ132" si="97">EXP(-1.0587+0.8836*LN(DP69)+0.284)</f>
        <v>68.830498636563377</v>
      </c>
      <c r="DR69" s="22">
        <f t="shared" si="70"/>
        <v>622.932335125348</v>
      </c>
      <c r="DS69" s="62">
        <f t="shared" si="71"/>
        <v>916.26566845868138</v>
      </c>
      <c r="DT69" s="62">
        <f ca="1">AVERAGE(OFFSET($DS$3,0,0,'Données projet'!$E$14+1,1))-AVERAGE(OFFSET($H$3,0,0,'Données projet'!$E$14+1,1))</f>
        <v>287.69656598881124</v>
      </c>
      <c r="DU69" s="62">
        <f t="shared" ref="DU69:DU132" si="98">$DU$3</f>
        <v>221.9773436301067</v>
      </c>
      <c r="DV69" s="16">
        <f>IF(ISNA(VLOOKUP(A69,'Données projet'!$A$165:$I$185,3,0)),0,VLOOKUP(A69,'Données projet'!$A$165:$I$185,3,0))</f>
        <v>9</v>
      </c>
      <c r="DW69" s="16">
        <f>IF(ISNA(VLOOKUP(A69,'Données projet'!$A$165:$I$185,4,0)),0,VLOOKUP(A69,'Données projet'!$A$165:$I$185,4,0))</f>
        <v>65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9.8161201877590082E-5</v>
      </c>
      <c r="ED69" s="24">
        <f t="shared" si="72"/>
        <v>9.8161201877590082E-5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344.36303707479811</v>
      </c>
      <c r="T70" s="62">
        <f t="shared" si="88"/>
        <v>207.92972431357452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18.5</v>
      </c>
      <c r="AI70" s="14">
        <f>IF('Données projet'!$A$62&gt;35,AI69+AH70-AQ69,IF(A70&lt;'Données projet'!$A$62,$AF$205^A70,IF(A70='Données projet'!$A$62,'Données projet'!$B$62,AI69+AH70-AQ69)))</f>
        <v>430.49999999999977</v>
      </c>
      <c r="AJ70" s="14">
        <f>AI70*VLOOKUP('Données projet'!$B$10,Paramètres!$A$1:$I$89,3,0)*VLOOKUP('Données projet'!$B$10,Paramètres!$A$1:$I$89,5,0)</f>
        <v>201.47399999999988</v>
      </c>
      <c r="AK70" s="14">
        <f t="shared" si="89"/>
        <v>50.067969742315285</v>
      </c>
      <c r="AL70" s="22">
        <f t="shared" si="58"/>
        <v>438.10226396786555</v>
      </c>
      <c r="AM70" s="62">
        <f t="shared" si="59"/>
        <v>731.43559730119887</v>
      </c>
      <c r="AN70" s="62">
        <f ca="1">AVERAGE(OFFSET($AM$3,0,0,'Données projet'!$E$10+1,1))-AVERAGE(OFFSET($H$3,0,0,'Données projet'!$E$10+1,1))</f>
        <v>273.94989417245978</v>
      </c>
      <c r="AO70" s="62">
        <f t="shared" si="90"/>
        <v>244.91615281423549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4.5999999999999996</v>
      </c>
      <c r="BD70" s="13">
        <f>IF('Données projet'!$A$88&gt;35,BD69+BC70-BL69,IF(A70&lt;'Données projet'!$A$88,$BA$205^A70,IF(A70='Données projet'!$A$88,'Données projet'!$B$88,BD69+BC70-BL69)))</f>
        <v>213.19999999999996</v>
      </c>
      <c r="BE70" s="14">
        <f>BD70*VLOOKUP('Données projet'!$B$11,Paramètres!$A$1:$I$89,3,0)*VLOOKUP('Données projet'!$B$11,Paramètres!$A$1:$I$89,5,0)</f>
        <v>186.25152</v>
      </c>
      <c r="BF70" s="14">
        <f t="shared" si="91"/>
        <v>46.71025851515671</v>
      </c>
      <c r="BG70" s="22">
        <f t="shared" si="61"/>
        <v>405.74176424723129</v>
      </c>
      <c r="BH70" s="62">
        <f t="shared" si="62"/>
        <v>699.0750975805646</v>
      </c>
      <c r="BI70" s="62">
        <f ca="1">AVERAGE(OFFSET($BH$3,0,0,'Données projet'!$E$11+1,1))-AVERAGE(OFFSET($H$3,0,0,'Données projet'!$E$11+1,1))</f>
        <v>247.81726778334098</v>
      </c>
      <c r="BJ70" s="62">
        <f t="shared" si="92"/>
        <v>278.55937893537259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5.2289674941786048E-5</v>
      </c>
      <c r="BS70" s="24">
        <f t="shared" si="63"/>
        <v>5.2289674941786048E-5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156.11420010556668</v>
      </c>
      <c r="CE70" s="62">
        <f t="shared" si="94"/>
        <v>318.01952986326501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47.482719459104146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7.1746733699645424E-4</v>
      </c>
      <c r="CN70" s="24">
        <f t="shared" si="66"/>
        <v>47.483436926441144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16.745000000000005</v>
      </c>
      <c r="CT70" s="13">
        <f>IF('Données projet'!$A$140&gt;35,CT69+CS70-DB69,IF(A70&lt;'Données projet'!$A$140,$CQ$205^A70,IF(A70='Données projet'!$A$140,'Données projet'!$B$140,CT69+CS70-DB69)))</f>
        <v>536.49000000000012</v>
      </c>
      <c r="CU70" s="18">
        <f>CT70*VLOOKUP('Données projet'!$B$13,Paramètres!$A$1:$I$89,3,0)*VLOOKUP('Données projet'!$B$13,Paramètres!$A$1:$I$89,5,0)</f>
        <v>299.89791000000008</v>
      </c>
      <c r="CV70" s="14">
        <f t="shared" si="95"/>
        <v>71.155061066438293</v>
      </c>
      <c r="CW70" s="22">
        <f t="shared" si="67"/>
        <v>646.25059127404677</v>
      </c>
      <c r="CX70" s="62">
        <f t="shared" si="68"/>
        <v>939.58392460738014</v>
      </c>
      <c r="CY70" s="62">
        <f ca="1">AVERAGE(OFFSET($CX$3,0,0,'Données projet'!$E$13+1,1))-AVERAGE(OFFSET($H$3,0,0,'Données projet'!$E$13+1,1))</f>
        <v>321.56347025977988</v>
      </c>
      <c r="CZ70" s="62">
        <f t="shared" si="96"/>
        <v>285.79375360040717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9.5461730936216647</v>
      </c>
      <c r="DG70" s="23">
        <f>EXP(-LN(2)/25)*DG69+(1-EXP(-LN(2)/25))/(LN(2)/25)*Calculateur!DB70*Calculateur!DD70*VLOOKUP('Données projet'!$B$13,Paramètres!$A$1:$I$89,3,0)*0.475*44/12</f>
        <v>4.0614810854890129</v>
      </c>
      <c r="DH70" s="23">
        <f>EXP(-LN(2)/2)*DH69+(1-EXP(-LN(2)/2))/(LN(2)/2)*DB70*DE70*VLOOKUP('Données projet'!$B$13,Paramètres!$A$1:$I$89,3,0)*0.475*44/12</f>
        <v>1.926290507055951E-5</v>
      </c>
      <c r="DI70" s="24">
        <f t="shared" si="69"/>
        <v>13.607673442015749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12.875</v>
      </c>
      <c r="DO70" s="13">
        <f>IF('Données projet'!$A$166&gt;35,DO69+DN70-DW69,IF(A70&lt;'Données projet'!$A$166,$DL$205^A70,IF(A70='Données projet'!$A$166,'Données projet'!$B$166,DO69+DN70-DW69)))</f>
        <v>430.87500000000006</v>
      </c>
      <c r="DP70" s="18">
        <f>DO70*VLOOKUP('Données projet'!$B$14,Paramètres!$A$1:$I$89,3,0)*VLOOKUP('Données projet'!$B$14,Paramètres!$A$1:$I$89,5,0)</f>
        <v>257.66325000000006</v>
      </c>
      <c r="DQ70" s="14">
        <f t="shared" si="97"/>
        <v>62.224015868041043</v>
      </c>
      <c r="DR70" s="22">
        <f t="shared" si="70"/>
        <v>557.13698805350487</v>
      </c>
      <c r="DS70" s="62">
        <f t="shared" si="71"/>
        <v>850.47032138683812</v>
      </c>
      <c r="DT70" s="62">
        <f ca="1">AVERAGE(OFFSET($DS$3,0,0,'Données projet'!$E$14+1,1))-AVERAGE(OFFSET($H$3,0,0,'Données projet'!$E$14+1,1))</f>
        <v>287.69656598881124</v>
      </c>
      <c r="DU70" s="62">
        <f t="shared" si="98"/>
        <v>221.9773436301067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6.9410451497065606E-5</v>
      </c>
      <c r="ED70" s="24">
        <f t="shared" si="72"/>
        <v>6.9410451497065606E-5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344.36303707479811</v>
      </c>
      <c r="T71" s="62">
        <f t="shared" si="88"/>
        <v>207.92972431357452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18.5</v>
      </c>
      <c r="AI71" s="14">
        <f>IF('Données projet'!$A$62&gt;35,AI70+AH71-AQ70,IF(A71&lt;'Données projet'!$A$62,$AF$205^A71,IF(A71='Données projet'!$A$62,'Données projet'!$B$62,AI70+AH71-AQ70)))</f>
        <v>448.99999999999977</v>
      </c>
      <c r="AJ71" s="14">
        <f>AI71*VLOOKUP('Données projet'!$B$10,Paramètres!$A$1:$I$89,3,0)*VLOOKUP('Données projet'!$B$10,Paramètres!$A$1:$I$89,5,0)</f>
        <v>210.13199999999989</v>
      </c>
      <c r="AK71" s="14">
        <f t="shared" si="89"/>
        <v>51.964429964375014</v>
      </c>
      <c r="AL71" s="22">
        <f t="shared" si="58"/>
        <v>456.48461552128629</v>
      </c>
      <c r="AM71" s="62">
        <f t="shared" si="59"/>
        <v>749.81794885461954</v>
      </c>
      <c r="AN71" s="62">
        <f ca="1">AVERAGE(OFFSET($AM$3,0,0,'Données projet'!$E$10+1,1))-AVERAGE(OFFSET($H$3,0,0,'Données projet'!$E$10+1,1))</f>
        <v>273.94989417245978</v>
      </c>
      <c r="AO71" s="62">
        <f t="shared" si="90"/>
        <v>244.91615281423549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4.5999999999999996</v>
      </c>
      <c r="BD71" s="13">
        <f>IF('Données projet'!$A$88&gt;35,BD70+BC71-BL70,IF(A71&lt;'Données projet'!$A$88,$BA$205^A71,IF(A71='Données projet'!$A$88,'Données projet'!$B$88,BD70+BC71-BL70)))</f>
        <v>217.79999999999995</v>
      </c>
      <c r="BE71" s="14">
        <f>BD71*VLOOKUP('Données projet'!$B$11,Paramètres!$A$1:$I$89,3,0)*VLOOKUP('Données projet'!$B$11,Paramètres!$A$1:$I$89,5,0)</f>
        <v>190.27007999999998</v>
      </c>
      <c r="BF71" s="14">
        <f t="shared" si="91"/>
        <v>47.599658767320413</v>
      </c>
      <c r="BG71" s="22">
        <f t="shared" si="61"/>
        <v>414.28979501974965</v>
      </c>
      <c r="BH71" s="62">
        <f t="shared" si="62"/>
        <v>707.62312835308296</v>
      </c>
      <c r="BI71" s="62">
        <f ca="1">AVERAGE(OFFSET($BH$3,0,0,'Données projet'!$E$11+1,1))-AVERAGE(OFFSET($H$3,0,0,'Données projet'!$E$11+1,1))</f>
        <v>247.81726778334098</v>
      </c>
      <c r="BJ71" s="62">
        <f t="shared" si="92"/>
        <v>278.55937893537259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3.6974383737377203E-5</v>
      </c>
      <c r="BS71" s="24">
        <f t="shared" si="63"/>
        <v>3.6974383737377203E-5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156.11420010556668</v>
      </c>
      <c r="CE71" s="62">
        <f t="shared" si="94"/>
        <v>318.01952986326501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46.551612292110264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5.0732601927004671E-4</v>
      </c>
      <c r="CN71" s="24">
        <f t="shared" si="66"/>
        <v>46.552119618129531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16.745000000000005</v>
      </c>
      <c r="CT71" s="13">
        <f>IF('Données projet'!$A$140&gt;35,CT70+CS71-DB70,IF(A71&lt;'Données projet'!$A$140,$CQ$205^A71,IF(A71='Données projet'!$A$140,'Données projet'!$B$140,CT70+CS71-DB70)))</f>
        <v>553.23500000000013</v>
      </c>
      <c r="CU71" s="18">
        <f>CT71*VLOOKUP('Données projet'!$B$13,Paramètres!$A$1:$I$89,3,0)*VLOOKUP('Données projet'!$B$13,Paramètres!$A$1:$I$89,5,0)</f>
        <v>309.25836500000008</v>
      </c>
      <c r="CV71" s="14">
        <f t="shared" si="95"/>
        <v>73.113925681396637</v>
      </c>
      <c r="CW71" s="22">
        <f t="shared" si="67"/>
        <v>665.96507293676598</v>
      </c>
      <c r="CX71" s="62">
        <f t="shared" si="68"/>
        <v>959.29840627009935</v>
      </c>
      <c r="CY71" s="62">
        <f ca="1">AVERAGE(OFFSET($CX$3,0,0,'Données projet'!$E$13+1,1))-AVERAGE(OFFSET($H$3,0,0,'Données projet'!$E$13+1,1))</f>
        <v>321.56347025977988</v>
      </c>
      <c r="CZ71" s="62">
        <f t="shared" si="96"/>
        <v>285.79375360040717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9.358978461846398</v>
      </c>
      <c r="DG71" s="23">
        <f>EXP(-LN(2)/25)*DG70+(1-EXP(-LN(2)/25))/(LN(2)/25)*Calculateur!DB71*Calculateur!DD71*VLOOKUP('Données projet'!$B$13,Paramètres!$A$1:$I$89,3,0)*0.475*44/12</f>
        <v>3.9504196716223081</v>
      </c>
      <c r="DH71" s="23">
        <f>EXP(-LN(2)/2)*DH70+(1-EXP(-LN(2)/2))/(LN(2)/2)*DB71*DE71*VLOOKUP('Données projet'!$B$13,Paramètres!$A$1:$I$89,3,0)*0.475*44/12</f>
        <v>1.362093080074536E-5</v>
      </c>
      <c r="DI71" s="24">
        <f t="shared" si="69"/>
        <v>13.309411754399507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12.875</v>
      </c>
      <c r="DO71" s="13">
        <f>IF('Données projet'!$A$166&gt;35,DO70+DN71-DW70,IF(A71&lt;'Données projet'!$A$166,$DL$205^A71,IF(A71='Données projet'!$A$166,'Données projet'!$B$166,DO70+DN71-DW70)))</f>
        <v>443.75000000000006</v>
      </c>
      <c r="DP71" s="18">
        <f>DO71*VLOOKUP('Données projet'!$B$14,Paramètres!$A$1:$I$89,3,0)*VLOOKUP('Données projet'!$B$14,Paramètres!$A$1:$I$89,5,0)</f>
        <v>265.36250000000007</v>
      </c>
      <c r="DQ71" s="14">
        <f t="shared" si="97"/>
        <v>63.864084559847946</v>
      </c>
      <c r="DR71" s="22">
        <f t="shared" si="70"/>
        <v>573.40296810840198</v>
      </c>
      <c r="DS71" s="62">
        <f t="shared" si="71"/>
        <v>866.73630144173535</v>
      </c>
      <c r="DT71" s="62">
        <f ca="1">AVERAGE(OFFSET($DS$3,0,0,'Données projet'!$E$14+1,1))-AVERAGE(OFFSET($H$3,0,0,'Données projet'!$E$14+1,1))</f>
        <v>287.69656598881124</v>
      </c>
      <c r="DU71" s="62">
        <f t="shared" si="98"/>
        <v>221.9773436301067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4.9080600938795041E-5</v>
      </c>
      <c r="ED71" s="24">
        <f t="shared" si="72"/>
        <v>4.9080600938795041E-5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344.36303707479811</v>
      </c>
      <c r="T72" s="62">
        <f t="shared" si="88"/>
        <v>207.92972431357452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18.5</v>
      </c>
      <c r="AI72" s="14">
        <f>IF('Données projet'!$A$62&gt;35,AI71+AH72-AQ71,IF(A72&lt;'Données projet'!$A$62,$AF$205^A72,IF(A72='Données projet'!$A$62,'Données projet'!$B$62,AI71+AH72-AQ71)))</f>
        <v>467.49999999999977</v>
      </c>
      <c r="AJ72" s="14">
        <f>AI72*VLOOKUP('Données projet'!$B$10,Paramètres!$A$1:$I$89,3,0)*VLOOKUP('Données projet'!$B$10,Paramètres!$A$1:$I$89,5,0)</f>
        <v>218.78999999999991</v>
      </c>
      <c r="AK72" s="14">
        <f t="shared" si="89"/>
        <v>53.851813843863511</v>
      </c>
      <c r="AL72" s="22">
        <f t="shared" si="58"/>
        <v>474.85115911139542</v>
      </c>
      <c r="AM72" s="62">
        <f t="shared" si="59"/>
        <v>768.18449244472868</v>
      </c>
      <c r="AN72" s="62">
        <f ca="1">AVERAGE(OFFSET($AM$3,0,0,'Données projet'!$E$10+1,1))-AVERAGE(OFFSET($H$3,0,0,'Données projet'!$E$10+1,1))</f>
        <v>273.94989417245978</v>
      </c>
      <c r="AO72" s="62">
        <f t="shared" si="90"/>
        <v>244.91615281423549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4.5999999999999996</v>
      </c>
      <c r="BD72" s="13">
        <f>IF('Données projet'!$A$88&gt;35,BD71+BC72-BL71,IF(A72&lt;'Données projet'!$A$88,$BA$205^A72,IF(A72='Données projet'!$A$88,'Données projet'!$B$88,BD71+BC72-BL71)))</f>
        <v>222.39999999999995</v>
      </c>
      <c r="BE72" s="14">
        <f>BD72*VLOOKUP('Données projet'!$B$11,Paramètres!$A$1:$I$89,3,0)*VLOOKUP('Données projet'!$B$11,Paramètres!$A$1:$I$89,5,0)</f>
        <v>194.28863999999999</v>
      </c>
      <c r="BF72" s="14">
        <f t="shared" si="91"/>
        <v>48.486875029770822</v>
      </c>
      <c r="BG72" s="22">
        <f t="shared" si="61"/>
        <v>422.83402201018413</v>
      </c>
      <c r="BH72" s="62">
        <f t="shared" si="62"/>
        <v>716.16735534351744</v>
      </c>
      <c r="BI72" s="62">
        <f ca="1">AVERAGE(OFFSET($BH$3,0,0,'Données projet'!$E$11+1,1))-AVERAGE(OFFSET($H$3,0,0,'Données projet'!$E$11+1,1))</f>
        <v>247.81726778334098</v>
      </c>
      <c r="BJ72" s="62">
        <f t="shared" si="92"/>
        <v>278.55937893537259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2.6144837470893024E-5</v>
      </c>
      <c r="BS72" s="24">
        <f t="shared" si="63"/>
        <v>2.6144837470893024E-5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156.11420010556668</v>
      </c>
      <c r="CE72" s="62">
        <f t="shared" si="94"/>
        <v>318.01952986326501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45.638763568741837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3.5873366849822712E-4</v>
      </c>
      <c r="CN72" s="24">
        <f t="shared" si="66"/>
        <v>45.639122302410335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569.98</v>
      </c>
      <c r="CR72" s="13">
        <f>VLOOKUP(A72,'Données projet'!$A$139:$I$159,9,0)</f>
        <v>16.745000000000005</v>
      </c>
      <c r="CS72" s="13">
        <f t="array" ref="CS72">INDEX(CR:CR,MIN(IF(ISNUMBER(CR72:CR268),ROW(CR72:CR268),"")))</f>
        <v>16.745000000000005</v>
      </c>
      <c r="CT72" s="13">
        <f>IF('Données projet'!$A$140&gt;35,CT71+CS72-DB71,IF(A72&lt;'Données projet'!$A$140,$CQ$205^A72,IF(A72='Données projet'!$A$140,'Données projet'!$B$140,CT71+CS72-DB71)))</f>
        <v>569.98000000000013</v>
      </c>
      <c r="CU72" s="18">
        <f>CT72*VLOOKUP('Données projet'!$B$13,Paramètres!$A$1:$I$89,3,0)*VLOOKUP('Données projet'!$B$13,Paramètres!$A$1:$I$89,5,0)</f>
        <v>318.61882000000008</v>
      </c>
      <c r="CV72" s="14">
        <f t="shared" si="95"/>
        <v>75.065899995891868</v>
      </c>
      <c r="CW72" s="22">
        <f t="shared" si="67"/>
        <v>685.66755399284511</v>
      </c>
      <c r="CX72" s="62">
        <f t="shared" si="68"/>
        <v>979.00088732617837</v>
      </c>
      <c r="CY72" s="62">
        <f ca="1">AVERAGE(OFFSET($CX$3,0,0,'Données projet'!$E$13+1,1))-AVERAGE(OFFSET($H$3,0,0,'Données projet'!$E$13+1,1))</f>
        <v>321.56347025977988</v>
      </c>
      <c r="CZ72" s="62">
        <f t="shared" si="96"/>
        <v>285.79375360040717</v>
      </c>
      <c r="DA72" s="16">
        <f>IF(ISNA(VLOOKUP(A72,'Données projet'!$A$139:$I$159,3,0)),0,VLOOKUP(A72,'Données projet'!$A$139:$I$159,3,0))</f>
        <v>9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9.1754546026227928</v>
      </c>
      <c r="DG72" s="23">
        <f>EXP(-LN(2)/25)*DG71+(1-EXP(-LN(2)/25))/(LN(2)/25)*Calculateur!DB72*Calculateur!DD72*VLOOKUP('Données projet'!$B$13,Paramètres!$A$1:$I$89,3,0)*0.475*44/12</f>
        <v>3.8423952379582542</v>
      </c>
      <c r="DH72" s="23">
        <f>EXP(-LN(2)/2)*DH71+(1-EXP(-LN(2)/2))/(LN(2)/2)*DB72*DE72*VLOOKUP('Données projet'!$B$13,Paramètres!$A$1:$I$89,3,0)*0.475*44/12</f>
        <v>9.631452535279755E-6</v>
      </c>
      <c r="DI72" s="24">
        <f t="shared" si="69"/>
        <v>13.017859472033582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12.875</v>
      </c>
      <c r="DO72" s="13">
        <f>IF('Données projet'!$A$166&gt;35,DO71+DN72-DW71,IF(A72&lt;'Données projet'!$A$166,$DL$205^A72,IF(A72='Données projet'!$A$166,'Données projet'!$B$166,DO71+DN72-DW71)))</f>
        <v>456.62500000000006</v>
      </c>
      <c r="DP72" s="18">
        <f>DO72*VLOOKUP('Données projet'!$B$14,Paramètres!$A$1:$I$89,3,0)*VLOOKUP('Données projet'!$B$14,Paramètres!$A$1:$I$89,5,0)</f>
        <v>273.06175000000007</v>
      </c>
      <c r="DQ72" s="14">
        <f t="shared" si="97"/>
        <v>65.49862286970442</v>
      </c>
      <c r="DR72" s="22">
        <f t="shared" si="70"/>
        <v>589.65931608140193</v>
      </c>
      <c r="DS72" s="62">
        <f t="shared" si="71"/>
        <v>882.9926494147353</v>
      </c>
      <c r="DT72" s="62">
        <f ca="1">AVERAGE(OFFSET($DS$3,0,0,'Données projet'!$E$14+1,1))-AVERAGE(OFFSET($H$3,0,0,'Données projet'!$E$14+1,1))</f>
        <v>287.69656598881124</v>
      </c>
      <c r="DU72" s="62">
        <f t="shared" si="98"/>
        <v>221.9773436301067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3.4705225748532803E-5</v>
      </c>
      <c r="ED72" s="24">
        <f t="shared" si="72"/>
        <v>3.4705225748532803E-5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344.36303707479811</v>
      </c>
      <c r="T73" s="62">
        <f t="shared" si="88"/>
        <v>207.92972431357452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18.5</v>
      </c>
      <c r="AI73" s="14">
        <f>IF('Données projet'!$A$62&gt;35,AI72+AH73-AQ72,IF(A73&lt;'Données projet'!$A$62,$AF$205^A73,IF(A73='Données projet'!$A$62,'Données projet'!$B$62,AI72+AH73-AQ72)))</f>
        <v>485.99999999999977</v>
      </c>
      <c r="AJ73" s="14">
        <f>AI73*VLOOKUP('Données projet'!$B$10,Paramètres!$A$1:$I$89,3,0)*VLOOKUP('Données projet'!$B$10,Paramètres!$A$1:$I$89,5,0)</f>
        <v>227.44799999999989</v>
      </c>
      <c r="AK73" s="14">
        <f t="shared" si="89"/>
        <v>55.730521649800686</v>
      </c>
      <c r="AL73" s="22">
        <f t="shared" si="58"/>
        <v>493.2025918734027</v>
      </c>
      <c r="AM73" s="62">
        <f t="shared" si="59"/>
        <v>786.53592520673601</v>
      </c>
      <c r="AN73" s="62">
        <f ca="1">AVERAGE(OFFSET($AM$3,0,0,'Données projet'!$E$10+1,1))-AVERAGE(OFFSET($H$3,0,0,'Données projet'!$E$10+1,1))</f>
        <v>273.94989417245978</v>
      </c>
      <c r="AO73" s="62">
        <f t="shared" si="90"/>
        <v>244.91615281423549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227</v>
      </c>
      <c r="BB73" s="13">
        <f>VLOOKUP(A73,'Données projet'!$A$87:$I$107,9,0)</f>
        <v>4.5999999999999996</v>
      </c>
      <c r="BC73" s="13">
        <f t="array" ref="BC73">INDEX(BB:BB,MIN(IF(ISNUMBER(BB73:BB269),ROW(BB73:BB269),"")))</f>
        <v>4.5999999999999996</v>
      </c>
      <c r="BD73" s="13">
        <f>IF('Données projet'!$A$88&gt;35,BD72+BC73-BL72,IF(A73&lt;'Données projet'!$A$88,$BA$205^A73,IF(A73='Données projet'!$A$88,'Données projet'!$B$88,BD72+BC73-BL72)))</f>
        <v>226.99999999999994</v>
      </c>
      <c r="BE73" s="14">
        <f>BD73*VLOOKUP('Données projet'!$B$11,Paramètres!$A$1:$I$89,3,0)*VLOOKUP('Données projet'!$B$11,Paramètres!$A$1:$I$89,5,0)</f>
        <v>198.30719999999997</v>
      </c>
      <c r="BF73" s="14">
        <f t="shared" si="91"/>
        <v>49.371957679623371</v>
      </c>
      <c r="BG73" s="22">
        <f t="shared" si="61"/>
        <v>431.37453295867726</v>
      </c>
      <c r="BH73" s="62">
        <f t="shared" si="62"/>
        <v>724.70786629201052</v>
      </c>
      <c r="BI73" s="62">
        <f ca="1">AVERAGE(OFFSET($BH$3,0,0,'Données projet'!$E$11+1,1))-AVERAGE(OFFSET($H$3,0,0,'Données projet'!$E$11+1,1))</f>
        <v>247.81726778334098</v>
      </c>
      <c r="BJ73" s="62">
        <f t="shared" si="92"/>
        <v>278.55937893537259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17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1.8487191868688602E-5</v>
      </c>
      <c r="BS73" s="24">
        <f t="shared" si="63"/>
        <v>1.8487191868688602E-5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156.11420010556668</v>
      </c>
      <c r="CE73" s="62">
        <f t="shared" si="94"/>
        <v>318.01952986326501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44.743815252055924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2.5366300963502336E-4</v>
      </c>
      <c r="CN73" s="24">
        <f t="shared" si="66"/>
        <v>44.744068915065561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586.05999999999995</v>
      </c>
      <c r="CR73" s="13">
        <f>VLOOKUP(A73,'Données projet'!$A$139:$I$159,9,0)</f>
        <v>16.079999999999927</v>
      </c>
      <c r="CS73" s="13">
        <f t="array" ref="CS73">INDEX(CR:CR,MIN(IF(ISNUMBER(CR73:CR269),ROW(CR73:CR269),"")))</f>
        <v>16.079999999999927</v>
      </c>
      <c r="CT73" s="13">
        <f>IF('Données projet'!$A$140&gt;35,CT72+CS73-DB72,IF(A73&lt;'Données projet'!$A$140,$CQ$205^A73,IF(A73='Données projet'!$A$140,'Données projet'!$B$140,CT72+CS73-DB72)))</f>
        <v>586.06000000000006</v>
      </c>
      <c r="CU73" s="18">
        <f>CT73*VLOOKUP('Données projet'!$B$13,Paramètres!$A$1:$I$89,3,0)*VLOOKUP('Données projet'!$B$13,Paramètres!$A$1:$I$89,5,0)</f>
        <v>327.60754000000003</v>
      </c>
      <c r="CV73" s="14">
        <f t="shared" si="95"/>
        <v>76.934079315946775</v>
      </c>
      <c r="CW73" s="22">
        <f t="shared" si="67"/>
        <v>704.57665364194065</v>
      </c>
      <c r="CX73" s="62">
        <f t="shared" si="68"/>
        <v>997.90998697527402</v>
      </c>
      <c r="CY73" s="62">
        <f ca="1">AVERAGE(OFFSET($CX$3,0,0,'Données projet'!$E$13+1,1))-AVERAGE(OFFSET($H$3,0,0,'Données projet'!$E$13+1,1))</f>
        <v>321.56347025977988</v>
      </c>
      <c r="CZ73" s="62">
        <f t="shared" si="96"/>
        <v>285.79375360040717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586.05999999999995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8.9955295343400614</v>
      </c>
      <c r="DG73" s="23">
        <f>EXP(-LN(2)/25)*DG72+(1-EXP(-LN(2)/25))/(LN(2)/25)*Calculateur!DB73*Calculateur!DD73*VLOOKUP('Données projet'!$B$13,Paramètres!$A$1:$I$89,3,0)*0.475*44/12</f>
        <v>3.737324738113502</v>
      </c>
      <c r="DH73" s="23">
        <f>EXP(-LN(2)/2)*DH72+(1-EXP(-LN(2)/2))/(LN(2)/2)*DB73*DE73*VLOOKUP('Données projet'!$B$13,Paramètres!$A$1:$I$89,3,0)*0.475*44/12</f>
        <v>6.8104654003726802E-6</v>
      </c>
      <c r="DI73" s="24">
        <f t="shared" si="69"/>
        <v>12.732861082918964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12.875</v>
      </c>
      <c r="DO73" s="13">
        <f>IF('Données projet'!$A$166&gt;35,DO72+DN73-DW72,IF(A73&lt;'Données projet'!$A$166,$DL$205^A73,IF(A73='Données projet'!$A$166,'Données projet'!$B$166,DO72+DN73-DW72)))</f>
        <v>469.50000000000006</v>
      </c>
      <c r="DP73" s="18">
        <f>DO73*VLOOKUP('Données projet'!$B$14,Paramètres!$A$1:$I$89,3,0)*VLOOKUP('Données projet'!$B$14,Paramètres!$A$1:$I$89,5,0)</f>
        <v>280.76100000000002</v>
      </c>
      <c r="DQ73" s="14">
        <f t="shared" si="97"/>
        <v>67.12780464438184</v>
      </c>
      <c r="DR73" s="22">
        <f t="shared" si="70"/>
        <v>605.90633475563175</v>
      </c>
      <c r="DS73" s="62">
        <f t="shared" si="71"/>
        <v>899.23966808896512</v>
      </c>
      <c r="DT73" s="62">
        <f ca="1">AVERAGE(OFFSET($DS$3,0,0,'Données projet'!$E$14+1,1))-AVERAGE(OFFSET($H$3,0,0,'Données projet'!$E$14+1,1))</f>
        <v>287.69656598881124</v>
      </c>
      <c r="DU73" s="62">
        <f t="shared" si="98"/>
        <v>221.9773436301067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2.454030046939752E-5</v>
      </c>
      <c r="ED73" s="24">
        <f t="shared" si="72"/>
        <v>2.454030046939752E-5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344.36303707479811</v>
      </c>
      <c r="T74" s="62">
        <f t="shared" si="88"/>
        <v>207.92972431357452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18.5</v>
      </c>
      <c r="AI74" s="14">
        <f>IF('Données projet'!$A$62&gt;35,AI73+AH74-AQ73,IF(A74&lt;'Données projet'!$A$62,$AF$205^A74,IF(A74='Données projet'!$A$62,'Données projet'!$B$62,AI73+AH74-AQ73)))</f>
        <v>504.49999999999977</v>
      </c>
      <c r="AJ74" s="14">
        <f>AI74*VLOOKUP('Données projet'!$B$10,Paramètres!$A$1:$I$89,3,0)*VLOOKUP('Données projet'!$B$10,Paramètres!$A$1:$I$89,5,0)</f>
        <v>236.10599999999991</v>
      </c>
      <c r="AK74" s="14">
        <f t="shared" si="89"/>
        <v>57.600921452083711</v>
      </c>
      <c r="AL74" s="22">
        <f t="shared" si="58"/>
        <v>511.53955486237896</v>
      </c>
      <c r="AM74" s="62">
        <f t="shared" si="59"/>
        <v>804.87288819571222</v>
      </c>
      <c r="AN74" s="62">
        <f ca="1">AVERAGE(OFFSET($AM$3,0,0,'Données projet'!$E$10+1,1))-AVERAGE(OFFSET($H$3,0,0,'Données projet'!$E$10+1,1))</f>
        <v>273.94989417245978</v>
      </c>
      <c r="AO74" s="62">
        <f t="shared" si="90"/>
        <v>244.91615281423549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</v>
      </c>
      <c r="BD74" s="13">
        <f>IF('Données projet'!$A$88&gt;35,BD73+BC74-BL73,IF(A74&lt;'Données projet'!$A$88,$BA$205^A74,IF(A74='Données projet'!$A$88,'Données projet'!$B$88,BD73+BC74-BL73)))</f>
        <v>213.99999999999994</v>
      </c>
      <c r="BE74" s="14">
        <f>BD74*VLOOKUP('Données projet'!$B$11,Paramètres!$A$1:$I$89,3,0)*VLOOKUP('Données projet'!$B$11,Paramètres!$A$1:$I$89,5,0)</f>
        <v>186.95039999999997</v>
      </c>
      <c r="BF74" s="14">
        <f t="shared" si="91"/>
        <v>46.865095976617653</v>
      </c>
      <c r="BG74" s="22">
        <f t="shared" si="61"/>
        <v>407.22865549260905</v>
      </c>
      <c r="BH74" s="62">
        <f t="shared" si="62"/>
        <v>700.56198882594231</v>
      </c>
      <c r="BI74" s="62">
        <f ca="1">AVERAGE(OFFSET($BH$3,0,0,'Données projet'!$E$11+1,1))-AVERAGE(OFFSET($H$3,0,0,'Données projet'!$E$11+1,1))</f>
        <v>247.81726778334098</v>
      </c>
      <c r="BJ74" s="62">
        <f t="shared" si="92"/>
        <v>278.55937893537259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1.3072418735446512E-5</v>
      </c>
      <c r="BS74" s="24">
        <f t="shared" si="63"/>
        <v>1.3072418735446512E-5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156.11420010556668</v>
      </c>
      <c r="CE74" s="62">
        <f t="shared" si="94"/>
        <v>318.01952986326501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43.866416325995644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1.7936683424911356E-4</v>
      </c>
      <c r="CN74" s="24">
        <f t="shared" si="66"/>
        <v>43.86659569282989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1.1368683772161603E-13</v>
      </c>
      <c r="CU74" s="18">
        <f>CT74*VLOOKUP('Données projet'!$B$13,Paramètres!$A$1:$I$89,3,0)*VLOOKUP('Données projet'!$B$13,Paramètres!$A$1:$I$89,5,0)</f>
        <v>6.3550942286383367E-14</v>
      </c>
      <c r="CV74" s="14">
        <f t="shared" si="95"/>
        <v>1.0064464192543978E-12</v>
      </c>
      <c r="CW74" s="22">
        <f t="shared" si="67"/>
        <v>1.8635787380168604E-12</v>
      </c>
      <c r="CX74" s="62">
        <f t="shared" si="68"/>
        <v>293.33333333333519</v>
      </c>
      <c r="CY74" s="62">
        <f ca="1">AVERAGE(OFFSET($CX$3,0,0,'Données projet'!$E$13+1,1))-AVERAGE(OFFSET($H$3,0,0,'Données projet'!$E$13+1,1))</f>
        <v>321.56347025977988</v>
      </c>
      <c r="CZ74" s="62">
        <f t="shared" si="96"/>
        <v>285.79375360040717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8.8191326869028988</v>
      </c>
      <c r="DG74" s="23">
        <f>EXP(-LN(2)/25)*DG73+(1-EXP(-LN(2)/25))/(LN(2)/25)*Calculateur!DB74*Calculateur!DD74*VLOOKUP('Données projet'!$B$13,Paramètres!$A$1:$I$89,3,0)*0.475*44/12</f>
        <v>3.6351273966124222</v>
      </c>
      <c r="DH74" s="23">
        <f>EXP(-LN(2)/2)*DH73+(1-EXP(-LN(2)/2))/(LN(2)/2)*DB74*DE74*VLOOKUP('Données projet'!$B$13,Paramètres!$A$1:$I$89,3,0)*0.475*44/12</f>
        <v>4.8157262676398775E-6</v>
      </c>
      <c r="DI74" s="24">
        <f t="shared" si="69"/>
        <v>12.454264899241588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12.875</v>
      </c>
      <c r="DO74" s="13">
        <f>IF('Données projet'!$A$166&gt;35,DO73+DN74-DW73,IF(A74&lt;'Données projet'!$A$166,$DL$205^A74,IF(A74='Données projet'!$A$166,'Données projet'!$B$166,DO73+DN74-DW73)))</f>
        <v>482.37500000000006</v>
      </c>
      <c r="DP74" s="18">
        <f>DO74*VLOOKUP('Données projet'!$B$14,Paramètres!$A$1:$I$89,3,0)*VLOOKUP('Données projet'!$B$14,Paramètres!$A$1:$I$89,5,0)</f>
        <v>288.46025000000009</v>
      </c>
      <c r="DQ74" s="14">
        <f t="shared" si="97"/>
        <v>68.75179365327233</v>
      </c>
      <c r="DR74" s="22">
        <f t="shared" si="70"/>
        <v>622.14430936278279</v>
      </c>
      <c r="DS74" s="62">
        <f t="shared" si="71"/>
        <v>915.47764269611616</v>
      </c>
      <c r="DT74" s="62">
        <f ca="1">AVERAGE(OFFSET($DS$3,0,0,'Données projet'!$E$14+1,1))-AVERAGE(OFFSET($H$3,0,0,'Données projet'!$E$14+1,1))</f>
        <v>287.69656598881124</v>
      </c>
      <c r="DU74" s="62">
        <f t="shared" si="98"/>
        <v>221.9773436301067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1.7352612874266402E-5</v>
      </c>
      <c r="ED74" s="24">
        <f t="shared" si="72"/>
        <v>1.7352612874266402E-5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344.36303707479811</v>
      </c>
      <c r="T75" s="62">
        <f t="shared" si="88"/>
        <v>207.92972431357452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523</v>
      </c>
      <c r="AG75" s="13">
        <f>VLOOKUP(A75,'Données projet'!$A$61:$I$81,9,0)</f>
        <v>18.5</v>
      </c>
      <c r="AH75" s="13">
        <f t="array" ref="AH75">INDEX(AG:AG,MIN(IF(ISNUMBER(AG75:AG271),ROW(AG75:AG271),"")))</f>
        <v>18.5</v>
      </c>
      <c r="AI75" s="14">
        <f>IF('Données projet'!$A$62&gt;35,AI74+AH75-AQ74,IF(A75&lt;'Données projet'!$A$62,$AF$205^A75,IF(A75='Données projet'!$A$62,'Données projet'!$B$62,AI74+AH75-AQ74)))</f>
        <v>522.99999999999977</v>
      </c>
      <c r="AJ75" s="14">
        <f>AI75*VLOOKUP('Données projet'!$B$10,Paramètres!$A$1:$I$89,3,0)*VLOOKUP('Données projet'!$B$10,Paramètres!$A$1:$I$89,5,0)</f>
        <v>244.7639999999999</v>
      </c>
      <c r="AK75" s="14">
        <f t="shared" si="89"/>
        <v>59.463352796691375</v>
      </c>
      <c r="AL75" s="22">
        <f t="shared" si="58"/>
        <v>529.86263945423718</v>
      </c>
      <c r="AM75" s="62">
        <f t="shared" si="59"/>
        <v>823.19597278757055</v>
      </c>
      <c r="AN75" s="62">
        <f ca="1">AVERAGE(OFFSET($AM$3,0,0,'Données projet'!$E$10+1,1))-AVERAGE(OFFSET($H$3,0,0,'Données projet'!$E$10+1,1))</f>
        <v>273.94989417245978</v>
      </c>
      <c r="AO75" s="62">
        <f t="shared" si="90"/>
        <v>244.91615281423549</v>
      </c>
      <c r="AP75" s="16">
        <f>IF(ISNA(VLOOKUP(A75,'Données projet'!$A$61:$I$81,3,0)),0,VLOOKUP(A75,'Données projet'!$A$61:$I$81,3,0))</f>
        <v>6</v>
      </c>
      <c r="AQ75" s="16">
        <f>IF(ISNA(VLOOKUP(A75,'Données projet'!$A$61:$I$81,4,0)),0,VLOOKUP(A75,'Données projet'!$A$61:$I$81,4,0))</f>
        <v>87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</v>
      </c>
      <c r="BD75" s="13">
        <f>IF('Données projet'!$A$88&gt;35,BD74+BC75-BL74,IF(A75&lt;'Données projet'!$A$88,$BA$205^A75,IF(A75='Données projet'!$A$88,'Données projet'!$B$88,BD74+BC75-BL74)))</f>
        <v>217.99999999999994</v>
      </c>
      <c r="BE75" s="14">
        <f>BD75*VLOOKUP('Données projet'!$B$11,Paramètres!$A$1:$I$89,3,0)*VLOOKUP('Données projet'!$B$11,Paramètres!$A$1:$I$89,5,0)</f>
        <v>190.44479999999999</v>
      </c>
      <c r="BF75" s="14">
        <f t="shared" si="91"/>
        <v>47.638278428909231</v>
      </c>
      <c r="BG75" s="22">
        <f t="shared" si="61"/>
        <v>414.66136159701688</v>
      </c>
      <c r="BH75" s="62">
        <f t="shared" si="62"/>
        <v>707.99469493035019</v>
      </c>
      <c r="BI75" s="62">
        <f ca="1">AVERAGE(OFFSET($BH$3,0,0,'Données projet'!$E$11+1,1))-AVERAGE(OFFSET($H$3,0,0,'Données projet'!$E$11+1,1))</f>
        <v>247.81726778334098</v>
      </c>
      <c r="BJ75" s="62">
        <f t="shared" si="92"/>
        <v>278.55937893537259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9.2435959343443009E-6</v>
      </c>
      <c r="BS75" s="24">
        <f t="shared" si="63"/>
        <v>9.2435959343443009E-6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156.11420010556668</v>
      </c>
      <c r="CE75" s="62">
        <f t="shared" si="94"/>
        <v>318.01952986326501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43.006222657714908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1.2683150481751168E-4</v>
      </c>
      <c r="CN75" s="24">
        <f t="shared" si="66"/>
        <v>43.006349489219723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1.1368683772161603E-13</v>
      </c>
      <c r="CU75" s="18">
        <f>CT75*VLOOKUP('Données projet'!$B$13,Paramètres!$A$1:$I$89,3,0)*VLOOKUP('Données projet'!$B$13,Paramètres!$A$1:$I$89,5,0)</f>
        <v>6.3550942286383367E-14</v>
      </c>
      <c r="CV75" s="14">
        <f t="shared" si="95"/>
        <v>1.0064464192543978E-12</v>
      </c>
      <c r="CW75" s="22">
        <f t="shared" si="67"/>
        <v>1.8635787380168604E-12</v>
      </c>
      <c r="CX75" s="62">
        <f t="shared" si="68"/>
        <v>293.33333333333519</v>
      </c>
      <c r="CY75" s="62">
        <f ca="1">AVERAGE(OFFSET($CX$3,0,0,'Données projet'!$E$13+1,1))-AVERAGE(OFFSET($H$3,0,0,'Données projet'!$E$13+1,1))</f>
        <v>321.56347025977988</v>
      </c>
      <c r="CZ75" s="62">
        <f t="shared" si="96"/>
        <v>285.79375360040717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8.6461948740525258</v>
      </c>
      <c r="DG75" s="23">
        <f>EXP(-LN(2)/25)*DG74+(1-EXP(-LN(2)/25))/(LN(2)/25)*Calculateur!DB75*Calculateur!DD75*VLOOKUP('Données projet'!$B$13,Paramètres!$A$1:$I$89,3,0)*0.475*44/12</f>
        <v>3.535724646789014</v>
      </c>
      <c r="DH75" s="23">
        <f>EXP(-LN(2)/2)*DH74+(1-EXP(-LN(2)/2))/(LN(2)/2)*DB75*DE75*VLOOKUP('Données projet'!$B$13,Paramètres!$A$1:$I$89,3,0)*0.475*44/12</f>
        <v>3.4052327001863401E-6</v>
      </c>
      <c r="DI75" s="24">
        <f t="shared" si="69"/>
        <v>12.18192292607424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12.875</v>
      </c>
      <c r="DO75" s="13">
        <f>IF('Données projet'!$A$166&gt;35,DO74+DN75-DW74,IF(A75&lt;'Données projet'!$A$166,$DL$205^A75,IF(A75='Données projet'!$A$166,'Données projet'!$B$166,DO74+DN75-DW74)))</f>
        <v>495.25000000000006</v>
      </c>
      <c r="DP75" s="18">
        <f>DO75*VLOOKUP('Données projet'!$B$14,Paramètres!$A$1:$I$89,3,0)*VLOOKUP('Données projet'!$B$14,Paramètres!$A$1:$I$89,5,0)</f>
        <v>296.15950000000004</v>
      </c>
      <c r="DQ75" s="14">
        <f t="shared" si="97"/>
        <v>70.370744425720076</v>
      </c>
      <c r="DR75" s="22">
        <f t="shared" si="70"/>
        <v>638.37350904146251</v>
      </c>
      <c r="DS75" s="62">
        <f t="shared" si="71"/>
        <v>931.70684237479577</v>
      </c>
      <c r="DT75" s="62">
        <f ca="1">AVERAGE(OFFSET($DS$3,0,0,'Données projet'!$E$14+1,1))-AVERAGE(OFFSET($H$3,0,0,'Données projet'!$E$14+1,1))</f>
        <v>287.69656598881124</v>
      </c>
      <c r="DU75" s="62">
        <f t="shared" si="98"/>
        <v>221.9773436301067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1.227015023469876E-5</v>
      </c>
      <c r="ED75" s="24">
        <f t="shared" si="72"/>
        <v>1.227015023469876E-5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344.36303707479811</v>
      </c>
      <c r="T76" s="62">
        <f t="shared" si="88"/>
        <v>207.92972431357452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17.166666666666668</v>
      </c>
      <c r="AI76" s="14">
        <f>IF('Données projet'!$A$62&gt;35,AI75+AH76-AQ75,IF(A76&lt;'Données projet'!$A$62,$AF$205^A76,IF(A76='Données projet'!$A$62,'Données projet'!$B$62,AI75+AH76-AQ75)))</f>
        <v>453.1666666666664</v>
      </c>
      <c r="AJ76" s="14">
        <f>AI76*VLOOKUP('Données projet'!$B$10,Paramètres!$A$1:$I$89,3,0)*VLOOKUP('Données projet'!$B$10,Paramètres!$A$1:$I$89,5,0)</f>
        <v>212.08199999999988</v>
      </c>
      <c r="AK76" s="14">
        <f t="shared" si="89"/>
        <v>52.390293521635037</v>
      </c>
      <c r="AL76" s="22">
        <f t="shared" si="58"/>
        <v>460.62257788351417</v>
      </c>
      <c r="AM76" s="62">
        <f t="shared" si="59"/>
        <v>753.95591121684743</v>
      </c>
      <c r="AN76" s="62">
        <f ca="1">AVERAGE(OFFSET($AM$3,0,0,'Données projet'!$E$10+1,1))-AVERAGE(OFFSET($H$3,0,0,'Données projet'!$E$10+1,1))</f>
        <v>273.94989417245978</v>
      </c>
      <c r="AO76" s="62">
        <f t="shared" si="90"/>
        <v>244.91615281423549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</v>
      </c>
      <c r="BD76" s="13">
        <f>IF('Données projet'!$A$88&gt;35,BD75+BC76-BL75,IF(A76&lt;'Données projet'!$A$88,$BA$205^A76,IF(A76='Données projet'!$A$88,'Données projet'!$B$88,BD75+BC76-BL75)))</f>
        <v>221.99999999999994</v>
      </c>
      <c r="BE76" s="14">
        <f>BD76*VLOOKUP('Données projet'!$B$11,Paramètres!$A$1:$I$89,3,0)*VLOOKUP('Données projet'!$B$11,Paramètres!$A$1:$I$89,5,0)</f>
        <v>193.93919999999997</v>
      </c>
      <c r="BF76" s="14">
        <f t="shared" si="91"/>
        <v>48.409811198069342</v>
      </c>
      <c r="BG76" s="22">
        <f t="shared" si="61"/>
        <v>422.091194503304</v>
      </c>
      <c r="BH76" s="62">
        <f t="shared" si="62"/>
        <v>715.42452783663725</v>
      </c>
      <c r="BI76" s="62">
        <f ca="1">AVERAGE(OFFSET($BH$3,0,0,'Données projet'!$E$11+1,1))-AVERAGE(OFFSET($H$3,0,0,'Données projet'!$E$11+1,1))</f>
        <v>247.81726778334098</v>
      </c>
      <c r="BJ76" s="62">
        <f t="shared" si="92"/>
        <v>278.55937893537259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6.536209367723256E-6</v>
      </c>
      <c r="BS76" s="24">
        <f t="shared" si="63"/>
        <v>6.536209367723256E-6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156.11420010556668</v>
      </c>
      <c r="CE76" s="62">
        <f t="shared" si="94"/>
        <v>318.01952986326501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42.162896862602821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8.968341712455678E-5</v>
      </c>
      <c r="CN76" s="24">
        <f t="shared" si="66"/>
        <v>42.162986546019944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1.1368683772161603E-13</v>
      </c>
      <c r="CU76" s="18">
        <f>CT76*VLOOKUP('Données projet'!$B$13,Paramètres!$A$1:$I$89,3,0)*VLOOKUP('Données projet'!$B$13,Paramètres!$A$1:$I$89,5,0)</f>
        <v>6.3550942286383367E-14</v>
      </c>
      <c r="CV76" s="14">
        <f t="shared" si="95"/>
        <v>1.0064464192543978E-12</v>
      </c>
      <c r="CW76" s="22">
        <f t="shared" si="67"/>
        <v>1.8635787380168604E-12</v>
      </c>
      <c r="CX76" s="62">
        <f t="shared" si="68"/>
        <v>293.33333333333519</v>
      </c>
      <c r="CY76" s="62">
        <f ca="1">AVERAGE(OFFSET($CX$3,0,0,'Données projet'!$E$13+1,1))-AVERAGE(OFFSET($H$3,0,0,'Données projet'!$E$13+1,1))</f>
        <v>321.56347025977988</v>
      </c>
      <c r="CZ76" s="62">
        <f t="shared" si="96"/>
        <v>285.79375360040717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8.4766482662304981</v>
      </c>
      <c r="DG76" s="23">
        <f>EXP(-LN(2)/25)*DG75+(1-EXP(-LN(2)/25))/(LN(2)/25)*Calculateur!DB76*Calculateur!DD76*VLOOKUP('Données projet'!$B$13,Paramètres!$A$1:$I$89,3,0)*0.475*44/12</f>
        <v>3.4390400703868904</v>
      </c>
      <c r="DH76" s="23">
        <f>EXP(-LN(2)/2)*DH75+(1-EXP(-LN(2)/2))/(LN(2)/2)*DB76*DE76*VLOOKUP('Données projet'!$B$13,Paramètres!$A$1:$I$89,3,0)*0.475*44/12</f>
        <v>2.4078631338199387E-6</v>
      </c>
      <c r="DI76" s="24">
        <f t="shared" si="69"/>
        <v>11.915690744480523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12.875</v>
      </c>
      <c r="DO76" s="13">
        <f>IF('Données projet'!$A$166&gt;35,DO75+DN76-DW75,IF(A76&lt;'Données projet'!$A$166,$DL$205^A76,IF(A76='Données projet'!$A$166,'Données projet'!$B$166,DO75+DN76-DW75)))</f>
        <v>508.12500000000006</v>
      </c>
      <c r="DP76" s="18">
        <f>DO76*VLOOKUP('Données projet'!$B$14,Paramètres!$A$1:$I$89,3,0)*VLOOKUP('Données projet'!$B$14,Paramètres!$A$1:$I$89,5,0)</f>
        <v>303.85875000000004</v>
      </c>
      <c r="DQ76" s="14">
        <f t="shared" si="97"/>
        <v>71.984802998830631</v>
      </c>
      <c r="DR76" s="22">
        <f t="shared" si="70"/>
        <v>654.59418813963009</v>
      </c>
      <c r="DS76" s="62">
        <f t="shared" si="71"/>
        <v>947.92752147296346</v>
      </c>
      <c r="DT76" s="62">
        <f ca="1">AVERAGE(OFFSET($DS$3,0,0,'Données projet'!$E$14+1,1))-AVERAGE(OFFSET($H$3,0,0,'Données projet'!$E$14+1,1))</f>
        <v>287.69656598881124</v>
      </c>
      <c r="DU76" s="62">
        <f t="shared" si="98"/>
        <v>221.9773436301067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8.6763064371332008E-6</v>
      </c>
      <c r="ED76" s="24">
        <f t="shared" si="72"/>
        <v>8.6763064371332008E-6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344.36303707479811</v>
      </c>
      <c r="T77" s="62">
        <f t="shared" si="88"/>
        <v>207.92972431357452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17.166666666666668</v>
      </c>
      <c r="AI77" s="14">
        <f>IF('Données projet'!$A$62&gt;35,AI76+AH77-AQ76,IF(A77&lt;'Données projet'!$A$62,$AF$205^A77,IF(A77='Données projet'!$A$62,'Données projet'!$B$62,AI76+AH77-AQ76)))</f>
        <v>470.33333333333309</v>
      </c>
      <c r="AJ77" s="14">
        <f>AI77*VLOOKUP('Données projet'!$B$10,Paramètres!$A$1:$I$89,3,0)*VLOOKUP('Données projet'!$B$10,Paramètres!$A$1:$I$89,5,0)</f>
        <v>220.1159999999999</v>
      </c>
      <c r="AK77" s="14">
        <f t="shared" si="89"/>
        <v>54.140096973925921</v>
      </c>
      <c r="AL77" s="22">
        <f t="shared" si="58"/>
        <v>477.66270222958747</v>
      </c>
      <c r="AM77" s="62">
        <f t="shared" si="59"/>
        <v>770.99603556292072</v>
      </c>
      <c r="AN77" s="62">
        <f ca="1">AVERAGE(OFFSET($AM$3,0,0,'Données projet'!$E$10+1,1))-AVERAGE(OFFSET($H$3,0,0,'Données projet'!$E$10+1,1))</f>
        <v>273.94989417245978</v>
      </c>
      <c r="AO77" s="62">
        <f t="shared" si="90"/>
        <v>244.91615281423549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</v>
      </c>
      <c r="BD77" s="13">
        <f>IF('Données projet'!$A$88&gt;35,BD76+BC77-BL76,IF(A77&lt;'Données projet'!$A$88,$BA$205^A77,IF(A77='Données projet'!$A$88,'Données projet'!$B$88,BD76+BC77-BL76)))</f>
        <v>225.99999999999994</v>
      </c>
      <c r="BE77" s="14">
        <f>BD77*VLOOKUP('Données projet'!$B$11,Paramètres!$A$1:$I$89,3,0)*VLOOKUP('Données projet'!$B$11,Paramètres!$A$1:$I$89,5,0)</f>
        <v>197.43359999999996</v>
      </c>
      <c r="BF77" s="14">
        <f t="shared" si="91"/>
        <v>49.179727436837609</v>
      </c>
      <c r="BG77" s="22">
        <f t="shared" si="61"/>
        <v>429.51821195249204</v>
      </c>
      <c r="BH77" s="62">
        <f t="shared" si="62"/>
        <v>722.8515452858253</v>
      </c>
      <c r="BI77" s="62">
        <f ca="1">AVERAGE(OFFSET($BH$3,0,0,'Données projet'!$E$11+1,1))-AVERAGE(OFFSET($H$3,0,0,'Données projet'!$E$11+1,1))</f>
        <v>247.81726778334098</v>
      </c>
      <c r="BJ77" s="62">
        <f t="shared" si="92"/>
        <v>278.55937893537259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4.6217979671721504E-6</v>
      </c>
      <c r="BS77" s="24">
        <f t="shared" si="63"/>
        <v>4.6217979671721504E-6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156.11420010556668</v>
      </c>
      <c r="CE77" s="62">
        <f t="shared" si="94"/>
        <v>318.01952986326501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41.33610817195494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6.3415752408755839E-5</v>
      </c>
      <c r="CN77" s="24">
        <f t="shared" si="66"/>
        <v>41.336171587707348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1.1368683772161603E-13</v>
      </c>
      <c r="CU77" s="18">
        <f>CT77*VLOOKUP('Données projet'!$B$13,Paramètres!$A$1:$I$89,3,0)*VLOOKUP('Données projet'!$B$13,Paramètres!$A$1:$I$89,5,0)</f>
        <v>6.3550942286383367E-14</v>
      </c>
      <c r="CV77" s="14">
        <f t="shared" si="95"/>
        <v>1.0064464192543978E-12</v>
      </c>
      <c r="CW77" s="22">
        <f t="shared" si="67"/>
        <v>1.8635787380168604E-12</v>
      </c>
      <c r="CX77" s="62">
        <f t="shared" si="68"/>
        <v>293.33333333333519</v>
      </c>
      <c r="CY77" s="62">
        <f ca="1">AVERAGE(OFFSET($CX$3,0,0,'Données projet'!$E$13+1,1))-AVERAGE(OFFSET($H$3,0,0,'Données projet'!$E$13+1,1))</f>
        <v>321.56347025977988</v>
      </c>
      <c r="CZ77" s="62">
        <f t="shared" si="96"/>
        <v>285.79375360040717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8.3104263639746403</v>
      </c>
      <c r="DG77" s="23">
        <f>EXP(-LN(2)/25)*DG76+(1-EXP(-LN(2)/25))/(LN(2)/25)*Calculateur!DB77*Calculateur!DD77*VLOOKUP('Données projet'!$B$13,Paramètres!$A$1:$I$89,3,0)*0.475*44/12</f>
        <v>3.3449993388109038</v>
      </c>
      <c r="DH77" s="23">
        <f>EXP(-LN(2)/2)*DH76+(1-EXP(-LN(2)/2))/(LN(2)/2)*DB77*DE77*VLOOKUP('Données projet'!$B$13,Paramètres!$A$1:$I$89,3,0)*0.475*44/12</f>
        <v>1.7026163500931701E-6</v>
      </c>
      <c r="DI77" s="24">
        <f t="shared" si="69"/>
        <v>11.655427405401895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>
        <f>VLOOKUP(A77,'Données projet'!$A$165:$I$185,2,0)</f>
        <v>521</v>
      </c>
      <c r="DM77" s="13">
        <f>VLOOKUP(A77,'Données projet'!$A$165:$I$185,9,0)</f>
        <v>12.875</v>
      </c>
      <c r="DN77" s="13">
        <f t="array" ref="DN77">INDEX(DM:DM,MIN(IF(ISNUMBER(DM77:DM273),ROW(DM77:DM273),"")))</f>
        <v>12.875</v>
      </c>
      <c r="DO77" s="13">
        <f>IF('Données projet'!$A$166&gt;35,DO76+DN77-DW76,IF(A77&lt;'Données projet'!$A$166,$DL$205^A77,IF(A77='Données projet'!$A$166,'Données projet'!$B$166,DO76+DN77-DW76)))</f>
        <v>521</v>
      </c>
      <c r="DP77" s="18">
        <f>DO77*VLOOKUP('Données projet'!$B$14,Paramètres!$A$1:$I$89,3,0)*VLOOKUP('Données projet'!$B$14,Paramètres!$A$1:$I$89,5,0)</f>
        <v>311.55799999999999</v>
      </c>
      <c r="DQ77" s="14">
        <f t="shared" si="97"/>
        <v>73.594107587354372</v>
      </c>
      <c r="DR77" s="22">
        <f t="shared" si="70"/>
        <v>670.80658738130876</v>
      </c>
      <c r="DS77" s="62">
        <f t="shared" si="71"/>
        <v>964.13992071464213</v>
      </c>
      <c r="DT77" s="62">
        <f ca="1">AVERAGE(OFFSET($DS$3,0,0,'Données projet'!$E$14+1,1))-AVERAGE(OFFSET($H$3,0,0,'Données projet'!$E$14+1,1))</f>
        <v>287.69656598881124</v>
      </c>
      <c r="DU77" s="62">
        <f t="shared" si="98"/>
        <v>221.9773436301067</v>
      </c>
      <c r="DV77" s="16">
        <f>IF(ISNA(VLOOKUP(A77,'Données projet'!$A$165:$I$185,3,0)),0,VLOOKUP(A77,'Données projet'!$A$165:$I$185,3,0))</f>
        <v>10</v>
      </c>
      <c r="DW77" s="16">
        <f>IF(ISNA(VLOOKUP(A77,'Données projet'!$A$165:$I$185,4,0)),0,VLOOKUP(A77,'Données projet'!$A$165:$I$185,4,0))</f>
        <v>37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6.1350751173493801E-6</v>
      </c>
      <c r="ED77" s="24">
        <f t="shared" si="72"/>
        <v>6.1350751173493801E-6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344.36303707479811</v>
      </c>
      <c r="T78" s="62">
        <f t="shared" si="88"/>
        <v>207.92972431357452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17.166666666666668</v>
      </c>
      <c r="AI78" s="14">
        <f>IF('Données projet'!$A$62&gt;35,AI77+AH78-AQ77,IF(A78&lt;'Données projet'!$A$62,$AF$205^A78,IF(A78='Données projet'!$A$62,'Données projet'!$B$62,AI77+AH78-AQ77)))</f>
        <v>487.49999999999977</v>
      </c>
      <c r="AJ78" s="14">
        <f>AI78*VLOOKUP('Données projet'!$B$10,Paramètres!$A$1:$I$89,3,0)*VLOOKUP('Données projet'!$B$10,Paramètres!$A$1:$I$89,5,0)</f>
        <v>228.14999999999989</v>
      </c>
      <c r="AK78" s="14">
        <f t="shared" si="89"/>
        <v>55.882480456847652</v>
      </c>
      <c r="AL78" s="22">
        <f t="shared" si="58"/>
        <v>494.68990346234278</v>
      </c>
      <c r="AM78" s="62">
        <f t="shared" si="59"/>
        <v>788.0232367956761</v>
      </c>
      <c r="AN78" s="62">
        <f ca="1">AVERAGE(OFFSET($AM$3,0,0,'Données projet'!$E$10+1,1))-AVERAGE(OFFSET($H$3,0,0,'Données projet'!$E$10+1,1))</f>
        <v>273.94989417245978</v>
      </c>
      <c r="AO78" s="62">
        <f t="shared" si="90"/>
        <v>244.91615281423549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230</v>
      </c>
      <c r="BB78" s="13">
        <f>VLOOKUP(A78,'Données projet'!$A$87:$I$107,9,0)</f>
        <v>4</v>
      </c>
      <c r="BC78" s="13">
        <f t="array" ref="BC78">INDEX(BB:BB,MIN(IF(ISNUMBER(BB78:BB274),ROW(BB78:BB274),"")))</f>
        <v>4</v>
      </c>
      <c r="BD78" s="13">
        <f>IF('Données projet'!$A$88&gt;35,BD77+BC78-BL77,IF(A78&lt;'Données projet'!$A$88,$BA$205^A78,IF(A78='Données projet'!$A$88,'Données projet'!$B$88,BD77+BC78-BL77)))</f>
        <v>229.99999999999994</v>
      </c>
      <c r="BE78" s="14">
        <f>BD78*VLOOKUP('Données projet'!$B$11,Paramètres!$A$1:$I$89,3,0)*VLOOKUP('Données projet'!$B$11,Paramètres!$A$1:$I$89,5,0)</f>
        <v>200.92799999999997</v>
      </c>
      <c r="BF78" s="14">
        <f t="shared" si="91"/>
        <v>49.948059057189042</v>
      </c>
      <c r="BG78" s="22">
        <f t="shared" si="61"/>
        <v>436.94246952460418</v>
      </c>
      <c r="BH78" s="62">
        <f t="shared" si="62"/>
        <v>730.27580285793749</v>
      </c>
      <c r="BI78" s="62">
        <f ca="1">AVERAGE(OFFSET($BH$3,0,0,'Données projet'!$E$11+1,1))-AVERAGE(OFFSET($H$3,0,0,'Données projet'!$E$11+1,1))</f>
        <v>247.81726778334098</v>
      </c>
      <c r="BJ78" s="62">
        <f t="shared" si="92"/>
        <v>278.55937893537259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15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3.268104683861628E-6</v>
      </c>
      <c r="BS78" s="24">
        <f t="shared" si="63"/>
        <v>3.268104683861628E-6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156.11420010556668</v>
      </c>
      <c r="CE78" s="62">
        <f t="shared" si="94"/>
        <v>318.01952986326501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40.525532303239359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4.484170856227839E-5</v>
      </c>
      <c r="CN78" s="24">
        <f t="shared" si="66"/>
        <v>40.525577144947924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1.1368683772161603E-13</v>
      </c>
      <c r="CU78" s="18">
        <f>CT78*VLOOKUP('Données projet'!$B$13,Paramètres!$A$1:$I$89,3,0)*VLOOKUP('Données projet'!$B$13,Paramètres!$A$1:$I$89,5,0)</f>
        <v>6.3550942286383367E-14</v>
      </c>
      <c r="CV78" s="14">
        <f t="shared" si="95"/>
        <v>1.0064464192543978E-12</v>
      </c>
      <c r="CW78" s="22">
        <f t="shared" si="67"/>
        <v>1.8635787380168604E-12</v>
      </c>
      <c r="CX78" s="62">
        <f t="shared" si="68"/>
        <v>293.33333333333519</v>
      </c>
      <c r="CY78" s="62">
        <f ca="1">AVERAGE(OFFSET($CX$3,0,0,'Données projet'!$E$13+1,1))-AVERAGE(OFFSET($H$3,0,0,'Données projet'!$E$13+1,1))</f>
        <v>321.56347025977988</v>
      </c>
      <c r="CZ78" s="62">
        <f t="shared" si="96"/>
        <v>285.79375360040717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8.1474639718366717</v>
      </c>
      <c r="DG78" s="23">
        <f>EXP(-LN(2)/25)*DG77+(1-EXP(-LN(2)/25))/(LN(2)/25)*Calculateur!DB78*Calculateur!DD78*VLOOKUP('Données projet'!$B$13,Paramètres!$A$1:$I$89,3,0)*0.475*44/12</f>
        <v>3.2535301559852496</v>
      </c>
      <c r="DH78" s="23">
        <f>EXP(-LN(2)/2)*DH77+(1-EXP(-LN(2)/2))/(LN(2)/2)*DB78*DE78*VLOOKUP('Données projet'!$B$13,Paramètres!$A$1:$I$89,3,0)*0.475*44/12</f>
        <v>1.2039315669099694E-6</v>
      </c>
      <c r="DI78" s="24">
        <f t="shared" si="69"/>
        <v>11.400995331753489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8.875</v>
      </c>
      <c r="DO78" s="13">
        <f>IF('Données projet'!$A$166&gt;35,DO77+DN78-DW77,IF(A78&lt;'Données projet'!$A$166,$DL$205^A78,IF(A78='Données projet'!$A$166,'Données projet'!$B$166,DO77+DN78-DW77)))</f>
        <v>492.875</v>
      </c>
      <c r="DP78" s="18">
        <f>DO78*VLOOKUP('Données projet'!$B$14,Paramètres!$A$1:$I$89,3,0)*VLOOKUP('Données projet'!$B$14,Paramètres!$A$1:$I$89,5,0)</f>
        <v>294.73925000000003</v>
      </c>
      <c r="DQ78" s="14">
        <f t="shared" si="97"/>
        <v>70.072475236035828</v>
      </c>
      <c r="DR78" s="22">
        <f t="shared" si="70"/>
        <v>635.38042145276233</v>
      </c>
      <c r="DS78" s="62">
        <f t="shared" si="71"/>
        <v>928.71375478609571</v>
      </c>
      <c r="DT78" s="62">
        <f ca="1">AVERAGE(OFFSET($DS$3,0,0,'Données projet'!$E$14+1,1))-AVERAGE(OFFSET($H$3,0,0,'Données projet'!$E$14+1,1))</f>
        <v>287.69656598881124</v>
      </c>
      <c r="DU78" s="62">
        <f t="shared" si="98"/>
        <v>221.9773436301067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4.3381532185666004E-6</v>
      </c>
      <c r="ED78" s="24">
        <f t="shared" si="72"/>
        <v>4.3381532185666004E-6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344.36303707479811</v>
      </c>
      <c r="T79" s="62">
        <f t="shared" si="88"/>
        <v>207.92972431357452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17.166666666666668</v>
      </c>
      <c r="AI79" s="14">
        <f>IF('Données projet'!$A$62&gt;35,AI78+AH79-AQ78,IF(A79&lt;'Données projet'!$A$62,$AF$205^A79,IF(A79='Données projet'!$A$62,'Données projet'!$B$62,AI78+AH79-AQ78)))</f>
        <v>504.66666666666646</v>
      </c>
      <c r="AJ79" s="14">
        <f>AI79*VLOOKUP('Données projet'!$B$10,Paramètres!$A$1:$I$89,3,0)*VLOOKUP('Données projet'!$B$10,Paramètres!$A$1:$I$89,5,0)</f>
        <v>236.18399999999991</v>
      </c>
      <c r="AK79" s="14">
        <f t="shared" si="89"/>
        <v>57.617735193655143</v>
      </c>
      <c r="AL79" s="22">
        <f t="shared" si="58"/>
        <v>511.70468879561594</v>
      </c>
      <c r="AM79" s="62">
        <f t="shared" si="59"/>
        <v>805.03802212894925</v>
      </c>
      <c r="AN79" s="62">
        <f ca="1">AVERAGE(OFFSET($AM$3,0,0,'Données projet'!$E$10+1,1))-AVERAGE(OFFSET($H$3,0,0,'Données projet'!$E$10+1,1))</f>
        <v>273.94989417245978</v>
      </c>
      <c r="AO79" s="62">
        <f t="shared" si="90"/>
        <v>244.91615281423549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3.6</v>
      </c>
      <c r="BD79" s="13">
        <f>IF('Données projet'!$A$88&gt;35,BD78+BC79-BL78,IF(A79&lt;'Données projet'!$A$88,$BA$205^A79,IF(A79='Données projet'!$A$88,'Données projet'!$B$88,BD78+BC79-BL78)))</f>
        <v>218.59999999999994</v>
      </c>
      <c r="BE79" s="14">
        <f>BD79*VLOOKUP('Données projet'!$B$11,Paramètres!$A$1:$I$89,3,0)*VLOOKUP('Données projet'!$B$11,Paramètres!$A$1:$I$89,5,0)</f>
        <v>190.96895999999998</v>
      </c>
      <c r="BF79" s="14">
        <f t="shared" si="91"/>
        <v>47.754112686935557</v>
      </c>
      <c r="BG79" s="22">
        <f t="shared" si="61"/>
        <v>415.77601826307938</v>
      </c>
      <c r="BH79" s="62">
        <f t="shared" si="62"/>
        <v>709.10935159641269</v>
      </c>
      <c r="BI79" s="62">
        <f ca="1">AVERAGE(OFFSET($BH$3,0,0,'Données projet'!$E$11+1,1))-AVERAGE(OFFSET($H$3,0,0,'Données projet'!$E$11+1,1))</f>
        <v>247.81726778334098</v>
      </c>
      <c r="BJ79" s="62">
        <f t="shared" si="92"/>
        <v>278.55937893537259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2.3108989835860752E-6</v>
      </c>
      <c r="BS79" s="24">
        <f t="shared" si="63"/>
        <v>2.3108989835860752E-6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156.11420010556668</v>
      </c>
      <c r="CE79" s="62">
        <f t="shared" si="94"/>
        <v>318.01952986326501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39.73085133290683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3.170787620437792E-5</v>
      </c>
      <c r="CN79" s="24">
        <f t="shared" si="66"/>
        <v>39.730883040783034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1.1368683772161603E-13</v>
      </c>
      <c r="CU79" s="18">
        <f>CT79*VLOOKUP('Données projet'!$B$13,Paramètres!$A$1:$I$89,3,0)*VLOOKUP('Données projet'!$B$13,Paramètres!$A$1:$I$89,5,0)</f>
        <v>6.3550942286383367E-14</v>
      </c>
      <c r="CV79" s="14">
        <f t="shared" si="95"/>
        <v>1.0064464192543978E-12</v>
      </c>
      <c r="CW79" s="22">
        <f t="shared" si="67"/>
        <v>1.8635787380168604E-12</v>
      </c>
      <c r="CX79" s="62">
        <f t="shared" si="68"/>
        <v>293.33333333333519</v>
      </c>
      <c r="CY79" s="62">
        <f ca="1">AVERAGE(OFFSET($CX$3,0,0,'Données projet'!$E$13+1,1))-AVERAGE(OFFSET($H$3,0,0,'Données projet'!$E$13+1,1))</f>
        <v>321.56347025977988</v>
      </c>
      <c r="CZ79" s="62">
        <f t="shared" si="96"/>
        <v>285.79375360040717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7.9876971728112833</v>
      </c>
      <c r="DG79" s="23">
        <f>EXP(-LN(2)/25)*DG78+(1-EXP(-LN(2)/25))/(LN(2)/25)*Calculateur!DB79*Calculateur!DD79*VLOOKUP('Données projet'!$B$13,Paramètres!$A$1:$I$89,3,0)*0.475*44/12</f>
        <v>3.164562202774118</v>
      </c>
      <c r="DH79" s="23">
        <f>EXP(-LN(2)/2)*DH78+(1-EXP(-LN(2)/2))/(LN(2)/2)*DB79*DE79*VLOOKUP('Données projet'!$B$13,Paramètres!$A$1:$I$89,3,0)*0.475*44/12</f>
        <v>8.5130817504658503E-7</v>
      </c>
      <c r="DI79" s="24">
        <f t="shared" si="69"/>
        <v>11.152260226893576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8.875</v>
      </c>
      <c r="DO79" s="13">
        <f>IF('Données projet'!$A$166&gt;35,DO78+DN79-DW78,IF(A79&lt;'Données projet'!$A$166,$DL$205^A79,IF(A79='Données projet'!$A$166,'Données projet'!$B$166,DO78+DN79-DW78)))</f>
        <v>501.75</v>
      </c>
      <c r="DP79" s="18">
        <f>DO79*VLOOKUP('Données projet'!$B$14,Paramètres!$A$1:$I$89,3,0)*VLOOKUP('Données projet'!$B$14,Paramètres!$A$1:$I$89,5,0)</f>
        <v>300.04650000000004</v>
      </c>
      <c r="DQ79" s="14">
        <f t="shared" si="97"/>
        <v>71.186211573839699</v>
      </c>
      <c r="DR79" s="22">
        <f t="shared" si="70"/>
        <v>646.56363932443753</v>
      </c>
      <c r="DS79" s="62">
        <f t="shared" si="71"/>
        <v>939.8969726577709</v>
      </c>
      <c r="DT79" s="62">
        <f ca="1">AVERAGE(OFFSET($DS$3,0,0,'Données projet'!$E$14+1,1))-AVERAGE(OFFSET($H$3,0,0,'Données projet'!$E$14+1,1))</f>
        <v>287.69656598881124</v>
      </c>
      <c r="DU79" s="62">
        <f t="shared" si="98"/>
        <v>221.9773436301067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3.0675375586746901E-6</v>
      </c>
      <c r="ED79" s="24">
        <f t="shared" si="72"/>
        <v>3.0675375586746901E-6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344.36303707479811</v>
      </c>
      <c r="T80" s="62">
        <f t="shared" si="88"/>
        <v>207.92972431357452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17.166666666666668</v>
      </c>
      <c r="AI80" s="14">
        <f>IF('Données projet'!$A$62&gt;35,AI79+AH80-AQ79,IF(A80&lt;'Données projet'!$A$62,$AF$205^A80,IF(A80='Données projet'!$A$62,'Données projet'!$B$62,AI79+AH80-AQ79)))</f>
        <v>521.83333333333314</v>
      </c>
      <c r="AJ80" s="14">
        <f>AI80*VLOOKUP('Données projet'!$B$10,Paramètres!$A$1:$I$89,3,0)*VLOOKUP('Données projet'!$B$10,Paramètres!$A$1:$I$89,5,0)</f>
        <v>244.2179999999999</v>
      </c>
      <c r="AK80" s="14">
        <f t="shared" si="89"/>
        <v>59.346131471271747</v>
      </c>
      <c r="AL80" s="22">
        <f t="shared" si="58"/>
        <v>528.70752897913144</v>
      </c>
      <c r="AM80" s="62">
        <f t="shared" si="59"/>
        <v>822.0408623124647</v>
      </c>
      <c r="AN80" s="62">
        <f ca="1">AVERAGE(OFFSET($AM$3,0,0,'Données projet'!$E$10+1,1))-AVERAGE(OFFSET($H$3,0,0,'Données projet'!$E$10+1,1))</f>
        <v>273.94989417245978</v>
      </c>
      <c r="AO80" s="62">
        <f t="shared" si="90"/>
        <v>244.91615281423549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3.6</v>
      </c>
      <c r="BD80" s="13">
        <f>IF('Données projet'!$A$88&gt;35,BD79+BC80-BL79,IF(A80&lt;'Données projet'!$A$88,$BA$205^A80,IF(A80='Données projet'!$A$88,'Données projet'!$B$88,BD79+BC80-BL79)))</f>
        <v>222.19999999999993</v>
      </c>
      <c r="BE80" s="14">
        <f>BD80*VLOOKUP('Données projet'!$B$11,Paramètres!$A$1:$I$89,3,0)*VLOOKUP('Données projet'!$B$11,Paramètres!$A$1:$I$89,5,0)</f>
        <v>194.11391999999998</v>
      </c>
      <c r="BF80" s="14">
        <f t="shared" si="91"/>
        <v>48.44834513242396</v>
      </c>
      <c r="BG80" s="22">
        <f t="shared" si="61"/>
        <v>422.46261177230502</v>
      </c>
      <c r="BH80" s="62">
        <f t="shared" si="62"/>
        <v>715.79594510563834</v>
      </c>
      <c r="BI80" s="62">
        <f ca="1">AVERAGE(OFFSET($BH$3,0,0,'Données projet'!$E$11+1,1))-AVERAGE(OFFSET($H$3,0,0,'Données projet'!$E$11+1,1))</f>
        <v>247.81726778334098</v>
      </c>
      <c r="BJ80" s="62">
        <f t="shared" si="92"/>
        <v>278.55937893537259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1.634052341930814E-6</v>
      </c>
      <c r="BS80" s="24">
        <f t="shared" si="63"/>
        <v>1.634052341930814E-6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156.11420010556668</v>
      </c>
      <c r="CE80" s="62">
        <f t="shared" si="94"/>
        <v>318.01952986326501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38.951753571694987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2.2420854281139195E-5</v>
      </c>
      <c r="CN80" s="24">
        <f t="shared" si="66"/>
        <v>38.951775992549265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1.1368683772161603E-13</v>
      </c>
      <c r="CU80" s="18">
        <f>CT80*VLOOKUP('Données projet'!$B$13,Paramètres!$A$1:$I$89,3,0)*VLOOKUP('Données projet'!$B$13,Paramètres!$A$1:$I$89,5,0)</f>
        <v>6.3550942286383367E-14</v>
      </c>
      <c r="CV80" s="14">
        <f t="shared" si="95"/>
        <v>1.0064464192543978E-12</v>
      </c>
      <c r="CW80" s="22">
        <f t="shared" si="67"/>
        <v>1.8635787380168604E-12</v>
      </c>
      <c r="CX80" s="62">
        <f t="shared" si="68"/>
        <v>293.33333333333519</v>
      </c>
      <c r="CY80" s="62">
        <f ca="1">AVERAGE(OFFSET($CX$3,0,0,'Données projet'!$E$13+1,1))-AVERAGE(OFFSET($H$3,0,0,'Données projet'!$E$13+1,1))</f>
        <v>321.56347025977988</v>
      </c>
      <c r="CZ80" s="62">
        <f t="shared" si="96"/>
        <v>285.79375360040717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7.8310633032666583</v>
      </c>
      <c r="DG80" s="23">
        <f>EXP(-LN(2)/25)*DG79+(1-EXP(-LN(2)/25))/(LN(2)/25)*Calculateur!DB80*Calculateur!DD80*VLOOKUP('Données projet'!$B$13,Paramètres!$A$1:$I$89,3,0)*0.475*44/12</f>
        <v>3.0780270829221661</v>
      </c>
      <c r="DH80" s="23">
        <f>EXP(-LN(2)/2)*DH79+(1-EXP(-LN(2)/2))/(LN(2)/2)*DB80*DE80*VLOOKUP('Données projet'!$B$13,Paramètres!$A$1:$I$89,3,0)*0.475*44/12</f>
        <v>6.0196578345498469E-7</v>
      </c>
      <c r="DI80" s="24">
        <f t="shared" si="69"/>
        <v>10.909090988154608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8.875</v>
      </c>
      <c r="DO80" s="13">
        <f>IF('Données projet'!$A$166&gt;35,DO79+DN80-DW79,IF(A80&lt;'Données projet'!$A$166,$DL$205^A80,IF(A80='Données projet'!$A$166,'Données projet'!$B$166,DO79+DN80-DW79)))</f>
        <v>510.625</v>
      </c>
      <c r="DP80" s="18">
        <f>DO80*VLOOKUP('Données projet'!$B$14,Paramètres!$A$1:$I$89,3,0)*VLOOKUP('Données projet'!$B$14,Paramètres!$A$1:$I$89,5,0)</f>
        <v>305.35375000000005</v>
      </c>
      <c r="DQ80" s="14">
        <f t="shared" si="97"/>
        <v>72.297657079406008</v>
      </c>
      <c r="DR80" s="22">
        <f t="shared" si="70"/>
        <v>657.74286732996552</v>
      </c>
      <c r="DS80" s="62">
        <f t="shared" si="71"/>
        <v>951.07620066329878</v>
      </c>
      <c r="DT80" s="62">
        <f ca="1">AVERAGE(OFFSET($DS$3,0,0,'Données projet'!$E$14+1,1))-AVERAGE(OFFSET($H$3,0,0,'Données projet'!$E$14+1,1))</f>
        <v>287.69656598881124</v>
      </c>
      <c r="DU80" s="62">
        <f t="shared" si="98"/>
        <v>221.9773436301067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2.1690766092833002E-6</v>
      </c>
      <c r="ED80" s="24">
        <f t="shared" si="72"/>
        <v>2.1690766092833002E-6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344.36303707479811</v>
      </c>
      <c r="T81" s="62">
        <f t="shared" si="88"/>
        <v>207.92972431357452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539</v>
      </c>
      <c r="AG81" s="13">
        <f>VLOOKUP(A81,'Données projet'!$A$61:$I$81,9,0)</f>
        <v>17.166666666666668</v>
      </c>
      <c r="AH81" s="13">
        <f t="array" ref="AH81">INDEX(AG:AG,MIN(IF(ISNUMBER(AG81:AG277),ROW(AG81:AG277),"")))</f>
        <v>17.166666666666668</v>
      </c>
      <c r="AI81" s="14">
        <f>IF('Données projet'!$A$62&gt;35,AI80+AH81-AQ80,IF(A81&lt;'Données projet'!$A$62,$AF$205^A81,IF(A81='Données projet'!$A$62,'Données projet'!$B$62,AI80+AH81-AQ80)))</f>
        <v>538.99999999999977</v>
      </c>
      <c r="AJ81" s="14">
        <f>AI81*VLOOKUP('Données projet'!$B$10,Paramètres!$A$1:$I$89,3,0)*VLOOKUP('Données projet'!$B$10,Paramètres!$A$1:$I$89,5,0)</f>
        <v>252.2519999999999</v>
      </c>
      <c r="AK81" s="14">
        <f t="shared" si="89"/>
        <v>61.067920784150772</v>
      </c>
      <c r="AL81" s="22">
        <f t="shared" si="58"/>
        <v>545.69886203239582</v>
      </c>
      <c r="AM81" s="62">
        <f t="shared" si="59"/>
        <v>839.03219536572919</v>
      </c>
      <c r="AN81" s="62">
        <f ca="1">AVERAGE(OFFSET($AM$3,0,0,'Données projet'!$E$10+1,1))-AVERAGE(OFFSET($H$3,0,0,'Données projet'!$E$10+1,1))</f>
        <v>273.94989417245978</v>
      </c>
      <c r="AO81" s="62">
        <f t="shared" si="90"/>
        <v>244.91615281423549</v>
      </c>
      <c r="AP81" s="16">
        <f>IF(ISNA(VLOOKUP(A81,'Données projet'!$A$61:$I$81,3,0)),0,VLOOKUP(A81,'Données projet'!$A$61:$I$81,3,0))</f>
        <v>7</v>
      </c>
      <c r="AQ81" s="16">
        <f>IF(ISNA(VLOOKUP(A81,'Données projet'!$A$61:$I$81,4,0)),0,VLOOKUP(A81,'Données projet'!$A$61:$I$81,4,0))</f>
        <v>82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3.6</v>
      </c>
      <c r="BD81" s="13">
        <f>IF('Données projet'!$A$88&gt;35,BD80+BC81-BL80,IF(A81&lt;'Données projet'!$A$88,$BA$205^A81,IF(A81='Données projet'!$A$88,'Données projet'!$B$88,BD80+BC81-BL80)))</f>
        <v>225.79999999999993</v>
      </c>
      <c r="BE81" s="14">
        <f>BD81*VLOOKUP('Données projet'!$B$11,Paramètres!$A$1:$I$89,3,0)*VLOOKUP('Données projet'!$B$11,Paramètres!$A$1:$I$89,5,0)</f>
        <v>197.25887999999995</v>
      </c>
      <c r="BF81" s="14">
        <f t="shared" si="91"/>
        <v>49.141269519991567</v>
      </c>
      <c r="BG81" s="22">
        <f t="shared" si="61"/>
        <v>429.14692708065189</v>
      </c>
      <c r="BH81" s="62">
        <f t="shared" si="62"/>
        <v>722.48026041398521</v>
      </c>
      <c r="BI81" s="62">
        <f ca="1">AVERAGE(OFFSET($BH$3,0,0,'Données projet'!$E$11+1,1))-AVERAGE(OFFSET($H$3,0,0,'Données projet'!$E$11+1,1))</f>
        <v>247.81726778334098</v>
      </c>
      <c r="BJ81" s="62">
        <f t="shared" si="92"/>
        <v>278.55937893537259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1.1554494917930376E-6</v>
      </c>
      <c r="BS81" s="24">
        <f t="shared" si="63"/>
        <v>1.1554494917930376E-6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156.11420010556668</v>
      </c>
      <c r="CE81" s="62">
        <f t="shared" si="94"/>
        <v>318.01952986326501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38.187933442377798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1.585393810218896E-5</v>
      </c>
      <c r="CN81" s="24">
        <f t="shared" si="66"/>
        <v>38.1879492963159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1.1368683772161603E-13</v>
      </c>
      <c r="CU81" s="18">
        <f>CT81*VLOOKUP('Données projet'!$B$13,Paramètres!$A$1:$I$89,3,0)*VLOOKUP('Données projet'!$B$13,Paramètres!$A$1:$I$89,5,0)</f>
        <v>6.3550942286383367E-14</v>
      </c>
      <c r="CV81" s="14">
        <f t="shared" si="95"/>
        <v>1.0064464192543978E-12</v>
      </c>
      <c r="CW81" s="22">
        <f t="shared" si="67"/>
        <v>1.8635787380168604E-12</v>
      </c>
      <c r="CX81" s="62">
        <f t="shared" si="68"/>
        <v>293.33333333333519</v>
      </c>
      <c r="CY81" s="62">
        <f ca="1">AVERAGE(OFFSET($CX$3,0,0,'Données projet'!$E$13+1,1))-AVERAGE(OFFSET($H$3,0,0,'Données projet'!$E$13+1,1))</f>
        <v>321.56347025977988</v>
      </c>
      <c r="CZ81" s="62">
        <f t="shared" si="96"/>
        <v>285.79375360040717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7.6775009283665758</v>
      </c>
      <c r="DG81" s="23">
        <f>EXP(-LN(2)/25)*DG80+(1-EXP(-LN(2)/25))/(LN(2)/25)*Calculateur!DB81*Calculateur!DD81*VLOOKUP('Données projet'!$B$13,Paramètres!$A$1:$I$89,3,0)*0.475*44/12</f>
        <v>2.9938582704732499</v>
      </c>
      <c r="DH81" s="23">
        <f>EXP(-LN(2)/2)*DH80+(1-EXP(-LN(2)/2))/(LN(2)/2)*DB81*DE81*VLOOKUP('Données projet'!$B$13,Paramètres!$A$1:$I$89,3,0)*0.475*44/12</f>
        <v>4.2565408752329251E-7</v>
      </c>
      <c r="DI81" s="24">
        <f t="shared" si="69"/>
        <v>10.671359624493913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8.875</v>
      </c>
      <c r="DO81" s="13">
        <f>IF('Données projet'!$A$166&gt;35,DO80+DN81-DW80,IF(A81&lt;'Données projet'!$A$166,$DL$205^A81,IF(A81='Données projet'!$A$166,'Données projet'!$B$166,DO80+DN81-DW80)))</f>
        <v>519.5</v>
      </c>
      <c r="DP81" s="18">
        <f>DO81*VLOOKUP('Données projet'!$B$14,Paramètres!$A$1:$I$89,3,0)*VLOOKUP('Données projet'!$B$14,Paramètres!$A$1:$I$89,5,0)</f>
        <v>310.661</v>
      </c>
      <c r="DQ81" s="14">
        <f t="shared" si="97"/>
        <v>73.406856163089444</v>
      </c>
      <c r="DR81" s="22">
        <f t="shared" si="70"/>
        <v>668.91818281738085</v>
      </c>
      <c r="DS81" s="62">
        <f t="shared" si="71"/>
        <v>962.25151615071422</v>
      </c>
      <c r="DT81" s="62">
        <f ca="1">AVERAGE(OFFSET($DS$3,0,0,'Données projet'!$E$14+1,1))-AVERAGE(OFFSET($H$3,0,0,'Données projet'!$E$14+1,1))</f>
        <v>287.69656598881124</v>
      </c>
      <c r="DU81" s="62">
        <f t="shared" si="98"/>
        <v>221.9773436301067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1.533768779337345E-6</v>
      </c>
      <c r="ED81" s="24">
        <f t="shared" si="72"/>
        <v>1.533768779337345E-6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344.36303707479811</v>
      </c>
      <c r="T82" s="62">
        <f t="shared" si="88"/>
        <v>207.92972431357452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16.166666666666668</v>
      </c>
      <c r="AI82" s="14">
        <f>IF('Données projet'!$A$62&gt;35,AI81+AH82-AQ81,IF(A82&lt;'Données projet'!$A$62,$AF$205^A82,IF(A82='Données projet'!$A$62,'Données projet'!$B$62,AI81+AH82-AQ81)))</f>
        <v>473.1666666666664</v>
      </c>
      <c r="AJ82" s="14">
        <f>AI82*VLOOKUP('Données projet'!$B$10,Paramètres!$A$1:$I$89,3,0)*VLOOKUP('Données projet'!$B$10,Paramètres!$A$1:$I$89,5,0)</f>
        <v>221.44199999999987</v>
      </c>
      <c r="AK82" s="14">
        <f t="shared" si="89"/>
        <v>54.428178028031503</v>
      </c>
      <c r="AL82" s="22">
        <f t="shared" si="58"/>
        <v>480.47389339882125</v>
      </c>
      <c r="AM82" s="62">
        <f t="shared" si="59"/>
        <v>773.8072267321545</v>
      </c>
      <c r="AN82" s="62">
        <f ca="1">AVERAGE(OFFSET($AM$3,0,0,'Données projet'!$E$10+1,1))-AVERAGE(OFFSET($H$3,0,0,'Données projet'!$E$10+1,1))</f>
        <v>273.94989417245978</v>
      </c>
      <c r="AO82" s="62">
        <f t="shared" si="90"/>
        <v>244.91615281423549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3.6</v>
      </c>
      <c r="BD82" s="13">
        <f>IF('Données projet'!$A$88&gt;35,BD81+BC82-BL81,IF(A82&lt;'Données projet'!$A$88,$BA$205^A82,IF(A82='Données projet'!$A$88,'Données projet'!$B$88,BD81+BC82-BL81)))</f>
        <v>229.39999999999992</v>
      </c>
      <c r="BE82" s="14">
        <f>BD82*VLOOKUP('Données projet'!$B$11,Paramètres!$A$1:$I$89,3,0)*VLOOKUP('Données projet'!$B$11,Paramètres!$A$1:$I$89,5,0)</f>
        <v>200.40383999999997</v>
      </c>
      <c r="BF82" s="14">
        <f t="shared" si="91"/>
        <v>49.832909112305636</v>
      </c>
      <c r="BG82" s="22">
        <f t="shared" si="61"/>
        <v>435.82900470393224</v>
      </c>
      <c r="BH82" s="62">
        <f t="shared" si="62"/>
        <v>729.1623380372655</v>
      </c>
      <c r="BI82" s="62">
        <f ca="1">AVERAGE(OFFSET($BH$3,0,0,'Données projet'!$E$11+1,1))-AVERAGE(OFFSET($H$3,0,0,'Données projet'!$E$11+1,1))</f>
        <v>247.81726778334098</v>
      </c>
      <c r="BJ82" s="62">
        <f t="shared" si="92"/>
        <v>278.55937893537259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8.17026170965407E-7</v>
      </c>
      <c r="BS82" s="24">
        <f t="shared" si="63"/>
        <v>8.17026170965407E-7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156.11420010556668</v>
      </c>
      <c r="CE82" s="62">
        <f t="shared" si="94"/>
        <v>318.01952986326501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37.43909135991224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1.1210427140569598E-5</v>
      </c>
      <c r="CN82" s="24">
        <f t="shared" si="66"/>
        <v>37.439102570339379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1.1368683772161603E-13</v>
      </c>
      <c r="CU82" s="18">
        <f>CT82*VLOOKUP('Données projet'!$B$13,Paramètres!$A$1:$I$89,3,0)*VLOOKUP('Données projet'!$B$13,Paramètres!$A$1:$I$89,5,0)</f>
        <v>6.3550942286383367E-14</v>
      </c>
      <c r="CV82" s="14">
        <f t="shared" si="95"/>
        <v>1.0064464192543978E-12</v>
      </c>
      <c r="CW82" s="22">
        <f t="shared" si="67"/>
        <v>1.8635787380168604E-12</v>
      </c>
      <c r="CX82" s="62">
        <f t="shared" si="68"/>
        <v>293.33333333333519</v>
      </c>
      <c r="CY82" s="62">
        <f ca="1">AVERAGE(OFFSET($CX$3,0,0,'Données projet'!$E$13+1,1))-AVERAGE(OFFSET($H$3,0,0,'Données projet'!$E$13+1,1))</f>
        <v>321.56347025977988</v>
      </c>
      <c r="CZ82" s="62">
        <f t="shared" si="96"/>
        <v>285.79375360040717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7.5269498179744838</v>
      </c>
      <c r="DG82" s="23">
        <f>EXP(-LN(2)/25)*DG81+(1-EXP(-LN(2)/25))/(LN(2)/25)*Calculateur!DB82*Calculateur!DD82*VLOOKUP('Données projet'!$B$13,Paramètres!$A$1:$I$89,3,0)*0.475*44/12</f>
        <v>2.9119910586269948</v>
      </c>
      <c r="DH82" s="23">
        <f>EXP(-LN(2)/2)*DH81+(1-EXP(-LN(2)/2))/(LN(2)/2)*DB82*DE82*VLOOKUP('Données projet'!$B$13,Paramètres!$A$1:$I$89,3,0)*0.475*44/12</f>
        <v>3.0098289172749234E-7</v>
      </c>
      <c r="DI82" s="24">
        <f t="shared" si="69"/>
        <v>10.43894117758437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8.875</v>
      </c>
      <c r="DO82" s="13">
        <f>IF('Données projet'!$A$166&gt;35,DO81+DN82-DW81,IF(A82&lt;'Données projet'!$A$166,$DL$205^A82,IF(A82='Données projet'!$A$166,'Données projet'!$B$166,DO81+DN82-DW81)))</f>
        <v>528.375</v>
      </c>
      <c r="DP82" s="18">
        <f>DO82*VLOOKUP('Données projet'!$B$14,Paramètres!$A$1:$I$89,3,0)*VLOOKUP('Données projet'!$B$14,Paramètres!$A$1:$I$89,5,0)</f>
        <v>315.96825000000001</v>
      </c>
      <c r="DQ82" s="14">
        <f t="shared" si="97"/>
        <v>74.513851630905478</v>
      </c>
      <c r="DR82" s="22">
        <f t="shared" si="70"/>
        <v>680.08966034049365</v>
      </c>
      <c r="DS82" s="62">
        <f t="shared" si="71"/>
        <v>973.42299367382702</v>
      </c>
      <c r="DT82" s="62">
        <f ca="1">AVERAGE(OFFSET($DS$3,0,0,'Données projet'!$E$14+1,1))-AVERAGE(OFFSET($H$3,0,0,'Données projet'!$E$14+1,1))</f>
        <v>287.69656598881124</v>
      </c>
      <c r="DU82" s="62">
        <f t="shared" si="98"/>
        <v>221.9773436301067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1.0845383046416501E-6</v>
      </c>
      <c r="ED82" s="24">
        <f t="shared" si="72"/>
        <v>1.0845383046416501E-6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344.36303707479811</v>
      </c>
      <c r="T83" s="62">
        <f t="shared" si="88"/>
        <v>207.92972431357452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16.166666666666668</v>
      </c>
      <c r="AI83" s="14">
        <f>IF('Données projet'!$A$62&gt;35,AI82+AH83-AQ82,IF(A83&lt;'Données projet'!$A$62,$AF$205^A83,IF(A83='Données projet'!$A$62,'Données projet'!$B$62,AI82+AH83-AQ82)))</f>
        <v>489.33333333333309</v>
      </c>
      <c r="AJ83" s="14">
        <f>AI83*VLOOKUP('Données projet'!$B$10,Paramètres!$A$1:$I$89,3,0)*VLOOKUP('Données projet'!$B$10,Paramètres!$A$1:$I$89,5,0)</f>
        <v>229.0079999999999</v>
      </c>
      <c r="AK83" s="14">
        <f t="shared" si="89"/>
        <v>56.068134009566236</v>
      </c>
      <c r="AL83" s="22">
        <f t="shared" si="58"/>
        <v>496.50760006666104</v>
      </c>
      <c r="AM83" s="62">
        <f t="shared" si="59"/>
        <v>789.84093339999436</v>
      </c>
      <c r="AN83" s="62">
        <f ca="1">AVERAGE(OFFSET($AM$3,0,0,'Données projet'!$E$10+1,1))-AVERAGE(OFFSET($H$3,0,0,'Données projet'!$E$10+1,1))</f>
        <v>273.94989417245978</v>
      </c>
      <c r="AO83" s="62">
        <f t="shared" si="90"/>
        <v>244.91615281423549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233</v>
      </c>
      <c r="BB83" s="13">
        <f>VLOOKUP(A83,'Données projet'!$A$87:$I$107,9,0)</f>
        <v>3.6</v>
      </c>
      <c r="BC83" s="13">
        <f t="array" ref="BC83">INDEX(BB:BB,MIN(IF(ISNUMBER(BB83:BB279),ROW(BB83:BB279),"")))</f>
        <v>3.6</v>
      </c>
      <c r="BD83" s="13">
        <f>IF('Données projet'!$A$88&gt;35,BD82+BC83-BL82,IF(A83&lt;'Données projet'!$A$88,$BA$205^A83,IF(A83='Données projet'!$A$88,'Données projet'!$B$88,BD82+BC83-BL82)))</f>
        <v>232.99999999999991</v>
      </c>
      <c r="BE83" s="14">
        <f>BD83*VLOOKUP('Données projet'!$B$11,Paramètres!$A$1:$I$89,3,0)*VLOOKUP('Données projet'!$B$11,Paramètres!$A$1:$I$89,5,0)</f>
        <v>203.54879999999994</v>
      </c>
      <c r="BF83" s="14">
        <f t="shared" si="91"/>
        <v>50.523286400023487</v>
      </c>
      <c r="BG83" s="22">
        <f t="shared" si="61"/>
        <v>442.5088838133741</v>
      </c>
      <c r="BH83" s="62">
        <f t="shared" si="62"/>
        <v>735.84221714670741</v>
      </c>
      <c r="BI83" s="62">
        <f ca="1">AVERAGE(OFFSET($BH$3,0,0,'Données projet'!$E$11+1,1))-AVERAGE(OFFSET($H$3,0,0,'Données projet'!$E$11+1,1))</f>
        <v>247.81726778334098</v>
      </c>
      <c r="BJ83" s="62">
        <f t="shared" si="92"/>
        <v>278.55937893537259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13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5.777247458965188E-7</v>
      </c>
      <c r="BS83" s="24">
        <f t="shared" si="63"/>
        <v>5.777247458965188E-7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156.11420010556668</v>
      </c>
      <c r="CE83" s="62">
        <f t="shared" si="94"/>
        <v>318.01952986326501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36.70493361393526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7.9269690510944799E-6</v>
      </c>
      <c r="CN83" s="24">
        <f t="shared" si="66"/>
        <v>36.704941540904315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1.1368683772161603E-13</v>
      </c>
      <c r="CU83" s="18">
        <f>CT83*VLOOKUP('Données projet'!$B$13,Paramètres!$A$1:$I$89,3,0)*VLOOKUP('Données projet'!$B$13,Paramètres!$A$1:$I$89,5,0)</f>
        <v>6.3550942286383367E-14</v>
      </c>
      <c r="CV83" s="14">
        <f t="shared" si="95"/>
        <v>1.0064464192543978E-12</v>
      </c>
      <c r="CW83" s="22">
        <f t="shared" si="67"/>
        <v>1.8635787380168604E-12</v>
      </c>
      <c r="CX83" s="62">
        <f t="shared" si="68"/>
        <v>293.33333333333519</v>
      </c>
      <c r="CY83" s="62">
        <f ca="1">AVERAGE(OFFSET($CX$3,0,0,'Données projet'!$E$13+1,1))-AVERAGE(OFFSET($H$3,0,0,'Données projet'!$E$13+1,1))</f>
        <v>321.56347025977988</v>
      </c>
      <c r="CZ83" s="62">
        <f t="shared" si="96"/>
        <v>285.79375360040717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7.3793509230300707</v>
      </c>
      <c r="DG83" s="23">
        <f>EXP(-LN(2)/25)*DG82+(1-EXP(-LN(2)/25))/(LN(2)/25)*Calculateur!DB83*Calculateur!DD83*VLOOKUP('Données projet'!$B$13,Paramètres!$A$1:$I$89,3,0)*0.475*44/12</f>
        <v>2.8323625099938852</v>
      </c>
      <c r="DH83" s="23">
        <f>EXP(-LN(2)/2)*DH82+(1-EXP(-LN(2)/2))/(LN(2)/2)*DB83*DE83*VLOOKUP('Données projet'!$B$13,Paramètres!$A$1:$I$89,3,0)*0.475*44/12</f>
        <v>2.1282704376164626E-7</v>
      </c>
      <c r="DI83" s="24">
        <f t="shared" si="69"/>
        <v>10.211713645850999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8.875</v>
      </c>
      <c r="DO83" s="13">
        <f>IF('Données projet'!$A$166&gt;35,DO82+DN83-DW82,IF(A83&lt;'Données projet'!$A$166,$DL$205^A83,IF(A83='Données projet'!$A$166,'Données projet'!$B$166,DO82+DN83-DW82)))</f>
        <v>537.25</v>
      </c>
      <c r="DP83" s="18">
        <f>DO83*VLOOKUP('Données projet'!$B$14,Paramètres!$A$1:$I$89,3,0)*VLOOKUP('Données projet'!$B$14,Paramètres!$A$1:$I$89,5,0)</f>
        <v>321.27550000000002</v>
      </c>
      <c r="DQ83" s="14">
        <f t="shared" si="97"/>
        <v>75.618684768443416</v>
      </c>
      <c r="DR83" s="22">
        <f t="shared" si="70"/>
        <v>691.25737180503893</v>
      </c>
      <c r="DS83" s="62">
        <f t="shared" si="71"/>
        <v>984.59070513837219</v>
      </c>
      <c r="DT83" s="62">
        <f ca="1">AVERAGE(OFFSET($DS$3,0,0,'Données projet'!$E$14+1,1))-AVERAGE(OFFSET($H$3,0,0,'Données projet'!$E$14+1,1))</f>
        <v>287.69656598881124</v>
      </c>
      <c r="DU83" s="62">
        <f t="shared" si="98"/>
        <v>221.9773436301067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7.6688438966867251E-7</v>
      </c>
      <c r="ED83" s="24">
        <f t="shared" si="72"/>
        <v>7.6688438966867251E-7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344.36303707479811</v>
      </c>
      <c r="T84" s="62">
        <f t="shared" si="88"/>
        <v>207.92972431357452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16.166666666666668</v>
      </c>
      <c r="AI84" s="14">
        <f>IF('Données projet'!$A$62&gt;35,AI83+AH84-AQ83,IF(A84&lt;'Données projet'!$A$62,$AF$205^A84,IF(A84='Données projet'!$A$62,'Données projet'!$B$62,AI83+AH84-AQ83)))</f>
        <v>505.49999999999977</v>
      </c>
      <c r="AJ84" s="14">
        <f>AI84*VLOOKUP('Données projet'!$B$10,Paramètres!$A$1:$I$89,3,0)*VLOOKUP('Données projet'!$B$10,Paramètres!$A$1:$I$89,5,0)</f>
        <v>236.57399999999987</v>
      </c>
      <c r="AK84" s="14">
        <f t="shared" si="89"/>
        <v>57.701794211350432</v>
      </c>
      <c r="AL84" s="22">
        <f t="shared" si="58"/>
        <v>512.53034158476851</v>
      </c>
      <c r="AM84" s="62">
        <f t="shared" si="59"/>
        <v>805.86367491810188</v>
      </c>
      <c r="AN84" s="62">
        <f ca="1">AVERAGE(OFFSET($AM$3,0,0,'Données projet'!$E$10+1,1))-AVERAGE(OFFSET($H$3,0,0,'Données projet'!$E$10+1,1))</f>
        <v>273.94989417245978</v>
      </c>
      <c r="AO84" s="62">
        <f t="shared" si="90"/>
        <v>244.91615281423549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3</v>
      </c>
      <c r="BD84" s="13">
        <f>IF('Données projet'!$A$88&gt;35,BD83+BC84-BL83,IF(A84&lt;'Données projet'!$A$88,$BA$205^A84,IF(A84='Données projet'!$A$88,'Données projet'!$B$88,BD83+BC84-BL83)))</f>
        <v>222.99999999999991</v>
      </c>
      <c r="BE84" s="14">
        <f>BD84*VLOOKUP('Données projet'!$B$11,Paramètres!$A$1:$I$89,3,0)*VLOOKUP('Données projet'!$B$11,Paramètres!$A$1:$I$89,5,0)</f>
        <v>194.81279999999995</v>
      </c>
      <c r="BF84" s="14">
        <f t="shared" si="91"/>
        <v>48.602440540253859</v>
      </c>
      <c r="BG84" s="22">
        <f t="shared" si="61"/>
        <v>423.9482106076087</v>
      </c>
      <c r="BH84" s="62">
        <f t="shared" si="62"/>
        <v>717.28154394094202</v>
      </c>
      <c r="BI84" s="62">
        <f ca="1">AVERAGE(OFFSET($BH$3,0,0,'Données projet'!$E$11+1,1))-AVERAGE(OFFSET($H$3,0,0,'Données projet'!$E$11+1,1))</f>
        <v>247.81726778334098</v>
      </c>
      <c r="BJ84" s="62">
        <f t="shared" si="92"/>
        <v>278.55937893537259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4.085130854827035E-7</v>
      </c>
      <c r="BS84" s="24">
        <f t="shared" si="63"/>
        <v>4.085130854827035E-7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156.11420010556668</v>
      </c>
      <c r="CE84" s="62">
        <f t="shared" si="94"/>
        <v>318.01952986326501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35.985172253564883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5.6052135702847988E-6</v>
      </c>
      <c r="CN84" s="24">
        <f t="shared" si="66"/>
        <v>35.985177858778457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6.3550942286383367E-14</v>
      </c>
      <c r="CV84" s="14">
        <f t="shared" si="95"/>
        <v>1.0064464192543978E-12</v>
      </c>
      <c r="CW84" s="22">
        <f t="shared" si="67"/>
        <v>1.8635787380168604E-12</v>
      </c>
      <c r="CX84" s="62">
        <f t="shared" si="68"/>
        <v>293.33333333333519</v>
      </c>
      <c r="CY84" s="62">
        <f ca="1">AVERAGE(OFFSET($CX$3,0,0,'Données projet'!$E$13+1,1))-AVERAGE(OFFSET($H$3,0,0,'Données projet'!$E$13+1,1))</f>
        <v>321.56347025977988</v>
      </c>
      <c r="CZ84" s="62">
        <f t="shared" si="96"/>
        <v>285.79375360040717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7.2346463523890812</v>
      </c>
      <c r="DG84" s="23">
        <f>EXP(-LN(2)/25)*DG83+(1-EXP(-LN(2)/25))/(LN(2)/25)*Calculateur!DB84*Calculateur!DD84*VLOOKUP('Données projet'!$B$13,Paramètres!$A$1:$I$89,3,0)*0.475*44/12</f>
        <v>2.7549114082106314</v>
      </c>
      <c r="DH84" s="23">
        <f>EXP(-LN(2)/2)*DH83+(1-EXP(-LN(2)/2))/(LN(2)/2)*DB84*DE84*VLOOKUP('Données projet'!$B$13,Paramètres!$A$1:$I$89,3,0)*0.475*44/12</f>
        <v>1.5049144586374617E-7</v>
      </c>
      <c r="DI84" s="24">
        <f t="shared" si="69"/>
        <v>9.9895579110911576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8.875</v>
      </c>
      <c r="DO84" s="13">
        <f>IF('Données projet'!$A$166&gt;35,DO83+DN84-DW83,IF(A84&lt;'Données projet'!$A$166,$DL$205^A84,IF(A84='Données projet'!$A$166,'Données projet'!$B$166,DO83+DN84-DW83)))</f>
        <v>546.125</v>
      </c>
      <c r="DP84" s="18">
        <f>DO84*VLOOKUP('Données projet'!$B$14,Paramètres!$A$1:$I$89,3,0)*VLOOKUP('Données projet'!$B$14,Paramètres!$A$1:$I$89,5,0)</f>
        <v>326.58275000000003</v>
      </c>
      <c r="DQ84" s="14">
        <f t="shared" si="97"/>
        <v>76.72139541907876</v>
      </c>
      <c r="DR84" s="22">
        <f t="shared" si="70"/>
        <v>702.42138660489547</v>
      </c>
      <c r="DS84" s="62">
        <f t="shared" si="71"/>
        <v>995.75471993822885</v>
      </c>
      <c r="DT84" s="62">
        <f ca="1">AVERAGE(OFFSET($DS$3,0,0,'Données projet'!$E$14+1,1))-AVERAGE(OFFSET($H$3,0,0,'Données projet'!$E$14+1,1))</f>
        <v>287.69656598881124</v>
      </c>
      <c r="DU84" s="62">
        <f t="shared" si="98"/>
        <v>221.9773436301067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5.4226915232082505E-7</v>
      </c>
      <c r="ED84" s="24">
        <f t="shared" si="72"/>
        <v>5.4226915232082505E-7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344.36303707479811</v>
      </c>
      <c r="T85" s="62">
        <f t="shared" si="88"/>
        <v>207.92972431357452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16.166666666666668</v>
      </c>
      <c r="AI85" s="14">
        <f>IF('Données projet'!$A$62&gt;35,AI84+AH85-AQ84,IF(A85&lt;'Données projet'!$A$62,$AF$205^A85,IF(A85='Données projet'!$A$62,'Données projet'!$B$62,AI84+AH85-AQ84)))</f>
        <v>521.6666666666664</v>
      </c>
      <c r="AJ85" s="14">
        <f>AI85*VLOOKUP('Données projet'!$B$10,Paramètres!$A$1:$I$89,3,0)*VLOOKUP('Données projet'!$B$10,Paramètres!$A$1:$I$89,5,0)</f>
        <v>244.13999999999987</v>
      </c>
      <c r="AK85" s="14">
        <f t="shared" si="89"/>
        <v>59.329383078866051</v>
      </c>
      <c r="AL85" s="22">
        <f t="shared" si="58"/>
        <v>528.5425088623582</v>
      </c>
      <c r="AM85" s="62">
        <f t="shared" si="59"/>
        <v>821.87584219569158</v>
      </c>
      <c r="AN85" s="62">
        <f ca="1">AVERAGE(OFFSET($AM$3,0,0,'Données projet'!$E$10+1,1))-AVERAGE(OFFSET($H$3,0,0,'Données projet'!$E$10+1,1))</f>
        <v>273.94989417245978</v>
      </c>
      <c r="AO85" s="62">
        <f t="shared" si="90"/>
        <v>244.91615281423549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3</v>
      </c>
      <c r="BD85" s="13">
        <f>IF('Données projet'!$A$88&gt;35,BD84+BC85-BL84,IF(A85&lt;'Données projet'!$A$88,$BA$205^A85,IF(A85='Données projet'!$A$88,'Données projet'!$B$88,BD84+BC85-BL84)))</f>
        <v>225.99999999999991</v>
      </c>
      <c r="BE85" s="14">
        <f>BD85*VLOOKUP('Données projet'!$B$11,Paramètres!$A$1:$I$89,3,0)*VLOOKUP('Données projet'!$B$11,Paramètres!$A$1:$I$89,5,0)</f>
        <v>197.43359999999996</v>
      </c>
      <c r="BF85" s="14">
        <f t="shared" si="91"/>
        <v>49.179727436837609</v>
      </c>
      <c r="BG85" s="22">
        <f t="shared" si="61"/>
        <v>429.51821195249204</v>
      </c>
      <c r="BH85" s="62">
        <f t="shared" si="62"/>
        <v>722.8515452858253</v>
      </c>
      <c r="BI85" s="62">
        <f ca="1">AVERAGE(OFFSET($BH$3,0,0,'Données projet'!$E$11+1,1))-AVERAGE(OFFSET($H$3,0,0,'Données projet'!$E$11+1,1))</f>
        <v>247.81726778334098</v>
      </c>
      <c r="BJ85" s="62">
        <f t="shared" si="92"/>
        <v>278.55937893537259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2.888623729482594E-7</v>
      </c>
      <c r="BS85" s="24">
        <f t="shared" si="63"/>
        <v>2.888623729482594E-7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156.11420010556668</v>
      </c>
      <c r="CE85" s="62">
        <f t="shared" si="94"/>
        <v>318.01952986326501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35.279524974460287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3.96348452554724E-6</v>
      </c>
      <c r="CN85" s="24">
        <f t="shared" si="66"/>
        <v>35.279528937944811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6.3550942286383367E-14</v>
      </c>
      <c r="CV85" s="14">
        <f t="shared" si="95"/>
        <v>1.0064464192543978E-12</v>
      </c>
      <c r="CW85" s="22">
        <f t="shared" si="67"/>
        <v>1.8635787380168604E-12</v>
      </c>
      <c r="CX85" s="62">
        <f t="shared" si="68"/>
        <v>293.33333333333519</v>
      </c>
      <c r="CY85" s="62">
        <f ca="1">AVERAGE(OFFSET($CX$3,0,0,'Données projet'!$E$13+1,1))-AVERAGE(OFFSET($H$3,0,0,'Données projet'!$E$13+1,1))</f>
        <v>321.56347025977988</v>
      </c>
      <c r="CZ85" s="62">
        <f t="shared" si="96"/>
        <v>285.79375360040717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7.0927793501172882</v>
      </c>
      <c r="DG85" s="23">
        <f>EXP(-LN(2)/25)*DG84+(1-EXP(-LN(2)/25))/(LN(2)/25)*Calculateur!DB85*Calculateur!DD85*VLOOKUP('Données projet'!$B$13,Paramètres!$A$1:$I$89,3,0)*0.475*44/12</f>
        <v>2.679578210878617</v>
      </c>
      <c r="DH85" s="23">
        <f>EXP(-LN(2)/2)*DH84+(1-EXP(-LN(2)/2))/(LN(2)/2)*DB85*DE85*VLOOKUP('Données projet'!$B$13,Paramètres!$A$1:$I$89,3,0)*0.475*44/12</f>
        <v>1.0641352188082313E-7</v>
      </c>
      <c r="DI85" s="24">
        <f t="shared" si="69"/>
        <v>9.7723576674094268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>
        <f>VLOOKUP(A85,'Données projet'!$A$165:$I$185,2,0)</f>
        <v>555</v>
      </c>
      <c r="DM85" s="13">
        <f>VLOOKUP(A85,'Données projet'!$A$165:$I$185,9,0)</f>
        <v>8.875</v>
      </c>
      <c r="DN85" s="13">
        <f t="array" ref="DN85">INDEX(DM:DM,MIN(IF(ISNUMBER(DM85:DM281),ROW(DM85:DM281),"")))</f>
        <v>8.875</v>
      </c>
      <c r="DO85" s="13">
        <f>IF('Données projet'!$A$166&gt;35,DO84+DN85-DW84,IF(A85&lt;'Données projet'!$A$166,$DL$205^A85,IF(A85='Données projet'!$A$166,'Données projet'!$B$166,DO84+DN85-DW84)))</f>
        <v>555</v>
      </c>
      <c r="DP85" s="18">
        <f>DO85*VLOOKUP('Données projet'!$B$14,Paramètres!$A$1:$I$89,3,0)*VLOOKUP('Données projet'!$B$14,Paramètres!$A$1:$I$89,5,0)</f>
        <v>331.89000000000004</v>
      </c>
      <c r="DQ85" s="14">
        <f t="shared" si="97"/>
        <v>77.822022056956186</v>
      </c>
      <c r="DR85" s="22">
        <f t="shared" si="70"/>
        <v>713.58177174919865</v>
      </c>
      <c r="DS85" s="62">
        <f t="shared" si="71"/>
        <v>1006.9151050825319</v>
      </c>
      <c r="DT85" s="62">
        <f ca="1">AVERAGE(OFFSET($DS$3,0,0,'Données projet'!$E$14+1,1))-AVERAGE(OFFSET($H$3,0,0,'Données projet'!$E$14+1,1))</f>
        <v>287.69656598881124</v>
      </c>
      <c r="DU85" s="62">
        <f t="shared" si="98"/>
        <v>221.9773436301067</v>
      </c>
      <c r="DV85" s="16">
        <f>IF(ISNA(VLOOKUP(A85,'Données projet'!$A$165:$I$185,3,0)),0,VLOOKUP(A85,'Données projet'!$A$165:$I$185,3,0))</f>
        <v>11</v>
      </c>
      <c r="DW85" s="16">
        <f>IF(ISNA(VLOOKUP(A85,'Données projet'!$A$165:$I$185,4,0)),0,VLOOKUP(A85,'Données projet'!$A$165:$I$185,4,0))</f>
        <v>555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3.8344219483433626E-7</v>
      </c>
      <c r="ED85" s="24">
        <f t="shared" si="72"/>
        <v>3.8344219483433626E-7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344.36303707479811</v>
      </c>
      <c r="T86" s="62">
        <f t="shared" si="88"/>
        <v>207.92972431357452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16.166666666666668</v>
      </c>
      <c r="AI86" s="14">
        <f>IF('Données projet'!$A$62&gt;35,AI85+AH86-AQ85,IF(A86&lt;'Données projet'!$A$62,$AF$205^A86,IF(A86='Données projet'!$A$62,'Données projet'!$B$62,AI85+AH86-AQ85)))</f>
        <v>537.83333333333303</v>
      </c>
      <c r="AJ86" s="14">
        <f>AI86*VLOOKUP('Données projet'!$B$10,Paramètres!$A$1:$I$89,3,0)*VLOOKUP('Données projet'!$B$10,Paramètres!$A$1:$I$89,5,0)</f>
        <v>251.70599999999988</v>
      </c>
      <c r="AK86" s="14">
        <f t="shared" si="89"/>
        <v>60.951110356020116</v>
      </c>
      <c r="AL86" s="22">
        <f t="shared" si="58"/>
        <v>544.54446720340138</v>
      </c>
      <c r="AM86" s="62">
        <f t="shared" si="59"/>
        <v>837.87780053673464</v>
      </c>
      <c r="AN86" s="62">
        <f ca="1">AVERAGE(OFFSET($AM$3,0,0,'Données projet'!$E$10+1,1))-AVERAGE(OFFSET($H$3,0,0,'Données projet'!$E$10+1,1))</f>
        <v>273.94989417245978</v>
      </c>
      <c r="AO86" s="62">
        <f t="shared" si="90"/>
        <v>244.91615281423549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3</v>
      </c>
      <c r="BD86" s="13">
        <f>IF('Données projet'!$A$88&gt;35,BD85+BC86-BL85,IF(A86&lt;'Données projet'!$A$88,$BA$205^A86,IF(A86='Données projet'!$A$88,'Données projet'!$B$88,BD85+BC86-BL85)))</f>
        <v>228.99999999999991</v>
      </c>
      <c r="BE86" s="14">
        <f>BD86*VLOOKUP('Données projet'!$B$11,Paramètres!$A$1:$I$89,3,0)*VLOOKUP('Données projet'!$B$11,Paramètres!$A$1:$I$89,5,0)</f>
        <v>200.05439999999993</v>
      </c>
      <c r="BF86" s="14">
        <f t="shared" si="91"/>
        <v>49.756123009618186</v>
      </c>
      <c r="BG86" s="22">
        <f t="shared" si="61"/>
        <v>435.0866609084182</v>
      </c>
      <c r="BH86" s="62">
        <f t="shared" si="62"/>
        <v>728.41999424175151</v>
      </c>
      <c r="BI86" s="62">
        <f ca="1">AVERAGE(OFFSET($BH$3,0,0,'Données projet'!$E$11+1,1))-AVERAGE(OFFSET($H$3,0,0,'Données projet'!$E$11+1,1))</f>
        <v>247.81726778334098</v>
      </c>
      <c r="BJ86" s="62">
        <f t="shared" si="92"/>
        <v>278.55937893537259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2.0425654274135175E-7</v>
      </c>
      <c r="BS86" s="24">
        <f t="shared" si="63"/>
        <v>2.0425654274135175E-7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156.11420010556668</v>
      </c>
      <c r="CE86" s="62">
        <f t="shared" si="94"/>
        <v>318.01952986326501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34.587715008096588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2.8026067851423994E-6</v>
      </c>
      <c r="CN86" s="24">
        <f t="shared" si="66"/>
        <v>34.587717810703374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6.3550942286383367E-14</v>
      </c>
      <c r="CV86" s="14">
        <f t="shared" si="95"/>
        <v>1.0064464192543978E-12</v>
      </c>
      <c r="CW86" s="22">
        <f t="shared" si="67"/>
        <v>1.8635787380168604E-12</v>
      </c>
      <c r="CX86" s="62">
        <f t="shared" si="68"/>
        <v>293.33333333333519</v>
      </c>
      <c r="CY86" s="62">
        <f ca="1">AVERAGE(OFFSET($CX$3,0,0,'Données projet'!$E$13+1,1))-AVERAGE(OFFSET($H$3,0,0,'Données projet'!$E$13+1,1))</f>
        <v>321.56347025977988</v>
      </c>
      <c r="CZ86" s="62">
        <f t="shared" si="96"/>
        <v>285.79375360040717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6.9536942732297184</v>
      </c>
      <c r="DG86" s="23">
        <f>EXP(-LN(2)/25)*DG85+(1-EXP(-LN(2)/25))/(LN(2)/25)*Calculateur!DB86*Calculateur!DD86*VLOOKUP('Données projet'!$B$13,Paramètres!$A$1:$I$89,3,0)*0.475*44/12</f>
        <v>2.6063050037892475</v>
      </c>
      <c r="DH86" s="23">
        <f>EXP(-LN(2)/2)*DH85+(1-EXP(-LN(2)/2))/(LN(2)/2)*DB86*DE86*VLOOKUP('Données projet'!$B$13,Paramètres!$A$1:$I$89,3,0)*0.475*44/12</f>
        <v>7.5245722931873086E-8</v>
      </c>
      <c r="DI86" s="24">
        <f t="shared" si="69"/>
        <v>9.559999352264688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287.69656598881124</v>
      </c>
      <c r="DU86" s="62">
        <f t="shared" si="98"/>
        <v>221.9773436301067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2.7113457616041253E-7</v>
      </c>
      <c r="ED86" s="24">
        <f t="shared" si="72"/>
        <v>2.7113457616041253E-7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344.36303707479811</v>
      </c>
      <c r="T87" s="62">
        <f t="shared" si="88"/>
        <v>207.92972431357452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554</v>
      </c>
      <c r="AG87" s="13">
        <f>VLOOKUP(A87,'Données projet'!$A$61:$I$81,9,0)</f>
        <v>16.166666666666668</v>
      </c>
      <c r="AH87" s="13">
        <f t="array" ref="AH87">INDEX(AG:AG,MIN(IF(ISNUMBER(AG87:AG283),ROW(AG87:AG283),"")))</f>
        <v>16.166666666666668</v>
      </c>
      <c r="AI87" s="14">
        <f>IF('Données projet'!$A$62&gt;35,AI86+AH87-AQ86,IF(A87&lt;'Données projet'!$A$62,$AF$205^A87,IF(A87='Données projet'!$A$62,'Données projet'!$B$62,AI86+AH87-AQ86)))</f>
        <v>553.99999999999966</v>
      </c>
      <c r="AJ87" s="14">
        <f>AI87*VLOOKUP('Données projet'!$B$10,Paramètres!$A$1:$I$89,3,0)*VLOOKUP('Données projet'!$B$10,Paramètres!$A$1:$I$89,5,0)</f>
        <v>259.27199999999988</v>
      </c>
      <c r="AK87" s="14">
        <f t="shared" si="89"/>
        <v>62.567172460757938</v>
      </c>
      <c r="AL87" s="22">
        <f t="shared" si="58"/>
        <v>560.53655870248656</v>
      </c>
      <c r="AM87" s="62">
        <f t="shared" si="59"/>
        <v>853.86989203581993</v>
      </c>
      <c r="AN87" s="62">
        <f ca="1">AVERAGE(OFFSET($AM$3,0,0,'Données projet'!$E$10+1,1))-AVERAGE(OFFSET($H$3,0,0,'Données projet'!$E$10+1,1))</f>
        <v>273.94989417245978</v>
      </c>
      <c r="AO87" s="62">
        <f t="shared" si="90"/>
        <v>244.91615281423549</v>
      </c>
      <c r="AP87" s="16">
        <f>IF(ISNA(VLOOKUP(A87,'Données projet'!$A$61:$I$81,3,0)),0,VLOOKUP(A87,'Données projet'!$A$61:$I$81,3,0))</f>
        <v>8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3</v>
      </c>
      <c r="BD87" s="13">
        <f>IF('Données projet'!$A$88&gt;35,BD86+BC87-BL86,IF(A87&lt;'Données projet'!$A$88,$BA$205^A87,IF(A87='Données projet'!$A$88,'Données projet'!$B$88,BD86+BC87-BL86)))</f>
        <v>231.99999999999991</v>
      </c>
      <c r="BE87" s="14">
        <f>BD87*VLOOKUP('Données projet'!$B$11,Paramètres!$A$1:$I$89,3,0)*VLOOKUP('Données projet'!$B$11,Paramètres!$A$1:$I$89,5,0)</f>
        <v>202.67519999999993</v>
      </c>
      <c r="BF87" s="14">
        <f t="shared" si="91"/>
        <v>50.33164028531364</v>
      </c>
      <c r="BG87" s="22">
        <f t="shared" si="61"/>
        <v>440.65358016358778</v>
      </c>
      <c r="BH87" s="62">
        <f t="shared" si="62"/>
        <v>733.98691349692103</v>
      </c>
      <c r="BI87" s="62">
        <f ca="1">AVERAGE(OFFSET($BH$3,0,0,'Données projet'!$E$11+1,1))-AVERAGE(OFFSET($H$3,0,0,'Données projet'!$E$11+1,1))</f>
        <v>247.81726778334098</v>
      </c>
      <c r="BJ87" s="62">
        <f t="shared" si="92"/>
        <v>278.55937893537259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1.444311864741297E-7</v>
      </c>
      <c r="BS87" s="24">
        <f t="shared" si="63"/>
        <v>1.444311864741297E-7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156.11420010556668</v>
      </c>
      <c r="CE87" s="62">
        <f t="shared" si="94"/>
        <v>318.01952986326501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33.909471013210869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1.98174226277362E-6</v>
      </c>
      <c r="CN87" s="24">
        <f t="shared" si="66"/>
        <v>33.909472994953134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6.3550942286383367E-14</v>
      </c>
      <c r="CV87" s="14">
        <f t="shared" si="95"/>
        <v>1.0064464192543978E-12</v>
      </c>
      <c r="CW87" s="22">
        <f t="shared" si="67"/>
        <v>1.8635787380168604E-12</v>
      </c>
      <c r="CX87" s="62">
        <f t="shared" si="68"/>
        <v>293.33333333333519</v>
      </c>
      <c r="CY87" s="62">
        <f ca="1">AVERAGE(OFFSET($CX$3,0,0,'Données projet'!$E$13+1,1))-AVERAGE(OFFSET($H$3,0,0,'Données projet'!$E$13+1,1))</f>
        <v>321.56347025977988</v>
      </c>
      <c r="CZ87" s="62">
        <f t="shared" si="96"/>
        <v>285.79375360040717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6.8173365698663932</v>
      </c>
      <c r="DG87" s="23">
        <f>EXP(-LN(2)/25)*DG86+(1-EXP(-LN(2)/25))/(LN(2)/25)*Calculateur!DB87*Calculateur!DD87*VLOOKUP('Données projet'!$B$13,Paramètres!$A$1:$I$89,3,0)*0.475*44/12</f>
        <v>2.5350354564010069</v>
      </c>
      <c r="DH87" s="23">
        <f>EXP(-LN(2)/2)*DH86+(1-EXP(-LN(2)/2))/(LN(2)/2)*DB87*DE87*VLOOKUP('Données projet'!$B$13,Paramètres!$A$1:$I$89,3,0)*0.475*44/12</f>
        <v>5.3206760940411564E-8</v>
      </c>
      <c r="DI87" s="24">
        <f t="shared" si="69"/>
        <v>9.3523720794741614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287.69656598881124</v>
      </c>
      <c r="DU87" s="62">
        <f t="shared" si="98"/>
        <v>221.9773436301067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1.9172109741716813E-7</v>
      </c>
      <c r="ED87" s="24">
        <f t="shared" si="72"/>
        <v>1.9172109741716813E-7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344.36303707479811</v>
      </c>
      <c r="T88" s="62">
        <f t="shared" si="88"/>
        <v>207.92972431357452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553.99999999999966</v>
      </c>
      <c r="AJ88" s="14">
        <f>AI88*VLOOKUP('Données projet'!$B$10,Paramètres!$A$1:$I$89,3,0)*VLOOKUP('Données projet'!$B$10,Paramètres!$A$1:$I$89,5,0)</f>
        <v>259.27199999999988</v>
      </c>
      <c r="AK88" s="14">
        <f t="shared" si="89"/>
        <v>62.567172460757938</v>
      </c>
      <c r="AL88" s="22">
        <f t="shared" si="58"/>
        <v>560.53655870248656</v>
      </c>
      <c r="AM88" s="62">
        <f t="shared" si="59"/>
        <v>853.86989203581993</v>
      </c>
      <c r="AN88" s="62">
        <f ca="1">AVERAGE(OFFSET($AM$3,0,0,'Données projet'!$E$10+1,1))-AVERAGE(OFFSET($H$3,0,0,'Données projet'!$E$10+1,1))</f>
        <v>273.94989417245978</v>
      </c>
      <c r="AO88" s="62">
        <f t="shared" si="90"/>
        <v>244.91615281423549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235</v>
      </c>
      <c r="BB88" s="13">
        <f>VLOOKUP(A88,'Données projet'!$A$87:$I$107,9,0)</f>
        <v>3</v>
      </c>
      <c r="BC88" s="13">
        <f t="array" ref="BC88">INDEX(BB:BB,MIN(IF(ISNUMBER(BB88:BB284),ROW(BB88:BB284),"")))</f>
        <v>3</v>
      </c>
      <c r="BD88" s="13">
        <f>IF('Données projet'!$A$88&gt;35,BD87+BC88-BL87,IF(A88&lt;'Données projet'!$A$88,$BA$205^A88,IF(A88='Données projet'!$A$88,'Données projet'!$B$88,BD87+BC88-BL87)))</f>
        <v>234.99999999999991</v>
      </c>
      <c r="BE88" s="14">
        <f>BD88*VLOOKUP('Données projet'!$B$11,Paramètres!$A$1:$I$89,3,0)*VLOOKUP('Données projet'!$B$11,Paramètres!$A$1:$I$89,5,0)</f>
        <v>205.29599999999996</v>
      </c>
      <c r="BF88" s="14">
        <f t="shared" si="91"/>
        <v>50.906291934375353</v>
      </c>
      <c r="BG88" s="22">
        <f t="shared" si="61"/>
        <v>446.21899178570357</v>
      </c>
      <c r="BH88" s="62">
        <f t="shared" si="62"/>
        <v>739.55232511903682</v>
      </c>
      <c r="BI88" s="62">
        <f ca="1">AVERAGE(OFFSET($BH$3,0,0,'Données projet'!$E$11+1,1))-AVERAGE(OFFSET($H$3,0,0,'Données projet'!$E$11+1,1))</f>
        <v>247.81726778334098</v>
      </c>
      <c r="BJ88" s="62">
        <f t="shared" si="92"/>
        <v>278.55937893537259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12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1.0212827137067588E-7</v>
      </c>
      <c r="BS88" s="24">
        <f t="shared" si="63"/>
        <v>1.0212827137067588E-7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156.11420010556668</v>
      </c>
      <c r="CE88" s="62">
        <f t="shared" si="94"/>
        <v>318.01952986326501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33.244526969376871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1.4013033925711997E-6</v>
      </c>
      <c r="CN88" s="24">
        <f t="shared" si="66"/>
        <v>33.244528370680264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6.3550942286383367E-14</v>
      </c>
      <c r="CV88" s="14">
        <f t="shared" si="95"/>
        <v>1.0064464192543978E-12</v>
      </c>
      <c r="CW88" s="22">
        <f t="shared" si="67"/>
        <v>1.8635787380168604E-12</v>
      </c>
      <c r="CX88" s="62">
        <f t="shared" si="68"/>
        <v>293.33333333333519</v>
      </c>
      <c r="CY88" s="62">
        <f ca="1">AVERAGE(OFFSET($CX$3,0,0,'Données projet'!$E$13+1,1))-AVERAGE(OFFSET($H$3,0,0,'Données projet'!$E$13+1,1))</f>
        <v>321.56347025977988</v>
      </c>
      <c r="CZ88" s="62">
        <f t="shared" si="96"/>
        <v>285.79375360040717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6.6836527578960361</v>
      </c>
      <c r="DG88" s="23">
        <f>EXP(-LN(2)/25)*DG87+(1-EXP(-LN(2)/25))/(LN(2)/25)*Calculateur!DB88*Calculateur!DD88*VLOOKUP('Données projet'!$B$13,Paramètres!$A$1:$I$89,3,0)*0.475*44/12</f>
        <v>2.4657147785340006</v>
      </c>
      <c r="DH88" s="23">
        <f>EXP(-LN(2)/2)*DH87+(1-EXP(-LN(2)/2))/(LN(2)/2)*DB88*DE88*VLOOKUP('Données projet'!$B$13,Paramètres!$A$1:$I$89,3,0)*0.475*44/12</f>
        <v>3.7622861465936543E-8</v>
      </c>
      <c r="DI88" s="24">
        <f t="shared" si="69"/>
        <v>9.1493675740528975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287.69656598881124</v>
      </c>
      <c r="DU88" s="62">
        <f t="shared" si="98"/>
        <v>221.9773436301067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1.3556728808020626E-7</v>
      </c>
      <c r="ED88" s="24">
        <f t="shared" si="72"/>
        <v>1.3556728808020626E-7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344.36303707479811</v>
      </c>
      <c r="T89" s="62">
        <f t="shared" si="88"/>
        <v>207.92972431357452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553.99999999999966</v>
      </c>
      <c r="AJ89" s="14">
        <f>AI89*VLOOKUP('Données projet'!$B$10,Paramètres!$A$1:$I$89,3,0)*VLOOKUP('Données projet'!$B$10,Paramètres!$A$1:$I$89,5,0)</f>
        <v>259.27199999999988</v>
      </c>
      <c r="AK89" s="14">
        <f t="shared" si="89"/>
        <v>62.567172460757938</v>
      </c>
      <c r="AL89" s="22">
        <f t="shared" si="58"/>
        <v>560.53655870248656</v>
      </c>
      <c r="AM89" s="62">
        <f t="shared" si="59"/>
        <v>853.86989203581993</v>
      </c>
      <c r="AN89" s="62">
        <f ca="1">AVERAGE(OFFSET($AM$3,0,0,'Données projet'!$E$10+1,1))-AVERAGE(OFFSET($H$3,0,0,'Données projet'!$E$10+1,1))</f>
        <v>273.94989417245978</v>
      </c>
      <c r="AO89" s="62">
        <f t="shared" si="90"/>
        <v>244.91615281423549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2.6</v>
      </c>
      <c r="BD89" s="13">
        <f>IF('Données projet'!$A$88&gt;35,BD88+BC89-BL88,IF(A89&lt;'Données projet'!$A$88,$BA$205^A89,IF(A89='Données projet'!$A$88,'Données projet'!$B$88,BD88+BC89-BL88)))</f>
        <v>225.59999999999991</v>
      </c>
      <c r="BE89" s="14">
        <f>BD89*VLOOKUP('Données projet'!$B$11,Paramètres!$A$1:$I$89,3,0)*VLOOKUP('Données projet'!$B$11,Paramètres!$A$1:$I$89,5,0)</f>
        <v>197.08415999999994</v>
      </c>
      <c r="BF89" s="14">
        <f t="shared" si="91"/>
        <v>49.102807637925878</v>
      </c>
      <c r="BG89" s="22">
        <f t="shared" si="61"/>
        <v>428.77563530272073</v>
      </c>
      <c r="BH89" s="62">
        <f t="shared" si="62"/>
        <v>722.10896863605399</v>
      </c>
      <c r="BI89" s="62">
        <f ca="1">AVERAGE(OFFSET($BH$3,0,0,'Données projet'!$E$11+1,1))-AVERAGE(OFFSET($H$3,0,0,'Données projet'!$E$11+1,1))</f>
        <v>247.81726778334098</v>
      </c>
      <c r="BJ89" s="62">
        <f t="shared" si="92"/>
        <v>278.55937893537259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7.221559323706485E-8</v>
      </c>
      <c r="BS89" s="24">
        <f t="shared" si="63"/>
        <v>7.221559323706485E-8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156.11420010556668</v>
      </c>
      <c r="CE89" s="62">
        <f t="shared" si="94"/>
        <v>318.01952986326501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32.592622072666636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9.9087113138680999E-7</v>
      </c>
      <c r="CN89" s="24">
        <f t="shared" si="66"/>
        <v>32.592623063537765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6.3550942286383367E-14</v>
      </c>
      <c r="CV89" s="14">
        <f t="shared" si="95"/>
        <v>1.0064464192543978E-12</v>
      </c>
      <c r="CW89" s="22">
        <f t="shared" si="67"/>
        <v>1.8635787380168604E-12</v>
      </c>
      <c r="CX89" s="62">
        <f t="shared" si="68"/>
        <v>293.33333333333519</v>
      </c>
      <c r="CY89" s="62">
        <f ca="1">AVERAGE(OFFSET($CX$3,0,0,'Données projet'!$E$13+1,1))-AVERAGE(OFFSET($H$3,0,0,'Données projet'!$E$13+1,1))</f>
        <v>321.56347025977988</v>
      </c>
      <c r="CZ89" s="62">
        <f t="shared" si="96"/>
        <v>285.79375360040717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6.5525904039393437</v>
      </c>
      <c r="DG89" s="23">
        <f>EXP(-LN(2)/25)*DG88+(1-EXP(-LN(2)/25))/(LN(2)/25)*Calculateur!DB89*Calculateur!DD89*VLOOKUP('Données projet'!$B$13,Paramètres!$A$1:$I$89,3,0)*0.475*44/12</f>
        <v>2.3982896782486836</v>
      </c>
      <c r="DH89" s="23">
        <f>EXP(-LN(2)/2)*DH88+(1-EXP(-LN(2)/2))/(LN(2)/2)*DB89*DE89*VLOOKUP('Données projet'!$B$13,Paramètres!$A$1:$I$89,3,0)*0.475*44/12</f>
        <v>2.6603380470205782E-8</v>
      </c>
      <c r="DI89" s="24">
        <f t="shared" si="69"/>
        <v>8.9508801087914076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287.69656598881124</v>
      </c>
      <c r="DU89" s="62">
        <f t="shared" si="98"/>
        <v>221.9773436301067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9.5860548708584064E-8</v>
      </c>
      <c r="ED89" s="24">
        <f t="shared" si="72"/>
        <v>9.5860548708584064E-8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344.36303707479811</v>
      </c>
      <c r="T90" s="62">
        <f t="shared" si="88"/>
        <v>207.92972431357452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553.99999999999966</v>
      </c>
      <c r="AJ90" s="14">
        <f>AI90*VLOOKUP('Données projet'!$B$10,Paramètres!$A$1:$I$89,3,0)*VLOOKUP('Données projet'!$B$10,Paramètres!$A$1:$I$89,5,0)</f>
        <v>259.27199999999988</v>
      </c>
      <c r="AK90" s="14">
        <f t="shared" si="89"/>
        <v>62.567172460757938</v>
      </c>
      <c r="AL90" s="22">
        <f t="shared" si="58"/>
        <v>560.53655870248656</v>
      </c>
      <c r="AM90" s="62">
        <f t="shared" si="59"/>
        <v>853.86989203581993</v>
      </c>
      <c r="AN90" s="62">
        <f ca="1">AVERAGE(OFFSET($AM$3,0,0,'Données projet'!$E$10+1,1))-AVERAGE(OFFSET($H$3,0,0,'Données projet'!$E$10+1,1))</f>
        <v>273.94989417245978</v>
      </c>
      <c r="AO90" s="62">
        <f t="shared" si="90"/>
        <v>244.91615281423549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2.6</v>
      </c>
      <c r="BD90" s="13">
        <f>IF('Données projet'!$A$88&gt;35,BD89+BC90-BL89,IF(A90&lt;'Données projet'!$A$88,$BA$205^A90,IF(A90='Données projet'!$A$88,'Données projet'!$B$88,BD89+BC90-BL89)))</f>
        <v>228.1999999999999</v>
      </c>
      <c r="BE90" s="14">
        <f>BD90*VLOOKUP('Données projet'!$B$11,Paramètres!$A$1:$I$89,3,0)*VLOOKUP('Données projet'!$B$11,Paramètres!$A$1:$I$89,5,0)</f>
        <v>199.35551999999996</v>
      </c>
      <c r="BF90" s="14">
        <f t="shared" si="91"/>
        <v>49.602503932783179</v>
      </c>
      <c r="BG90" s="22">
        <f t="shared" si="61"/>
        <v>433.60189168293056</v>
      </c>
      <c r="BH90" s="62">
        <f t="shared" si="62"/>
        <v>726.93522501626387</v>
      </c>
      <c r="BI90" s="62">
        <f ca="1">AVERAGE(OFFSET($BH$3,0,0,'Données projet'!$E$11+1,1))-AVERAGE(OFFSET($H$3,0,0,'Données projet'!$E$11+1,1))</f>
        <v>247.81726778334098</v>
      </c>
      <c r="BJ90" s="62">
        <f t="shared" si="92"/>
        <v>278.55937893537259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5.1064135685337938E-8</v>
      </c>
      <c r="BS90" s="24">
        <f t="shared" si="63"/>
        <v>5.1064135685337938E-8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156.11420010556668</v>
      </c>
      <c r="CE90" s="62">
        <f t="shared" si="94"/>
        <v>318.01952986326501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31.953500633358168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7.0065169628559984E-7</v>
      </c>
      <c r="CN90" s="24">
        <f t="shared" si="66"/>
        <v>31.953501334009864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6.3550942286383367E-14</v>
      </c>
      <c r="CV90" s="14">
        <f t="shared" si="95"/>
        <v>1.0064464192543978E-12</v>
      </c>
      <c r="CW90" s="22">
        <f t="shared" si="67"/>
        <v>1.8635787380168604E-12</v>
      </c>
      <c r="CX90" s="62">
        <f t="shared" si="68"/>
        <v>293.33333333333519</v>
      </c>
      <c r="CY90" s="62">
        <f ca="1">AVERAGE(OFFSET($CX$3,0,0,'Données projet'!$E$13+1,1))-AVERAGE(OFFSET($H$3,0,0,'Données projet'!$E$13+1,1))</f>
        <v>321.56347025977988</v>
      </c>
      <c r="CZ90" s="62">
        <f t="shared" si="96"/>
        <v>285.79375360040717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6.4240981028035993</v>
      </c>
      <c r="DG90" s="23">
        <f>EXP(-LN(2)/25)*DG89+(1-EXP(-LN(2)/25))/(LN(2)/25)*Calculateur!DB90*Calculateur!DD90*VLOOKUP('Données projet'!$B$13,Paramètres!$A$1:$I$89,3,0)*0.475*44/12</f>
        <v>2.3327083208764003</v>
      </c>
      <c r="DH90" s="23">
        <f>EXP(-LN(2)/2)*DH89+(1-EXP(-LN(2)/2))/(LN(2)/2)*DB90*DE90*VLOOKUP('Données projet'!$B$13,Paramètres!$A$1:$I$89,3,0)*0.475*44/12</f>
        <v>1.8811430732968271E-8</v>
      </c>
      <c r="DI90" s="24">
        <f t="shared" si="69"/>
        <v>8.7568064424914311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287.69656598881124</v>
      </c>
      <c r="DU90" s="62">
        <f t="shared" si="98"/>
        <v>221.9773436301067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6.7783644040103131E-8</v>
      </c>
      <c r="ED90" s="24">
        <f t="shared" si="72"/>
        <v>6.7783644040103131E-8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344.36303707479811</v>
      </c>
      <c r="T91" s="62">
        <f t="shared" si="88"/>
        <v>207.92972431357452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553.99999999999966</v>
      </c>
      <c r="AJ91" s="14">
        <f>AI91*VLOOKUP('Données projet'!$B$10,Paramètres!$A$1:$I$89,3,0)*VLOOKUP('Données projet'!$B$10,Paramètres!$A$1:$I$89,5,0)</f>
        <v>259.27199999999988</v>
      </c>
      <c r="AK91" s="14">
        <f t="shared" si="89"/>
        <v>62.567172460757938</v>
      </c>
      <c r="AL91" s="22">
        <f t="shared" si="58"/>
        <v>560.53655870248656</v>
      </c>
      <c r="AM91" s="62">
        <f t="shared" si="59"/>
        <v>853.86989203581993</v>
      </c>
      <c r="AN91" s="62">
        <f ca="1">AVERAGE(OFFSET($AM$3,0,0,'Données projet'!$E$10+1,1))-AVERAGE(OFFSET($H$3,0,0,'Données projet'!$E$10+1,1))</f>
        <v>273.94989417245978</v>
      </c>
      <c r="AO91" s="62">
        <f t="shared" si="90"/>
        <v>244.91615281423549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2.6</v>
      </c>
      <c r="BD91" s="13">
        <f>IF('Données projet'!$A$88&gt;35,BD90+BC91-BL90,IF(A91&lt;'Données projet'!$A$88,$BA$205^A91,IF(A91='Données projet'!$A$88,'Données projet'!$B$88,BD90+BC91-BL90)))</f>
        <v>230.7999999999999</v>
      </c>
      <c r="BE91" s="14">
        <f>BD91*VLOOKUP('Données projet'!$B$11,Paramètres!$A$1:$I$89,3,0)*VLOOKUP('Données projet'!$B$11,Paramètres!$A$1:$I$89,5,0)</f>
        <v>201.62687999999994</v>
      </c>
      <c r="BF91" s="14">
        <f t="shared" si="91"/>
        <v>50.101537951964936</v>
      </c>
      <c r="BG91" s="22">
        <f t="shared" si="61"/>
        <v>438.42699459967213</v>
      </c>
      <c r="BH91" s="62">
        <f t="shared" si="62"/>
        <v>731.76032793300544</v>
      </c>
      <c r="BI91" s="62">
        <f ca="1">AVERAGE(OFFSET($BH$3,0,0,'Données projet'!$E$11+1,1))-AVERAGE(OFFSET($H$3,0,0,'Données projet'!$E$11+1,1))</f>
        <v>247.81726778334098</v>
      </c>
      <c r="BJ91" s="62">
        <f t="shared" si="92"/>
        <v>278.55937893537259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3.6107796618532425E-8</v>
      </c>
      <c r="BS91" s="24">
        <f t="shared" si="63"/>
        <v>3.6107796618532425E-8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156.11420010556668</v>
      </c>
      <c r="CE91" s="62">
        <f t="shared" si="94"/>
        <v>318.01952986326501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31.326911975648951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4.9543556569340499E-7</v>
      </c>
      <c r="CN91" s="24">
        <f t="shared" si="66"/>
        <v>31.326912471084515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6.3550942286383367E-14</v>
      </c>
      <c r="CV91" s="14">
        <f t="shared" si="95"/>
        <v>1.0064464192543978E-12</v>
      </c>
      <c r="CW91" s="22">
        <f t="shared" si="67"/>
        <v>1.8635787380168604E-12</v>
      </c>
      <c r="CX91" s="62">
        <f t="shared" si="68"/>
        <v>293.33333333333519</v>
      </c>
      <c r="CY91" s="62">
        <f ca="1">AVERAGE(OFFSET($CX$3,0,0,'Données projet'!$E$13+1,1))-AVERAGE(OFFSET($H$3,0,0,'Données projet'!$E$13+1,1))</f>
        <v>321.56347025977988</v>
      </c>
      <c r="CZ91" s="62">
        <f t="shared" si="96"/>
        <v>285.79375360040717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6.2981254573205625</v>
      </c>
      <c r="DG91" s="23">
        <f>EXP(-LN(2)/25)*DG90+(1-EXP(-LN(2)/25))/(LN(2)/25)*Calculateur!DB91*Calculateur!DD91*VLOOKUP('Données projet'!$B$13,Paramètres!$A$1:$I$89,3,0)*0.475*44/12</f>
        <v>2.2689202891702362</v>
      </c>
      <c r="DH91" s="23">
        <f>EXP(-LN(2)/2)*DH90+(1-EXP(-LN(2)/2))/(LN(2)/2)*DB91*DE91*VLOOKUP('Données projet'!$B$13,Paramètres!$A$1:$I$89,3,0)*0.475*44/12</f>
        <v>1.3301690235102891E-8</v>
      </c>
      <c r="DI91" s="24">
        <f t="shared" si="69"/>
        <v>8.5670457597924887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287.69656598881124</v>
      </c>
      <c r="DU91" s="62">
        <f t="shared" si="98"/>
        <v>221.9773436301067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4.7930274354292032E-8</v>
      </c>
      <c r="ED91" s="24">
        <f t="shared" si="72"/>
        <v>4.7930274354292032E-8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344.36303707479811</v>
      </c>
      <c r="T92" s="62">
        <f t="shared" si="88"/>
        <v>207.92972431357452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553.99999999999966</v>
      </c>
      <c r="AJ92" s="14">
        <f>AI92*VLOOKUP('Données projet'!$B$10,Paramètres!$A$1:$I$89,3,0)*VLOOKUP('Données projet'!$B$10,Paramètres!$A$1:$I$89,5,0)</f>
        <v>259.27199999999988</v>
      </c>
      <c r="AK92" s="14">
        <f t="shared" si="89"/>
        <v>62.567172460757938</v>
      </c>
      <c r="AL92" s="22">
        <f t="shared" si="58"/>
        <v>560.53655870248656</v>
      </c>
      <c r="AM92" s="62">
        <f t="shared" si="59"/>
        <v>853.86989203581993</v>
      </c>
      <c r="AN92" s="62">
        <f ca="1">AVERAGE(OFFSET($AM$3,0,0,'Données projet'!$E$10+1,1))-AVERAGE(OFFSET($H$3,0,0,'Données projet'!$E$10+1,1))</f>
        <v>273.94989417245978</v>
      </c>
      <c r="AO92" s="62">
        <f t="shared" si="90"/>
        <v>244.91615281423549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2.6</v>
      </c>
      <c r="BD92" s="13">
        <f>IF('Données projet'!$A$88&gt;35,BD91+BC92-BL91,IF(A92&lt;'Données projet'!$A$88,$BA$205^A92,IF(A92='Données projet'!$A$88,'Données projet'!$B$88,BD91+BC92-BL91)))</f>
        <v>233.39999999999989</v>
      </c>
      <c r="BE92" s="14">
        <f>BD92*VLOOKUP('Données projet'!$B$11,Paramètres!$A$1:$I$89,3,0)*VLOOKUP('Données projet'!$B$11,Paramètres!$A$1:$I$89,5,0)</f>
        <v>203.89823999999993</v>
      </c>
      <c r="BF92" s="14">
        <f t="shared" si="91"/>
        <v>50.59991801943017</v>
      </c>
      <c r="BG92" s="22">
        <f t="shared" si="61"/>
        <v>443.25095855050739</v>
      </c>
      <c r="BH92" s="62">
        <f t="shared" si="62"/>
        <v>736.58429188384071</v>
      </c>
      <c r="BI92" s="62">
        <f ca="1">AVERAGE(OFFSET($BH$3,0,0,'Données projet'!$E$11+1,1))-AVERAGE(OFFSET($H$3,0,0,'Données projet'!$E$11+1,1))</f>
        <v>247.81726778334098</v>
      </c>
      <c r="BJ92" s="62">
        <f t="shared" si="92"/>
        <v>278.55937893537259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2.5532067842668969E-8</v>
      </c>
      <c r="BS92" s="24">
        <f t="shared" si="63"/>
        <v>2.5532067842668969E-8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156.11420010556668</v>
      </c>
      <c r="CE92" s="62">
        <f t="shared" si="94"/>
        <v>318.01952986326501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30.712610339336067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3.5032584814279992E-7</v>
      </c>
      <c r="CN92" s="24">
        <f t="shared" si="66"/>
        <v>30.712610689661915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6.3550942286383367E-14</v>
      </c>
      <c r="CV92" s="14">
        <f t="shared" si="95"/>
        <v>1.0064464192543978E-12</v>
      </c>
      <c r="CW92" s="22">
        <f t="shared" si="67"/>
        <v>1.8635787380168604E-12</v>
      </c>
      <c r="CX92" s="62">
        <f t="shared" si="68"/>
        <v>293.33333333333519</v>
      </c>
      <c r="CY92" s="62">
        <f ca="1">AVERAGE(OFFSET($CX$3,0,0,'Données projet'!$E$13+1,1))-AVERAGE(OFFSET($H$3,0,0,'Données projet'!$E$13+1,1))</f>
        <v>321.56347025977988</v>
      </c>
      <c r="CZ92" s="62">
        <f t="shared" si="96"/>
        <v>285.79375360040717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6.174623058579721</v>
      </c>
      <c r="DG92" s="23">
        <f>EXP(-LN(2)/25)*DG91+(1-EXP(-LN(2)/25))/(LN(2)/25)*Calculateur!DB92*Calculateur!DD92*VLOOKUP('Données projet'!$B$13,Paramètres!$A$1:$I$89,3,0)*0.475*44/12</f>
        <v>2.2068765445455436</v>
      </c>
      <c r="DH92" s="23">
        <f>EXP(-LN(2)/2)*DH91+(1-EXP(-LN(2)/2))/(LN(2)/2)*DB92*DE92*VLOOKUP('Données projet'!$B$13,Paramètres!$A$1:$I$89,3,0)*0.475*44/12</f>
        <v>9.4057153664841357E-9</v>
      </c>
      <c r="DI92" s="24">
        <f t="shared" si="69"/>
        <v>8.3814996125309804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287.69656598881124</v>
      </c>
      <c r="DU92" s="62">
        <f t="shared" si="98"/>
        <v>221.9773436301067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3.3891822020051566E-8</v>
      </c>
      <c r="ED92" s="24">
        <f t="shared" si="72"/>
        <v>3.3891822020051566E-8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344.36303707479811</v>
      </c>
      <c r="T93" s="62">
        <f t="shared" si="88"/>
        <v>207.92972431357452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553.99999999999966</v>
      </c>
      <c r="AJ93" s="14">
        <f>AI93*VLOOKUP('Données projet'!$B$10,Paramètres!$A$1:$I$89,3,0)*VLOOKUP('Données projet'!$B$10,Paramètres!$A$1:$I$89,5,0)</f>
        <v>259.27199999999988</v>
      </c>
      <c r="AK93" s="14">
        <f t="shared" si="89"/>
        <v>62.567172460757938</v>
      </c>
      <c r="AL93" s="22">
        <f t="shared" si="58"/>
        <v>560.53655870248656</v>
      </c>
      <c r="AM93" s="62">
        <f t="shared" si="59"/>
        <v>853.86989203581993</v>
      </c>
      <c r="AN93" s="62">
        <f ca="1">AVERAGE(OFFSET($AM$3,0,0,'Données projet'!$E$10+1,1))-AVERAGE(OFFSET($H$3,0,0,'Données projet'!$E$10+1,1))</f>
        <v>273.94989417245978</v>
      </c>
      <c r="AO93" s="62">
        <f t="shared" si="90"/>
        <v>244.91615281423549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236</v>
      </c>
      <c r="BB93" s="13">
        <f>VLOOKUP(A93,'Données projet'!$A$87:$I$107,9,0)</f>
        <v>2.6</v>
      </c>
      <c r="BC93" s="13">
        <f t="array" ref="BC93">INDEX(BB:BB,MIN(IF(ISNUMBER(BB93:BB289),ROW(BB93:BB289),"")))</f>
        <v>2.6</v>
      </c>
      <c r="BD93" s="13">
        <f>IF('Données projet'!$A$88&gt;35,BD92+BC93-BL92,IF(A93&lt;'Données projet'!$A$88,$BA$205^A93,IF(A93='Données projet'!$A$88,'Données projet'!$B$88,BD92+BC93-BL92)))</f>
        <v>235.99999999999989</v>
      </c>
      <c r="BE93" s="14">
        <f>BD93*VLOOKUP('Données projet'!$B$11,Paramètres!$A$1:$I$89,3,0)*VLOOKUP('Données projet'!$B$11,Paramètres!$A$1:$I$89,5,0)</f>
        <v>206.16959999999992</v>
      </c>
      <c r="BF93" s="14">
        <f t="shared" si="91"/>
        <v>51.097652263007333</v>
      </c>
      <c r="BG93" s="22">
        <f t="shared" si="61"/>
        <v>448.07379769140431</v>
      </c>
      <c r="BH93" s="62">
        <f t="shared" si="62"/>
        <v>741.40713102473762</v>
      </c>
      <c r="BI93" s="62">
        <f ca="1">AVERAGE(OFFSET($BH$3,0,0,'Données projet'!$E$11+1,1))-AVERAGE(OFFSET($H$3,0,0,'Données projet'!$E$11+1,1))</f>
        <v>247.81726778334098</v>
      </c>
      <c r="BJ93" s="62">
        <f t="shared" si="92"/>
        <v>278.55937893537259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236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1.8053898309266213E-8</v>
      </c>
      <c r="BS93" s="24">
        <f t="shared" si="63"/>
        <v>1.8053898309266213E-8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156.11420010556668</v>
      </c>
      <c r="CE93" s="62">
        <f t="shared" si="94"/>
        <v>318.01952986326501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30.110354783424278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2.477177828467025E-7</v>
      </c>
      <c r="CN93" s="24">
        <f t="shared" si="66"/>
        <v>30.11035503114206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6.3550942286383367E-14</v>
      </c>
      <c r="CV93" s="14">
        <f t="shared" si="95"/>
        <v>1.0064464192543978E-12</v>
      </c>
      <c r="CW93" s="22">
        <f t="shared" si="67"/>
        <v>1.8635787380168604E-12</v>
      </c>
      <c r="CX93" s="62">
        <f t="shared" si="68"/>
        <v>293.33333333333519</v>
      </c>
      <c r="CY93" s="62">
        <f ca="1">AVERAGE(OFFSET($CX$3,0,0,'Données projet'!$E$13+1,1))-AVERAGE(OFFSET($H$3,0,0,'Données projet'!$E$13+1,1))</f>
        <v>321.56347025977988</v>
      </c>
      <c r="CZ93" s="62">
        <f t="shared" si="96"/>
        <v>285.79375360040717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6.0535424665491622</v>
      </c>
      <c r="DG93" s="23">
        <f>EXP(-LN(2)/25)*DG92+(1-EXP(-LN(2)/25))/(LN(2)/25)*Calculateur!DB93*Calculateur!DD93*VLOOKUP('Données projet'!$B$13,Paramètres!$A$1:$I$89,3,0)*0.475*44/12</f>
        <v>2.1465293893803521</v>
      </c>
      <c r="DH93" s="23">
        <f>EXP(-LN(2)/2)*DH92+(1-EXP(-LN(2)/2))/(LN(2)/2)*DB93*DE93*VLOOKUP('Données projet'!$B$13,Paramètres!$A$1:$I$89,3,0)*0.475*44/12</f>
        <v>6.6508451175514455E-9</v>
      </c>
      <c r="DI93" s="24">
        <f t="shared" si="69"/>
        <v>8.2000718625803604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287.69656598881124</v>
      </c>
      <c r="DU93" s="62">
        <f t="shared" si="98"/>
        <v>221.9773436301067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2.3965137177146016E-8</v>
      </c>
      <c r="ED93" s="24">
        <f t="shared" si="72"/>
        <v>2.3965137177146016E-8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344.36303707479811</v>
      </c>
      <c r="T94" s="62">
        <f t="shared" si="88"/>
        <v>207.92972431357452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553.99999999999966</v>
      </c>
      <c r="AJ94" s="14">
        <f>AI94*VLOOKUP('Données projet'!$B$10,Paramètres!$A$1:$I$89,3,0)*VLOOKUP('Données projet'!$B$10,Paramètres!$A$1:$I$89,5,0)</f>
        <v>259.27199999999988</v>
      </c>
      <c r="AK94" s="14">
        <f t="shared" si="89"/>
        <v>62.567172460757938</v>
      </c>
      <c r="AL94" s="22">
        <f t="shared" si="58"/>
        <v>560.53655870248656</v>
      </c>
      <c r="AM94" s="62">
        <f t="shared" si="59"/>
        <v>853.86989203581993</v>
      </c>
      <c r="AN94" s="62">
        <f ca="1">AVERAGE(OFFSET($AM$3,0,0,'Données projet'!$E$10+1,1))-AVERAGE(OFFSET($H$3,0,0,'Données projet'!$E$10+1,1))</f>
        <v>273.94989417245978</v>
      </c>
      <c r="AO94" s="62">
        <f t="shared" si="90"/>
        <v>244.91615281423549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247.81726778334098</v>
      </c>
      <c r="BJ94" s="62">
        <f t="shared" si="92"/>
        <v>278.55937893537259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1.2766033921334484E-8</v>
      </c>
      <c r="BS94" s="24">
        <f t="shared" si="63"/>
        <v>1.2766033921334484E-8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156.11420010556668</v>
      </c>
      <c r="CE94" s="62">
        <f t="shared" si="94"/>
        <v>318.01952986326501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29.519909091624303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1.7516292407139996E-7</v>
      </c>
      <c r="CN94" s="24">
        <f t="shared" si="66"/>
        <v>29.519909266787227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6.3550942286383367E-14</v>
      </c>
      <c r="CV94" s="14">
        <f t="shared" si="95"/>
        <v>1.0064464192543978E-12</v>
      </c>
      <c r="CW94" s="22">
        <f t="shared" si="67"/>
        <v>1.8635787380168604E-12</v>
      </c>
      <c r="CX94" s="62">
        <f t="shared" si="68"/>
        <v>293.33333333333519</v>
      </c>
      <c r="CY94" s="62">
        <f ca="1">AVERAGE(OFFSET($CX$3,0,0,'Données projet'!$E$13+1,1))-AVERAGE(OFFSET($H$3,0,0,'Données projet'!$E$13+1,1))</f>
        <v>321.56347025977988</v>
      </c>
      <c r="CZ94" s="62">
        <f t="shared" si="96"/>
        <v>285.79375360040717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5.934836191076454</v>
      </c>
      <c r="DG94" s="23">
        <f>EXP(-LN(2)/25)*DG93+(1-EXP(-LN(2)/25))/(LN(2)/25)*Calculateur!DB94*Calculateur!DD94*VLOOKUP('Données projet'!$B$13,Paramètres!$A$1:$I$89,3,0)*0.475*44/12</f>
        <v>2.0878324303466718</v>
      </c>
      <c r="DH94" s="23">
        <f>EXP(-LN(2)/2)*DH93+(1-EXP(-LN(2)/2))/(LN(2)/2)*DB94*DE94*VLOOKUP('Données projet'!$B$13,Paramètres!$A$1:$I$89,3,0)*0.475*44/12</f>
        <v>4.7028576832420679E-9</v>
      </c>
      <c r="DI94" s="24">
        <f t="shared" si="69"/>
        <v>8.0226686261259843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287.69656598881124</v>
      </c>
      <c r="DU94" s="62">
        <f t="shared" si="98"/>
        <v>221.9773436301067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1.6945911010025783E-8</v>
      </c>
      <c r="ED94" s="24">
        <f t="shared" si="72"/>
        <v>1.6945911010025783E-8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344.36303707479811</v>
      </c>
      <c r="T95" s="62">
        <f t="shared" si="88"/>
        <v>207.92972431357452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553.99999999999966</v>
      </c>
      <c r="AJ95" s="14">
        <f>AI95*VLOOKUP('Données projet'!$B$10,Paramètres!$A$1:$I$89,3,0)*VLOOKUP('Données projet'!$B$10,Paramètres!$A$1:$I$89,5,0)</f>
        <v>259.27199999999988</v>
      </c>
      <c r="AK95" s="14">
        <f t="shared" si="89"/>
        <v>62.567172460757938</v>
      </c>
      <c r="AL95" s="22">
        <f t="shared" si="58"/>
        <v>560.53655870248656</v>
      </c>
      <c r="AM95" s="62">
        <f t="shared" si="59"/>
        <v>853.86989203581993</v>
      </c>
      <c r="AN95" s="62">
        <f ca="1">AVERAGE(OFFSET($AM$3,0,0,'Données projet'!$E$10+1,1))-AVERAGE(OFFSET($H$3,0,0,'Données projet'!$E$10+1,1))</f>
        <v>273.94989417245978</v>
      </c>
      <c r="AO95" s="62">
        <f t="shared" si="90"/>
        <v>244.91615281423549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247.81726778334098</v>
      </c>
      <c r="BJ95" s="62">
        <f t="shared" si="92"/>
        <v>278.55937893537259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9.0269491546331063E-9</v>
      </c>
      <c r="BS95" s="24">
        <f t="shared" si="63"/>
        <v>9.0269491546331063E-9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156.11420010556668</v>
      </c>
      <c r="CE95" s="62">
        <f t="shared" si="94"/>
        <v>318.01952986326501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28.941041679704213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1.2385889142335125E-7</v>
      </c>
      <c r="CN95" s="24">
        <f t="shared" si="66"/>
        <v>28.941041803563106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6.3550942286383367E-14</v>
      </c>
      <c r="CV95" s="14">
        <f t="shared" si="95"/>
        <v>1.0064464192543978E-12</v>
      </c>
      <c r="CW95" s="22">
        <f t="shared" si="67"/>
        <v>1.8635787380168604E-12</v>
      </c>
      <c r="CX95" s="62">
        <f t="shared" si="68"/>
        <v>293.33333333333519</v>
      </c>
      <c r="CY95" s="62">
        <f ca="1">AVERAGE(OFFSET($CX$3,0,0,'Données projet'!$E$13+1,1))-AVERAGE(OFFSET($H$3,0,0,'Données projet'!$E$13+1,1))</f>
        <v>321.56347025977988</v>
      </c>
      <c r="CZ95" s="62">
        <f t="shared" si="96"/>
        <v>285.79375360040717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5.8184576732620865</v>
      </c>
      <c r="DG95" s="23">
        <f>EXP(-LN(2)/25)*DG94+(1-EXP(-LN(2)/25))/(LN(2)/25)*Calculateur!DB95*Calculateur!DD95*VLOOKUP('Données projet'!$B$13,Paramètres!$A$1:$I$89,3,0)*0.475*44/12</f>
        <v>2.0307405427445064</v>
      </c>
      <c r="DH95" s="23">
        <f>EXP(-LN(2)/2)*DH94+(1-EXP(-LN(2)/2))/(LN(2)/2)*DB95*DE95*VLOOKUP('Données projet'!$B$13,Paramètres!$A$1:$I$89,3,0)*0.475*44/12</f>
        <v>3.3254225587757228E-9</v>
      </c>
      <c r="DI95" s="24">
        <f t="shared" si="69"/>
        <v>7.849198219332016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287.69656598881124</v>
      </c>
      <c r="DU95" s="62">
        <f t="shared" si="98"/>
        <v>221.9773436301067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1.1982568588573008E-8</v>
      </c>
      <c r="ED95" s="24">
        <f t="shared" si="72"/>
        <v>1.1982568588573008E-8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344.36303707479811</v>
      </c>
      <c r="T96" s="62">
        <f t="shared" si="88"/>
        <v>207.92972431357452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553.99999999999966</v>
      </c>
      <c r="AJ96" s="14">
        <f>AI96*VLOOKUP('Données projet'!$B$10,Paramètres!$A$1:$I$89,3,0)*VLOOKUP('Données projet'!$B$10,Paramètres!$A$1:$I$89,5,0)</f>
        <v>259.27199999999988</v>
      </c>
      <c r="AK96" s="14">
        <f t="shared" si="89"/>
        <v>62.567172460757938</v>
      </c>
      <c r="AL96" s="22">
        <f t="shared" si="58"/>
        <v>560.53655870248656</v>
      </c>
      <c r="AM96" s="62">
        <f t="shared" si="59"/>
        <v>853.86989203581993</v>
      </c>
      <c r="AN96" s="62">
        <f ca="1">AVERAGE(OFFSET($AM$3,0,0,'Données projet'!$E$10+1,1))-AVERAGE(OFFSET($H$3,0,0,'Données projet'!$E$10+1,1))</f>
        <v>273.94989417245978</v>
      </c>
      <c r="AO96" s="62">
        <f t="shared" si="90"/>
        <v>244.91615281423549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247.81726778334098</v>
      </c>
      <c r="BJ96" s="62">
        <f t="shared" si="92"/>
        <v>278.55937893537259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6.3830169606672422E-9</v>
      </c>
      <c r="BS96" s="24">
        <f t="shared" si="63"/>
        <v>6.3830169606672422E-9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156.11420010556668</v>
      </c>
      <c r="CE96" s="62">
        <f t="shared" si="94"/>
        <v>318.01952986326501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28.373525504657618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8.7581462035699981E-8</v>
      </c>
      <c r="CN96" s="24">
        <f t="shared" si="66"/>
        <v>28.37352559223908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6.3550942286383367E-14</v>
      </c>
      <c r="CV96" s="14">
        <f t="shared" si="95"/>
        <v>1.0064464192543978E-12</v>
      </c>
      <c r="CW96" s="22">
        <f t="shared" si="67"/>
        <v>1.8635787380168604E-12</v>
      </c>
      <c r="CX96" s="62">
        <f t="shared" si="68"/>
        <v>293.33333333333519</v>
      </c>
      <c r="CY96" s="62">
        <f ca="1">AVERAGE(OFFSET($CX$3,0,0,'Données projet'!$E$13+1,1))-AVERAGE(OFFSET($H$3,0,0,'Données projet'!$E$13+1,1))</f>
        <v>321.56347025977988</v>
      </c>
      <c r="CZ96" s="62">
        <f t="shared" si="96"/>
        <v>285.79375360040717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5.7043612671981725</v>
      </c>
      <c r="DG96" s="23">
        <f>EXP(-LN(2)/25)*DG95+(1-EXP(-LN(2)/25))/(LN(2)/25)*Calculateur!DB96*Calculateur!DD96*VLOOKUP('Données projet'!$B$13,Paramètres!$A$1:$I$89,3,0)*0.475*44/12</f>
        <v>1.9752098358111541</v>
      </c>
      <c r="DH96" s="23">
        <f>EXP(-LN(2)/2)*DH95+(1-EXP(-LN(2)/2))/(LN(2)/2)*DB96*DE96*VLOOKUP('Données projet'!$B$13,Paramètres!$A$1:$I$89,3,0)*0.475*44/12</f>
        <v>2.3514288416210339E-9</v>
      </c>
      <c r="DI96" s="24">
        <f t="shared" si="69"/>
        <v>7.6795711053607558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287.69656598881124</v>
      </c>
      <c r="DU96" s="62">
        <f t="shared" si="98"/>
        <v>221.9773436301067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8.4729555050128914E-9</v>
      </c>
      <c r="ED96" s="24">
        <f t="shared" si="72"/>
        <v>8.4729555050128914E-9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344.36303707479811</v>
      </c>
      <c r="T97" s="62">
        <f t="shared" si="88"/>
        <v>207.92972431357452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553.99999999999966</v>
      </c>
      <c r="AJ97" s="14">
        <f>AI97*VLOOKUP('Données projet'!$B$10,Paramètres!$A$1:$I$89,3,0)*VLOOKUP('Données projet'!$B$10,Paramètres!$A$1:$I$89,5,0)</f>
        <v>259.27199999999988</v>
      </c>
      <c r="AK97" s="14">
        <f t="shared" si="89"/>
        <v>62.567172460757938</v>
      </c>
      <c r="AL97" s="22">
        <f t="shared" si="58"/>
        <v>560.53655870248656</v>
      </c>
      <c r="AM97" s="62">
        <f t="shared" si="59"/>
        <v>853.86989203581993</v>
      </c>
      <c r="AN97" s="62">
        <f ca="1">AVERAGE(OFFSET($AM$3,0,0,'Données projet'!$E$10+1,1))-AVERAGE(OFFSET($H$3,0,0,'Données projet'!$E$10+1,1))</f>
        <v>273.94989417245978</v>
      </c>
      <c r="AO97" s="62">
        <f t="shared" si="90"/>
        <v>244.91615281423549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247.81726778334098</v>
      </c>
      <c r="BJ97" s="62">
        <f t="shared" si="92"/>
        <v>278.55937893537259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4.5134745773165532E-9</v>
      </c>
      <c r="BS97" s="24">
        <f t="shared" si="63"/>
        <v>4.5134745773165532E-9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156.11420010556668</v>
      </c>
      <c r="CE97" s="62">
        <f t="shared" si="94"/>
        <v>318.01952986326501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27.817137975653001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6.1929445711675624E-8</v>
      </c>
      <c r="CN97" s="24">
        <f t="shared" si="66"/>
        <v>27.817138037582446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6.3550942286383367E-14</v>
      </c>
      <c r="CV97" s="14">
        <f t="shared" si="95"/>
        <v>1.0064464192543978E-12</v>
      </c>
      <c r="CW97" s="22">
        <f t="shared" si="67"/>
        <v>1.8635787380168604E-12</v>
      </c>
      <c r="CX97" s="62">
        <f t="shared" si="68"/>
        <v>293.33333333333519</v>
      </c>
      <c r="CY97" s="62">
        <f ca="1">AVERAGE(OFFSET($CX$3,0,0,'Données projet'!$E$13+1,1))-AVERAGE(OFFSET($H$3,0,0,'Données projet'!$E$13+1,1))</f>
        <v>321.56347025977988</v>
      </c>
      <c r="CZ97" s="62">
        <f t="shared" si="96"/>
        <v>285.79375360040717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5.5925022220652352</v>
      </c>
      <c r="DG97" s="23">
        <f>EXP(-LN(2)/25)*DG96+(1-EXP(-LN(2)/25))/(LN(2)/25)*Calculateur!DB97*Calculateur!DD97*VLOOKUP('Données projet'!$B$13,Paramètres!$A$1:$I$89,3,0)*0.475*44/12</f>
        <v>1.9211976189791271</v>
      </c>
      <c r="DH97" s="23">
        <f>EXP(-LN(2)/2)*DH96+(1-EXP(-LN(2)/2))/(LN(2)/2)*DB97*DE97*VLOOKUP('Données projet'!$B$13,Paramètres!$A$1:$I$89,3,0)*0.475*44/12</f>
        <v>1.6627112793878614E-9</v>
      </c>
      <c r="DI97" s="24">
        <f t="shared" si="69"/>
        <v>7.5136998427070729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287.69656598881124</v>
      </c>
      <c r="DU97" s="62">
        <f t="shared" si="98"/>
        <v>221.9773436301067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5.991284294286504E-9</v>
      </c>
      <c r="ED97" s="24">
        <f t="shared" si="72"/>
        <v>5.991284294286504E-9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344.36303707479811</v>
      </c>
      <c r="T98" s="62">
        <f t="shared" si="88"/>
        <v>207.92972431357452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553.99999999999966</v>
      </c>
      <c r="AJ98" s="14">
        <f>AI98*VLOOKUP('Données projet'!$B$10,Paramètres!$A$1:$I$89,3,0)*VLOOKUP('Données projet'!$B$10,Paramètres!$A$1:$I$89,5,0)</f>
        <v>259.27199999999988</v>
      </c>
      <c r="AK98" s="14">
        <f t="shared" si="89"/>
        <v>62.567172460757938</v>
      </c>
      <c r="AL98" s="22">
        <f t="shared" si="58"/>
        <v>560.53655870248656</v>
      </c>
      <c r="AM98" s="62">
        <f t="shared" si="59"/>
        <v>853.86989203581993</v>
      </c>
      <c r="AN98" s="62">
        <f ca="1">AVERAGE(OFFSET($AM$3,0,0,'Données projet'!$E$10+1,1))-AVERAGE(OFFSET($H$3,0,0,'Données projet'!$E$10+1,1))</f>
        <v>273.94989417245978</v>
      </c>
      <c r="AO98" s="62">
        <f t="shared" si="90"/>
        <v>244.91615281423549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247.81726778334098</v>
      </c>
      <c r="BJ98" s="62">
        <f t="shared" si="92"/>
        <v>278.55937893537259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3.1915084803336211E-9</v>
      </c>
      <c r="BS98" s="24">
        <f t="shared" si="63"/>
        <v>3.1915084803336211E-9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156.11420010556668</v>
      </c>
      <c r="CE98" s="62">
        <f t="shared" si="94"/>
        <v>318.01952986326501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27.271660866729281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4.379073101784999E-8</v>
      </c>
      <c r="CN98" s="24">
        <f t="shared" si="66"/>
        <v>27.271660910520012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6.3550942286383367E-14</v>
      </c>
      <c r="CV98" s="14">
        <f t="shared" si="95"/>
        <v>1.0064464192543978E-12</v>
      </c>
      <c r="CW98" s="22">
        <f t="shared" si="67"/>
        <v>1.8635787380168604E-12</v>
      </c>
      <c r="CX98" s="62">
        <f t="shared" si="68"/>
        <v>293.33333333333519</v>
      </c>
      <c r="CY98" s="62">
        <f ca="1">AVERAGE(OFFSET($CX$3,0,0,'Données projet'!$E$13+1,1))-AVERAGE(OFFSET($H$3,0,0,'Données projet'!$E$13+1,1))</f>
        <v>321.56347025977988</v>
      </c>
      <c r="CZ98" s="62">
        <f t="shared" si="96"/>
        <v>285.79375360040717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5.4828366645800743</v>
      </c>
      <c r="DG98" s="23">
        <f>EXP(-LN(2)/25)*DG97+(1-EXP(-LN(2)/25))/(LN(2)/25)*Calculateur!DB98*Calculateur!DD98*VLOOKUP('Données projet'!$B$13,Paramètres!$A$1:$I$89,3,0)*0.475*44/12</f>
        <v>1.868662369056751</v>
      </c>
      <c r="DH98" s="23">
        <f>EXP(-LN(2)/2)*DH97+(1-EXP(-LN(2)/2))/(LN(2)/2)*DB98*DE98*VLOOKUP('Données projet'!$B$13,Paramètres!$A$1:$I$89,3,0)*0.475*44/12</f>
        <v>1.175714420810517E-9</v>
      </c>
      <c r="DI98" s="24">
        <f t="shared" si="69"/>
        <v>7.35149903481254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287.69656598881124</v>
      </c>
      <c r="DU98" s="62">
        <f t="shared" si="98"/>
        <v>221.9773436301067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4.2364777525064457E-9</v>
      </c>
      <c r="ED98" s="24">
        <f t="shared" si="72"/>
        <v>4.2364777525064457E-9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344.36303707479811</v>
      </c>
      <c r="T99" s="62">
        <f t="shared" si="88"/>
        <v>207.92972431357452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553.99999999999966</v>
      </c>
      <c r="AJ99" s="14">
        <f>AI99*VLOOKUP('Données projet'!$B$10,Paramètres!$A$1:$I$89,3,0)*VLOOKUP('Données projet'!$B$10,Paramètres!$A$1:$I$89,5,0)</f>
        <v>259.27199999999988</v>
      </c>
      <c r="AK99" s="14">
        <f t="shared" si="89"/>
        <v>62.567172460757938</v>
      </c>
      <c r="AL99" s="22">
        <f t="shared" si="58"/>
        <v>560.53655870248656</v>
      </c>
      <c r="AM99" s="62">
        <f t="shared" si="59"/>
        <v>853.86989203581993</v>
      </c>
      <c r="AN99" s="62">
        <f ca="1">AVERAGE(OFFSET($AM$3,0,0,'Données projet'!$E$10+1,1))-AVERAGE(OFFSET($H$3,0,0,'Données projet'!$E$10+1,1))</f>
        <v>273.94989417245978</v>
      </c>
      <c r="AO99" s="62">
        <f t="shared" si="90"/>
        <v>244.91615281423549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247.81726778334098</v>
      </c>
      <c r="BJ99" s="62">
        <f t="shared" si="92"/>
        <v>278.55937893537259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2.2567372886582766E-9</v>
      </c>
      <c r="BS99" s="24">
        <f t="shared" si="63"/>
        <v>2.2567372886582766E-9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156.11420010556668</v>
      </c>
      <c r="CE99" s="62">
        <f t="shared" si="94"/>
        <v>318.01952986326501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26.736880231203372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3.0964722855837812E-8</v>
      </c>
      <c r="CN99" s="24">
        <f t="shared" si="66"/>
        <v>26.736880262168096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6.3550942286383367E-14</v>
      </c>
      <c r="CV99" s="14">
        <f t="shared" si="95"/>
        <v>1.0064464192543978E-12</v>
      </c>
      <c r="CW99" s="22">
        <f t="shared" si="67"/>
        <v>1.8635787380168604E-12</v>
      </c>
      <c r="CX99" s="62">
        <f t="shared" si="68"/>
        <v>293.33333333333519</v>
      </c>
      <c r="CY99" s="62">
        <f ca="1">AVERAGE(OFFSET($CX$3,0,0,'Données projet'!$E$13+1,1))-AVERAGE(OFFSET($H$3,0,0,'Données projet'!$E$13+1,1))</f>
        <v>321.56347025977988</v>
      </c>
      <c r="CZ99" s="62">
        <f t="shared" si="96"/>
        <v>285.79375360040717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5.3753215817878122</v>
      </c>
      <c r="DG99" s="23">
        <f>EXP(-LN(2)/25)*DG98+(1-EXP(-LN(2)/25))/(LN(2)/25)*Calculateur!DB99*Calculateur!DD99*VLOOKUP('Données projet'!$B$13,Paramètres!$A$1:$I$89,3,0)*0.475*44/12</f>
        <v>1.8175636983062111</v>
      </c>
      <c r="DH99" s="23">
        <f>EXP(-LN(2)/2)*DH98+(1-EXP(-LN(2)/2))/(LN(2)/2)*DB99*DE99*VLOOKUP('Données projet'!$B$13,Paramètres!$A$1:$I$89,3,0)*0.475*44/12</f>
        <v>8.3135563969393069E-10</v>
      </c>
      <c r="DI99" s="24">
        <f t="shared" si="69"/>
        <v>7.1928852809253785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287.69656598881124</v>
      </c>
      <c r="DU99" s="62">
        <f t="shared" si="98"/>
        <v>221.9773436301067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2.995642147143252E-9</v>
      </c>
      <c r="ED99" s="24">
        <f t="shared" si="72"/>
        <v>2.995642147143252E-9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344.36303707479811</v>
      </c>
      <c r="T100" s="62">
        <f t="shared" si="88"/>
        <v>207.92972431357452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553.99999999999966</v>
      </c>
      <c r="AJ100" s="14">
        <f>AI100*VLOOKUP('Données projet'!$B$10,Paramètres!$A$1:$I$89,3,0)*VLOOKUP('Données projet'!$B$10,Paramètres!$A$1:$I$89,5,0)</f>
        <v>259.27199999999988</v>
      </c>
      <c r="AK100" s="14">
        <f t="shared" si="89"/>
        <v>62.567172460757938</v>
      </c>
      <c r="AL100" s="22">
        <f t="shared" si="58"/>
        <v>560.53655870248656</v>
      </c>
      <c r="AM100" s="62">
        <f t="shared" si="59"/>
        <v>853.86989203581993</v>
      </c>
      <c r="AN100" s="62">
        <f ca="1">AVERAGE(OFFSET($AM$3,0,0,'Données projet'!$E$10+1,1))-AVERAGE(OFFSET($H$3,0,0,'Données projet'!$E$10+1,1))</f>
        <v>273.94989417245978</v>
      </c>
      <c r="AO100" s="62">
        <f t="shared" si="90"/>
        <v>244.91615281423549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247.81726778334098</v>
      </c>
      <c r="BJ100" s="62">
        <f t="shared" si="92"/>
        <v>278.55937893537259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1.5957542401668105E-9</v>
      </c>
      <c r="BS100" s="24">
        <f t="shared" si="63"/>
        <v>1.5957542401668105E-9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156.11420010556668</v>
      </c>
      <c r="CE100" s="62">
        <f t="shared" si="94"/>
        <v>318.01952986326501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26.212586317756145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2.1895365508924995E-8</v>
      </c>
      <c r="CN100" s="24">
        <f t="shared" si="66"/>
        <v>26.212586339651509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6.3550942286383367E-14</v>
      </c>
      <c r="CV100" s="14">
        <f t="shared" si="95"/>
        <v>1.0064464192543978E-12</v>
      </c>
      <c r="CW100" s="22">
        <f t="shared" si="67"/>
        <v>1.8635787380168604E-12</v>
      </c>
      <c r="CX100" s="62">
        <f t="shared" si="68"/>
        <v>293.33333333333519</v>
      </c>
      <c r="CY100" s="62">
        <f ca="1">AVERAGE(OFFSET($CX$3,0,0,'Données projet'!$E$13+1,1))-AVERAGE(OFFSET($H$3,0,0,'Données projet'!$E$13+1,1))</f>
        <v>321.56347025977988</v>
      </c>
      <c r="CZ100" s="62">
        <f t="shared" si="96"/>
        <v>285.79375360040717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5.269914804191381</v>
      </c>
      <c r="DG100" s="23">
        <f>EXP(-LN(2)/25)*DG99+(1-EXP(-LN(2)/25))/(LN(2)/25)*Calculateur!DB100*Calculateur!DD100*VLOOKUP('Données projet'!$B$13,Paramètres!$A$1:$I$89,3,0)*0.475*44/12</f>
        <v>1.767862323394507</v>
      </c>
      <c r="DH100" s="23">
        <f>EXP(-LN(2)/2)*DH99+(1-EXP(-LN(2)/2))/(LN(2)/2)*DB100*DE100*VLOOKUP('Données projet'!$B$13,Paramètres!$A$1:$I$89,3,0)*0.475*44/12</f>
        <v>5.8785721040525848E-10</v>
      </c>
      <c r="DI100" s="24">
        <f t="shared" si="69"/>
        <v>7.0377771281737447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287.69656598881124</v>
      </c>
      <c r="DU100" s="62">
        <f t="shared" si="98"/>
        <v>221.9773436301067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2.1182388762532229E-9</v>
      </c>
      <c r="ED100" s="24">
        <f t="shared" si="72"/>
        <v>2.1182388762532229E-9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344.36303707479811</v>
      </c>
      <c r="T101" s="62">
        <f t="shared" si="88"/>
        <v>207.92972431357452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553.99999999999966</v>
      </c>
      <c r="AJ101" s="14">
        <f>AI101*VLOOKUP('Données projet'!$B$10,Paramètres!$A$1:$I$89,3,0)*VLOOKUP('Données projet'!$B$10,Paramètres!$A$1:$I$89,5,0)</f>
        <v>259.27199999999988</v>
      </c>
      <c r="AK101" s="14">
        <f t="shared" si="89"/>
        <v>62.567172460757938</v>
      </c>
      <c r="AL101" s="22">
        <f t="shared" si="58"/>
        <v>560.53655870248656</v>
      </c>
      <c r="AM101" s="62">
        <f t="shared" si="59"/>
        <v>853.86989203581993</v>
      </c>
      <c r="AN101" s="62">
        <f ca="1">AVERAGE(OFFSET($AM$3,0,0,'Données projet'!$E$10+1,1))-AVERAGE(OFFSET($H$3,0,0,'Données projet'!$E$10+1,1))</f>
        <v>273.94989417245978</v>
      </c>
      <c r="AO101" s="62">
        <f t="shared" si="90"/>
        <v>244.91615281423549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247.81726778334098</v>
      </c>
      <c r="BJ101" s="62">
        <f t="shared" si="92"/>
        <v>278.55937893537259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1.1283686443291383E-9</v>
      </c>
      <c r="BS101" s="24">
        <f t="shared" si="63"/>
        <v>1.1283686443291383E-9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156.11420010556668</v>
      </c>
      <c r="CE101" s="62">
        <f t="shared" si="94"/>
        <v>318.01952986326501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25.698573488163905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1.5482361427918906E-8</v>
      </c>
      <c r="CN101" s="24">
        <f t="shared" si="66"/>
        <v>25.698573503646266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6.3550942286383367E-14</v>
      </c>
      <c r="CV101" s="14">
        <f t="shared" si="95"/>
        <v>1.0064464192543978E-12</v>
      </c>
      <c r="CW101" s="22">
        <f t="shared" si="67"/>
        <v>1.8635787380168604E-12</v>
      </c>
      <c r="CX101" s="62">
        <f t="shared" si="68"/>
        <v>293.33333333333519</v>
      </c>
      <c r="CY101" s="62">
        <f ca="1">AVERAGE(OFFSET($CX$3,0,0,'Données projet'!$E$13+1,1))-AVERAGE(OFFSET($H$3,0,0,'Données projet'!$E$13+1,1))</f>
        <v>321.56347025977988</v>
      </c>
      <c r="CZ101" s="62">
        <f t="shared" si="96"/>
        <v>285.79375360040717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5.1665749892118296</v>
      </c>
      <c r="DG101" s="23">
        <f>EXP(-LN(2)/25)*DG100+(1-EXP(-LN(2)/25))/(LN(2)/25)*Calculateur!DB101*Calculateur!DD101*VLOOKUP('Données projet'!$B$13,Paramètres!$A$1:$I$89,3,0)*0.475*44/12</f>
        <v>1.7195200351934452</v>
      </c>
      <c r="DH101" s="23">
        <f>EXP(-LN(2)/2)*DH100+(1-EXP(-LN(2)/2))/(LN(2)/2)*DB101*DE101*VLOOKUP('Données projet'!$B$13,Paramètres!$A$1:$I$89,3,0)*0.475*44/12</f>
        <v>4.1567781984696535E-10</v>
      </c>
      <c r="DI101" s="24">
        <f t="shared" si="69"/>
        <v>6.8860950248209534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287.69656598881124</v>
      </c>
      <c r="DU101" s="62">
        <f t="shared" si="98"/>
        <v>221.9773436301067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1.497821073571626E-9</v>
      </c>
      <c r="ED101" s="24">
        <f t="shared" si="72"/>
        <v>1.497821073571626E-9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344.36303707479811</v>
      </c>
      <c r="T102" s="62">
        <f t="shared" si="88"/>
        <v>207.92972431357452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553.99999999999966</v>
      </c>
      <c r="AJ102" s="14">
        <f>AI102*VLOOKUP('Données projet'!$B$10,Paramètres!$A$1:$I$89,3,0)*VLOOKUP('Données projet'!$B$10,Paramètres!$A$1:$I$89,5,0)</f>
        <v>259.27199999999988</v>
      </c>
      <c r="AK102" s="14">
        <f t="shared" si="89"/>
        <v>62.567172460757938</v>
      </c>
      <c r="AL102" s="22">
        <f t="shared" si="58"/>
        <v>560.53655870248656</v>
      </c>
      <c r="AM102" s="62">
        <f t="shared" si="59"/>
        <v>853.86989203581993</v>
      </c>
      <c r="AN102" s="62">
        <f ca="1">AVERAGE(OFFSET($AM$3,0,0,'Données projet'!$E$10+1,1))-AVERAGE(OFFSET($H$3,0,0,'Données projet'!$E$10+1,1))</f>
        <v>273.94989417245978</v>
      </c>
      <c r="AO102" s="62">
        <f t="shared" si="90"/>
        <v>244.91615281423549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247.81726778334098</v>
      </c>
      <c r="BJ102" s="62">
        <f t="shared" si="92"/>
        <v>278.55937893537259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7.9787712008340527E-10</v>
      </c>
      <c r="BS102" s="24">
        <f t="shared" si="63"/>
        <v>7.9787712008340527E-10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156.11420010556668</v>
      </c>
      <c r="CE102" s="62">
        <f t="shared" si="94"/>
        <v>318.01952986326501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25.194640136643102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1.0947682754462498E-8</v>
      </c>
      <c r="CN102" s="24">
        <f t="shared" si="66"/>
        <v>25.194640147590786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6.3550942286383367E-14</v>
      </c>
      <c r="CV102" s="14">
        <f t="shared" si="95"/>
        <v>1.0064464192543978E-12</v>
      </c>
      <c r="CW102" s="22">
        <f t="shared" si="67"/>
        <v>1.8635787380168604E-12</v>
      </c>
      <c r="CX102" s="62">
        <f t="shared" si="68"/>
        <v>293.33333333333519</v>
      </c>
      <c r="CY102" s="62">
        <f ca="1">AVERAGE(OFFSET($CX$3,0,0,'Données projet'!$E$13+1,1))-AVERAGE(OFFSET($H$3,0,0,'Données projet'!$E$13+1,1))</f>
        <v>321.56347025977988</v>
      </c>
      <c r="CZ102" s="62">
        <f t="shared" si="96"/>
        <v>285.79375360040717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5.0652616049729637</v>
      </c>
      <c r="DG102" s="23">
        <f>EXP(-LN(2)/25)*DG101+(1-EXP(-LN(2)/25))/(LN(2)/25)*Calculateur!DB102*Calculateur!DD102*VLOOKUP('Données projet'!$B$13,Paramètres!$A$1:$I$89,3,0)*0.475*44/12</f>
        <v>1.6724996694054519</v>
      </c>
      <c r="DH102" s="23">
        <f>EXP(-LN(2)/2)*DH101+(1-EXP(-LN(2)/2))/(LN(2)/2)*DB102*DE102*VLOOKUP('Données projet'!$B$13,Paramètres!$A$1:$I$89,3,0)*0.475*44/12</f>
        <v>2.9392860520262924E-10</v>
      </c>
      <c r="DI102" s="24">
        <f t="shared" si="69"/>
        <v>6.7377612746723443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287.69656598881124</v>
      </c>
      <c r="DU102" s="62">
        <f t="shared" si="98"/>
        <v>221.9773436301067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1.0591194381266114E-9</v>
      </c>
      <c r="ED102" s="24">
        <f t="shared" si="72"/>
        <v>1.0591194381266114E-9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344.36303707479811</v>
      </c>
      <c r="T103" s="62">
        <f t="shared" si="88"/>
        <v>207.92972431357452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553.99999999999966</v>
      </c>
      <c r="AJ103" s="14">
        <f>AI103*VLOOKUP('Données projet'!$B$10,Paramètres!$A$1:$I$89,3,0)*VLOOKUP('Données projet'!$B$10,Paramètres!$A$1:$I$89,5,0)</f>
        <v>259.27199999999988</v>
      </c>
      <c r="AK103" s="14">
        <f t="shared" si="89"/>
        <v>62.567172460757938</v>
      </c>
      <c r="AL103" s="22">
        <f t="shared" si="58"/>
        <v>560.53655870248656</v>
      </c>
      <c r="AM103" s="62">
        <f t="shared" si="59"/>
        <v>853.86989203581993</v>
      </c>
      <c r="AN103" s="62">
        <f ca="1">AVERAGE(OFFSET($AM$3,0,0,'Données projet'!$E$10+1,1))-AVERAGE(OFFSET($H$3,0,0,'Données projet'!$E$10+1,1))</f>
        <v>273.94989417245978</v>
      </c>
      <c r="AO103" s="62">
        <f t="shared" si="90"/>
        <v>244.91615281423549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247.81726778334098</v>
      </c>
      <c r="BJ103" s="62">
        <f t="shared" si="92"/>
        <v>278.55937893537259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5.6418432216456914E-10</v>
      </c>
      <c r="BS103" s="24">
        <f t="shared" si="63"/>
        <v>5.6418432216456914E-10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156.11420010556668</v>
      </c>
      <c r="CE103" s="62">
        <f t="shared" si="94"/>
        <v>318.01952986326501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24.700588610776627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7.741180713959453E-9</v>
      </c>
      <c r="CN103" s="24">
        <f t="shared" si="66"/>
        <v>24.700588618517809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6.3550942286383367E-14</v>
      </c>
      <c r="CV103" s="14">
        <f t="shared" si="95"/>
        <v>1.0064464192543978E-12</v>
      </c>
      <c r="CW103" s="22">
        <f t="shared" si="67"/>
        <v>1.8635787380168604E-12</v>
      </c>
      <c r="CX103" s="62">
        <f t="shared" si="68"/>
        <v>293.33333333333519</v>
      </c>
      <c r="CY103" s="62">
        <f ca="1">AVERAGE(OFFSET($CX$3,0,0,'Données projet'!$E$13+1,1))-AVERAGE(OFFSET($H$3,0,0,'Données projet'!$E$13+1,1))</f>
        <v>321.56347025977988</v>
      </c>
      <c r="CZ103" s="62">
        <f t="shared" si="96"/>
        <v>285.79375360040717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4.9659349144039595</v>
      </c>
      <c r="DG103" s="23">
        <f>EXP(-LN(2)/25)*DG102+(1-EXP(-LN(2)/25))/(LN(2)/25)*Calculateur!DB103*Calculateur!DD103*VLOOKUP('Données projet'!$B$13,Paramètres!$A$1:$I$89,3,0)*0.475*44/12</f>
        <v>1.6267650779926248</v>
      </c>
      <c r="DH103" s="23">
        <f>EXP(-LN(2)/2)*DH102+(1-EXP(-LN(2)/2))/(LN(2)/2)*DB103*DE103*VLOOKUP('Données projet'!$B$13,Paramètres!$A$1:$I$89,3,0)*0.475*44/12</f>
        <v>2.0783890992348267E-10</v>
      </c>
      <c r="DI103" s="24">
        <f t="shared" si="69"/>
        <v>6.5926999926044232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287.69656598881124</v>
      </c>
      <c r="DU103" s="62">
        <f t="shared" si="98"/>
        <v>221.9773436301067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7.48910536785813E-10</v>
      </c>
      <c r="ED103" s="24">
        <f t="shared" si="72"/>
        <v>7.48910536785813E-10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344.36303707479811</v>
      </c>
      <c r="T104" s="62">
        <f t="shared" si="88"/>
        <v>207.92972431357452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553.99999999999966</v>
      </c>
      <c r="AJ104" s="14">
        <f>AI104*VLOOKUP('Données projet'!$B$10,Paramètres!$A$1:$I$89,3,0)*VLOOKUP('Données projet'!$B$10,Paramètres!$A$1:$I$89,5,0)</f>
        <v>259.27199999999988</v>
      </c>
      <c r="AK104" s="14">
        <f t="shared" si="89"/>
        <v>62.567172460757938</v>
      </c>
      <c r="AL104" s="22">
        <f t="shared" si="58"/>
        <v>560.53655870248656</v>
      </c>
      <c r="AM104" s="62">
        <f t="shared" si="59"/>
        <v>853.86989203581993</v>
      </c>
      <c r="AN104" s="62">
        <f ca="1">AVERAGE(OFFSET($AM$3,0,0,'Données projet'!$E$10+1,1))-AVERAGE(OFFSET($H$3,0,0,'Données projet'!$E$10+1,1))</f>
        <v>273.94989417245978</v>
      </c>
      <c r="AO104" s="62">
        <f t="shared" si="90"/>
        <v>244.91615281423549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247.81726778334098</v>
      </c>
      <c r="BJ104" s="62">
        <f t="shared" si="92"/>
        <v>278.55937893537259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3.9893856004170264E-10</v>
      </c>
      <c r="BS104" s="24">
        <f t="shared" si="63"/>
        <v>3.9893856004170264E-10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156.11420010556668</v>
      </c>
      <c r="CE104" s="62">
        <f t="shared" si="94"/>
        <v>318.01952986326501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24.216225133990719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5.4738413772312488E-9</v>
      </c>
      <c r="CN104" s="24">
        <f t="shared" si="66"/>
        <v>24.216225139464559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6.3550942286383367E-14</v>
      </c>
      <c r="CV104" s="14">
        <f t="shared" si="95"/>
        <v>1.0064464192543978E-12</v>
      </c>
      <c r="CW104" s="22">
        <f t="shared" si="67"/>
        <v>1.8635787380168604E-12</v>
      </c>
      <c r="CX104" s="62">
        <f t="shared" si="68"/>
        <v>293.33333333333519</v>
      </c>
      <c r="CY104" s="62">
        <f ca="1">AVERAGE(OFFSET($CX$3,0,0,'Données projet'!$E$13+1,1))-AVERAGE(OFFSET($H$3,0,0,'Données projet'!$E$13+1,1))</f>
        <v>321.56347025977988</v>
      </c>
      <c r="CZ104" s="62">
        <f t="shared" si="96"/>
        <v>285.79375360040717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4.8685559596537145</v>
      </c>
      <c r="DG104" s="23">
        <f>EXP(-LN(2)/25)*DG103+(1-EXP(-LN(2)/25))/(LN(2)/25)*Calculateur!DB104*Calculateur!DD104*VLOOKUP('Données projet'!$B$13,Paramètres!$A$1:$I$89,3,0)*0.475*44/12</f>
        <v>1.582281101387059</v>
      </c>
      <c r="DH104" s="23">
        <f>EXP(-LN(2)/2)*DH103+(1-EXP(-LN(2)/2))/(LN(2)/2)*DB104*DE104*VLOOKUP('Données projet'!$B$13,Paramètres!$A$1:$I$89,3,0)*0.475*44/12</f>
        <v>1.4696430260131462E-10</v>
      </c>
      <c r="DI104" s="24">
        <f t="shared" si="69"/>
        <v>6.4508370611877375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287.69656598881124</v>
      </c>
      <c r="DU104" s="62">
        <f t="shared" si="98"/>
        <v>221.9773436301067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5.2955971906330571E-10</v>
      </c>
      <c r="ED104" s="24">
        <f t="shared" si="72"/>
        <v>5.2955971906330571E-10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344.36303707479811</v>
      </c>
      <c r="T105" s="62">
        <f t="shared" si="88"/>
        <v>207.92972431357452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553.99999999999966</v>
      </c>
      <c r="AJ105" s="14">
        <f>AI105*VLOOKUP('Données projet'!$B$10,Paramètres!$A$1:$I$89,3,0)*VLOOKUP('Données projet'!$B$10,Paramètres!$A$1:$I$89,5,0)</f>
        <v>259.27199999999988</v>
      </c>
      <c r="AK105" s="14">
        <f t="shared" si="89"/>
        <v>62.567172460757938</v>
      </c>
      <c r="AL105" s="22">
        <f t="shared" si="58"/>
        <v>560.53655870248656</v>
      </c>
      <c r="AM105" s="62">
        <f t="shared" si="59"/>
        <v>853.86989203581993</v>
      </c>
      <c r="AN105" s="62">
        <f ca="1">AVERAGE(OFFSET($AM$3,0,0,'Données projet'!$E$10+1,1))-AVERAGE(OFFSET($H$3,0,0,'Données projet'!$E$10+1,1))</f>
        <v>273.94989417245978</v>
      </c>
      <c r="AO105" s="62">
        <f t="shared" si="90"/>
        <v>244.91615281423549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247.81726778334098</v>
      </c>
      <c r="BJ105" s="62">
        <f t="shared" si="92"/>
        <v>278.55937893537259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2.8209216108228457E-10</v>
      </c>
      <c r="BS105" s="24">
        <f t="shared" si="63"/>
        <v>2.8209216108228457E-10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156.11420010556668</v>
      </c>
      <c r="CE105" s="62">
        <f t="shared" si="94"/>
        <v>318.01952986326501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23.741359729552034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3.8705903569797265E-9</v>
      </c>
      <c r="CN105" s="24">
        <f t="shared" si="66"/>
        <v>23.741359733422623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6.3550942286383367E-14</v>
      </c>
      <c r="CV105" s="14">
        <f t="shared" si="95"/>
        <v>1.0064464192543978E-12</v>
      </c>
      <c r="CW105" s="22">
        <f t="shared" si="67"/>
        <v>1.8635787380168604E-12</v>
      </c>
      <c r="CX105" s="62">
        <f t="shared" si="68"/>
        <v>293.33333333333519</v>
      </c>
      <c r="CY105" s="62">
        <f ca="1">AVERAGE(OFFSET($CX$3,0,0,'Données projet'!$E$13+1,1))-AVERAGE(OFFSET($H$3,0,0,'Données projet'!$E$13+1,1))</f>
        <v>321.56347025977988</v>
      </c>
      <c r="CZ105" s="62">
        <f t="shared" si="96"/>
        <v>285.79375360040717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4.7730865468108243</v>
      </c>
      <c r="DG105" s="23">
        <f>EXP(-LN(2)/25)*DG104+(1-EXP(-LN(2)/25))/(LN(2)/25)*Calculateur!DB105*Calculateur!DD105*VLOOKUP('Données projet'!$B$13,Paramètres!$A$1:$I$89,3,0)*0.475*44/12</f>
        <v>1.539013541461083</v>
      </c>
      <c r="DH105" s="23">
        <f>EXP(-LN(2)/2)*DH104+(1-EXP(-LN(2)/2))/(LN(2)/2)*DB105*DE105*VLOOKUP('Données projet'!$B$13,Paramètres!$A$1:$I$89,3,0)*0.475*44/12</f>
        <v>1.0391945496174134E-10</v>
      </c>
      <c r="DI105" s="24">
        <f t="shared" si="69"/>
        <v>6.3121000883758267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287.69656598881124</v>
      </c>
      <c r="DU105" s="62">
        <f t="shared" si="98"/>
        <v>221.9773436301067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3.744552683929065E-10</v>
      </c>
      <c r="ED105" s="24">
        <f t="shared" si="72"/>
        <v>3.744552683929065E-10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344.36303707479811</v>
      </c>
      <c r="T106" s="62">
        <f t="shared" si="88"/>
        <v>207.92972431357452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553.99999999999966</v>
      </c>
      <c r="AJ106" s="14">
        <f>AI106*VLOOKUP('Données projet'!$B$10,Paramètres!$A$1:$I$89,3,0)*VLOOKUP('Données projet'!$B$10,Paramètres!$A$1:$I$89,5,0)</f>
        <v>259.27199999999988</v>
      </c>
      <c r="AK106" s="14">
        <f t="shared" si="89"/>
        <v>62.567172460757938</v>
      </c>
      <c r="AL106" s="22">
        <f t="shared" si="58"/>
        <v>560.53655870248656</v>
      </c>
      <c r="AM106" s="62">
        <f t="shared" si="59"/>
        <v>853.86989203581993</v>
      </c>
      <c r="AN106" s="62">
        <f ca="1">AVERAGE(OFFSET($AM$3,0,0,'Données projet'!$E$10+1,1))-AVERAGE(OFFSET($H$3,0,0,'Données projet'!$E$10+1,1))</f>
        <v>273.94989417245978</v>
      </c>
      <c r="AO106" s="62">
        <f t="shared" si="90"/>
        <v>244.91615281423549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247.81726778334098</v>
      </c>
      <c r="BJ106" s="62">
        <f t="shared" si="92"/>
        <v>278.55937893537259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1.9946928002085132E-10</v>
      </c>
      <c r="BS106" s="24">
        <f t="shared" si="63"/>
        <v>1.9946928002085132E-10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156.11420010556668</v>
      </c>
      <c r="CE106" s="62">
        <f t="shared" si="94"/>
        <v>318.01952986326501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23.275806146055093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2.7369206886156244E-9</v>
      </c>
      <c r="CN106" s="24">
        <f t="shared" si="66"/>
        <v>23.275806148792014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6.3550942286383367E-14</v>
      </c>
      <c r="CV106" s="14">
        <f t="shared" si="95"/>
        <v>1.0064464192543978E-12</v>
      </c>
      <c r="CW106" s="22">
        <f t="shared" si="67"/>
        <v>1.8635787380168604E-12</v>
      </c>
      <c r="CX106" s="62">
        <f t="shared" si="68"/>
        <v>293.33333333333519</v>
      </c>
      <c r="CY106" s="62">
        <f ca="1">AVERAGE(OFFSET($CX$3,0,0,'Données projet'!$E$13+1,1))-AVERAGE(OFFSET($H$3,0,0,'Données projet'!$E$13+1,1))</f>
        <v>321.56347025977988</v>
      </c>
      <c r="CZ106" s="62">
        <f t="shared" si="96"/>
        <v>285.79375360040717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4.679489230923191</v>
      </c>
      <c r="DG106" s="23">
        <f>EXP(-LN(2)/25)*DG105+(1-EXP(-LN(2)/25))/(LN(2)/25)*Calculateur!DB106*Calculateur!DD106*VLOOKUP('Données projet'!$B$13,Paramètres!$A$1:$I$89,3,0)*0.475*44/12</f>
        <v>1.496929135236625</v>
      </c>
      <c r="DH106" s="23">
        <f>EXP(-LN(2)/2)*DH105+(1-EXP(-LN(2)/2))/(LN(2)/2)*DB106*DE106*VLOOKUP('Données projet'!$B$13,Paramètres!$A$1:$I$89,3,0)*0.475*44/12</f>
        <v>7.348215130065731E-11</v>
      </c>
      <c r="DI106" s="24">
        <f t="shared" si="69"/>
        <v>6.1764183662332988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287.69656598881124</v>
      </c>
      <c r="DU106" s="62">
        <f t="shared" si="98"/>
        <v>221.9773436301067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2.6477985953165286E-10</v>
      </c>
      <c r="ED106" s="24">
        <f t="shared" si="72"/>
        <v>2.6477985953165286E-10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344.36303707479811</v>
      </c>
      <c r="T107" s="62">
        <f t="shared" si="88"/>
        <v>207.92972431357452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553.99999999999966</v>
      </c>
      <c r="AJ107" s="14">
        <f>AI107*VLOOKUP('Données projet'!$B$10,Paramètres!$A$1:$I$89,3,0)*VLOOKUP('Données projet'!$B$10,Paramètres!$A$1:$I$89,5,0)</f>
        <v>259.27199999999988</v>
      </c>
      <c r="AK107" s="14">
        <f t="shared" si="89"/>
        <v>62.567172460757938</v>
      </c>
      <c r="AL107" s="22">
        <f t="shared" si="58"/>
        <v>560.53655870248656</v>
      </c>
      <c r="AM107" s="62">
        <f t="shared" si="59"/>
        <v>853.86989203581993</v>
      </c>
      <c r="AN107" s="62">
        <f ca="1">AVERAGE(OFFSET($AM$3,0,0,'Données projet'!$E$10+1,1))-AVERAGE(OFFSET($H$3,0,0,'Données projet'!$E$10+1,1))</f>
        <v>273.94989417245978</v>
      </c>
      <c r="AO107" s="62">
        <f t="shared" si="90"/>
        <v>244.91615281423549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247.81726778334098</v>
      </c>
      <c r="BJ107" s="62">
        <f t="shared" si="92"/>
        <v>278.55937893537259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1.4104608054114229E-10</v>
      </c>
      <c r="BS107" s="24">
        <f t="shared" si="63"/>
        <v>1.4104608054114229E-10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156.11420010556668</v>
      </c>
      <c r="CE107" s="62">
        <f t="shared" si="94"/>
        <v>318.01952986326501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22.819381784370879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1.9352951784898633E-9</v>
      </c>
      <c r="CN107" s="24">
        <f t="shared" si="66"/>
        <v>22.819381786306174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6.3550942286383367E-14</v>
      </c>
      <c r="CV107" s="14">
        <f t="shared" si="95"/>
        <v>1.0064464192543978E-12</v>
      </c>
      <c r="CW107" s="22">
        <f t="shared" si="67"/>
        <v>1.8635787380168604E-12</v>
      </c>
      <c r="CX107" s="62">
        <f t="shared" si="68"/>
        <v>293.33333333333519</v>
      </c>
      <c r="CY107" s="62">
        <f ca="1">AVERAGE(OFFSET($CX$3,0,0,'Données projet'!$E$13+1,1))-AVERAGE(OFFSET($H$3,0,0,'Données projet'!$E$13+1,1))</f>
        <v>321.56347025977988</v>
      </c>
      <c r="CZ107" s="62">
        <f t="shared" si="96"/>
        <v>285.79375360040717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4.5877273013113884</v>
      </c>
      <c r="DG107" s="23">
        <f>EXP(-LN(2)/25)*DG106+(1-EXP(-LN(2)/25))/(LN(2)/25)*Calculateur!DB107*Calculateur!DD107*VLOOKUP('Données projet'!$B$13,Paramètres!$A$1:$I$89,3,0)*0.475*44/12</f>
        <v>1.4559955293134974</v>
      </c>
      <c r="DH107" s="23">
        <f>EXP(-LN(2)/2)*DH106+(1-EXP(-LN(2)/2))/(LN(2)/2)*DB107*DE107*VLOOKUP('Données projet'!$B$13,Paramètres!$A$1:$I$89,3,0)*0.475*44/12</f>
        <v>5.1959727480870668E-11</v>
      </c>
      <c r="DI107" s="24">
        <f t="shared" si="69"/>
        <v>6.0437228306768453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287.69656598881124</v>
      </c>
      <c r="DU107" s="62">
        <f t="shared" si="98"/>
        <v>221.9773436301067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1.8722763419645325E-10</v>
      </c>
      <c r="ED107" s="24">
        <f t="shared" si="72"/>
        <v>1.8722763419645325E-10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344.36303707479811</v>
      </c>
      <c r="T108" s="62">
        <f t="shared" si="88"/>
        <v>207.92972431357452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553.99999999999966</v>
      </c>
      <c r="AJ108" s="14">
        <f>AI108*VLOOKUP('Données projet'!$B$10,Paramètres!$A$1:$I$89,3,0)*VLOOKUP('Données projet'!$B$10,Paramètres!$A$1:$I$89,5,0)</f>
        <v>259.27199999999988</v>
      </c>
      <c r="AK108" s="14">
        <f t="shared" si="89"/>
        <v>62.567172460757938</v>
      </c>
      <c r="AL108" s="22">
        <f t="shared" si="58"/>
        <v>560.53655870248656</v>
      </c>
      <c r="AM108" s="62">
        <f t="shared" si="59"/>
        <v>853.86989203581993</v>
      </c>
      <c r="AN108" s="62">
        <f ca="1">AVERAGE(OFFSET($AM$3,0,0,'Données projet'!$E$10+1,1))-AVERAGE(OFFSET($H$3,0,0,'Données projet'!$E$10+1,1))</f>
        <v>273.94989417245978</v>
      </c>
      <c r="AO108" s="62">
        <f t="shared" si="90"/>
        <v>244.91615281423549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247.81726778334098</v>
      </c>
      <c r="BJ108" s="62">
        <f t="shared" si="92"/>
        <v>278.55937893537259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9.9734640010425659E-11</v>
      </c>
      <c r="BS108" s="24">
        <f t="shared" si="63"/>
        <v>9.9734640010425659E-11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156.11420010556668</v>
      </c>
      <c r="CE108" s="62">
        <f t="shared" si="94"/>
        <v>318.01952986326501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22.371907626027923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1.3684603443078122E-9</v>
      </c>
      <c r="CN108" s="24">
        <f t="shared" si="66"/>
        <v>22.371907627396382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6.3550942286383367E-14</v>
      </c>
      <c r="CV108" s="14">
        <f t="shared" si="95"/>
        <v>1.0064464192543978E-12</v>
      </c>
      <c r="CW108" s="22">
        <f t="shared" si="67"/>
        <v>1.8635787380168604E-12</v>
      </c>
      <c r="CX108" s="62">
        <f t="shared" si="68"/>
        <v>293.33333333333519</v>
      </c>
      <c r="CY108" s="62">
        <f ca="1">AVERAGE(OFFSET($CX$3,0,0,'Données projet'!$E$13+1,1))-AVERAGE(OFFSET($H$3,0,0,'Données projet'!$E$13+1,1))</f>
        <v>321.56347025977988</v>
      </c>
      <c r="CZ108" s="62">
        <f t="shared" si="96"/>
        <v>285.79375360040717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4.4977647671700227</v>
      </c>
      <c r="DG108" s="23">
        <f>EXP(-LN(2)/25)*DG107+(1-EXP(-LN(2)/25))/(LN(2)/25)*Calculateur!DB108*Calculateur!DD108*VLOOKUP('Données projet'!$B$13,Paramètres!$A$1:$I$89,3,0)*0.475*44/12</f>
        <v>1.4161812549969426</v>
      </c>
      <c r="DH108" s="23">
        <f>EXP(-LN(2)/2)*DH107+(1-EXP(-LN(2)/2))/(LN(2)/2)*DB108*DE108*VLOOKUP('Données projet'!$B$13,Paramètres!$A$1:$I$89,3,0)*0.475*44/12</f>
        <v>3.6741075650328655E-11</v>
      </c>
      <c r="DI108" s="24">
        <f t="shared" si="69"/>
        <v>5.9139460222037066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287.69656598881124</v>
      </c>
      <c r="DU108" s="62">
        <f t="shared" si="98"/>
        <v>221.9773436301067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1.3238992976582643E-10</v>
      </c>
      <c r="ED108" s="24">
        <f t="shared" si="72"/>
        <v>1.3238992976582643E-10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344.36303707479811</v>
      </c>
      <c r="T109" s="62">
        <f t="shared" si="88"/>
        <v>207.92972431357452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553.99999999999966</v>
      </c>
      <c r="AJ109" s="14">
        <f>AI109*VLOOKUP('Données projet'!$B$10,Paramètres!$A$1:$I$89,3,0)*VLOOKUP('Données projet'!$B$10,Paramètres!$A$1:$I$89,5,0)</f>
        <v>259.27199999999988</v>
      </c>
      <c r="AK109" s="14">
        <f t="shared" si="89"/>
        <v>62.567172460757938</v>
      </c>
      <c r="AL109" s="22">
        <f t="shared" si="58"/>
        <v>560.53655870248656</v>
      </c>
      <c r="AM109" s="62">
        <f t="shared" si="59"/>
        <v>853.86989203581993</v>
      </c>
      <c r="AN109" s="62">
        <f ca="1">AVERAGE(OFFSET($AM$3,0,0,'Données projet'!$E$10+1,1))-AVERAGE(OFFSET($H$3,0,0,'Données projet'!$E$10+1,1))</f>
        <v>273.94989417245978</v>
      </c>
      <c r="AO109" s="62">
        <f t="shared" si="90"/>
        <v>244.91615281423549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247.81726778334098</v>
      </c>
      <c r="BJ109" s="62">
        <f t="shared" si="92"/>
        <v>278.55937893537259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7.0523040270571143E-11</v>
      </c>
      <c r="BS109" s="24">
        <f t="shared" si="63"/>
        <v>7.0523040270571143E-11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156.11420010556668</v>
      </c>
      <c r="CE109" s="62">
        <f t="shared" si="94"/>
        <v>318.01952986326501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21.933208162997783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9.6764758924493163E-10</v>
      </c>
      <c r="CN109" s="24">
        <f t="shared" si="66"/>
        <v>21.933208163965432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6.3550942286383367E-14</v>
      </c>
      <c r="CV109" s="14">
        <f t="shared" si="95"/>
        <v>1.0064464192543978E-12</v>
      </c>
      <c r="CW109" s="22">
        <f t="shared" si="67"/>
        <v>1.8635787380168604E-12</v>
      </c>
      <c r="CX109" s="62">
        <f t="shared" si="68"/>
        <v>293.33333333333519</v>
      </c>
      <c r="CY109" s="62">
        <f ca="1">AVERAGE(OFFSET($CX$3,0,0,'Données projet'!$E$13+1,1))-AVERAGE(OFFSET($H$3,0,0,'Données projet'!$E$13+1,1))</f>
        <v>321.56347025977988</v>
      </c>
      <c r="CZ109" s="62">
        <f t="shared" si="96"/>
        <v>285.79375360040717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4.4095663434514414</v>
      </c>
      <c r="DG109" s="23">
        <f>EXP(-LN(2)/25)*DG108+(1-EXP(-LN(2)/25))/(LN(2)/25)*Calculateur!DB109*Calculateur!DD109*VLOOKUP('Données projet'!$B$13,Paramètres!$A$1:$I$89,3,0)*0.475*44/12</f>
        <v>1.3774557041053157</v>
      </c>
      <c r="DH109" s="23">
        <f>EXP(-LN(2)/2)*DH108+(1-EXP(-LN(2)/2))/(LN(2)/2)*DB109*DE109*VLOOKUP('Données projet'!$B$13,Paramètres!$A$1:$I$89,3,0)*0.475*44/12</f>
        <v>2.5979863740435334E-11</v>
      </c>
      <c r="DI109" s="24">
        <f t="shared" si="69"/>
        <v>5.7870220475827372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287.69656598881124</v>
      </c>
      <c r="DU109" s="62">
        <f t="shared" si="98"/>
        <v>221.9773436301067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9.3613817098226625E-11</v>
      </c>
      <c r="ED109" s="24">
        <f t="shared" si="72"/>
        <v>9.3613817098226625E-11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344.36303707479811</v>
      </c>
      <c r="T110" s="62">
        <f t="shared" si="88"/>
        <v>207.92972431357452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553.99999999999966</v>
      </c>
      <c r="AJ110" s="14">
        <f>AI110*VLOOKUP('Données projet'!$B$10,Paramètres!$A$1:$I$89,3,0)*VLOOKUP('Données projet'!$B$10,Paramètres!$A$1:$I$89,5,0)</f>
        <v>259.27199999999988</v>
      </c>
      <c r="AK110" s="14">
        <f t="shared" si="89"/>
        <v>62.567172460757938</v>
      </c>
      <c r="AL110" s="22">
        <f t="shared" si="58"/>
        <v>560.53655870248656</v>
      </c>
      <c r="AM110" s="62">
        <f t="shared" si="59"/>
        <v>853.86989203581993</v>
      </c>
      <c r="AN110" s="62">
        <f ca="1">AVERAGE(OFFSET($AM$3,0,0,'Données projet'!$E$10+1,1))-AVERAGE(OFFSET($H$3,0,0,'Données projet'!$E$10+1,1))</f>
        <v>273.94989417245978</v>
      </c>
      <c r="AO110" s="62">
        <f t="shared" si="90"/>
        <v>244.91615281423549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247.81726778334098</v>
      </c>
      <c r="BJ110" s="62">
        <f t="shared" si="92"/>
        <v>278.55937893537259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4.986732000521283E-11</v>
      </c>
      <c r="BS110" s="24">
        <f t="shared" si="63"/>
        <v>4.986732000521283E-11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156.11420010556668</v>
      </c>
      <c r="CE110" s="62">
        <f t="shared" si="94"/>
        <v>318.01952986326501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21.503111328857415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6.842301721539061E-10</v>
      </c>
      <c r="CN110" s="24">
        <f t="shared" si="66"/>
        <v>21.503111329541646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6.3550942286383367E-14</v>
      </c>
      <c r="CV110" s="14">
        <f t="shared" si="95"/>
        <v>1.0064464192543978E-12</v>
      </c>
      <c r="CW110" s="22">
        <f t="shared" si="67"/>
        <v>1.8635787380168604E-12</v>
      </c>
      <c r="CX110" s="62">
        <f t="shared" si="68"/>
        <v>293.33333333333519</v>
      </c>
      <c r="CY110" s="62">
        <f ca="1">AVERAGE(OFFSET($CX$3,0,0,'Données projet'!$E$13+1,1))-AVERAGE(OFFSET($H$3,0,0,'Données projet'!$E$13+1,1))</f>
        <v>321.56347025977988</v>
      </c>
      <c r="CZ110" s="62">
        <f t="shared" si="96"/>
        <v>285.79375360040717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4.3230974370262549</v>
      </c>
      <c r="DG110" s="23">
        <f>EXP(-LN(2)/25)*DG109+(1-EXP(-LN(2)/25))/(LN(2)/25)*Calculateur!DB110*Calculateur!DD110*VLOOKUP('Données projet'!$B$13,Paramètres!$A$1:$I$89,3,0)*0.475*44/12</f>
        <v>1.3397891054393085</v>
      </c>
      <c r="DH110" s="23">
        <f>EXP(-LN(2)/2)*DH109+(1-EXP(-LN(2)/2))/(LN(2)/2)*DB110*DE110*VLOOKUP('Données projet'!$B$13,Paramètres!$A$1:$I$89,3,0)*0.475*44/12</f>
        <v>1.8370537825164328E-11</v>
      </c>
      <c r="DI110" s="24">
        <f t="shared" si="69"/>
        <v>5.6628865424839336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287.69656598881124</v>
      </c>
      <c r="DU110" s="62">
        <f t="shared" si="98"/>
        <v>221.9773436301067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6.6194964882913214E-11</v>
      </c>
      <c r="ED110" s="24">
        <f t="shared" si="72"/>
        <v>6.6194964882913214E-11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344.36303707479811</v>
      </c>
      <c r="T111" s="62">
        <f t="shared" si="88"/>
        <v>207.92972431357452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553.99999999999966</v>
      </c>
      <c r="AJ111" s="14">
        <f>AI111*VLOOKUP('Données projet'!$B$10,Paramètres!$A$1:$I$89,3,0)*VLOOKUP('Données projet'!$B$10,Paramètres!$A$1:$I$89,5,0)</f>
        <v>259.27199999999988</v>
      </c>
      <c r="AK111" s="14">
        <f t="shared" si="89"/>
        <v>62.567172460757938</v>
      </c>
      <c r="AL111" s="22">
        <f t="shared" si="58"/>
        <v>560.53655870248656</v>
      </c>
      <c r="AM111" s="62">
        <f t="shared" si="59"/>
        <v>853.86989203581993</v>
      </c>
      <c r="AN111" s="62">
        <f ca="1">AVERAGE(OFFSET($AM$3,0,0,'Données projet'!$E$10+1,1))-AVERAGE(OFFSET($H$3,0,0,'Données projet'!$E$10+1,1))</f>
        <v>273.94989417245978</v>
      </c>
      <c r="AO111" s="62">
        <f t="shared" si="90"/>
        <v>244.91615281423549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247.81726778334098</v>
      </c>
      <c r="BJ111" s="62">
        <f t="shared" si="92"/>
        <v>278.55937893537259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3.5261520135285572E-11</v>
      </c>
      <c r="BS111" s="24">
        <f t="shared" si="63"/>
        <v>3.5261520135285572E-11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156.11420010556668</v>
      </c>
      <c r="CE111" s="62">
        <f t="shared" si="94"/>
        <v>318.01952986326501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21.081448431301371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4.8382379462246581E-10</v>
      </c>
      <c r="CN111" s="24">
        <f t="shared" si="66"/>
        <v>21.081448431785194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6.3550942286383367E-14</v>
      </c>
      <c r="CV111" s="14">
        <f t="shared" si="95"/>
        <v>1.0064464192543978E-12</v>
      </c>
      <c r="CW111" s="22">
        <f t="shared" si="67"/>
        <v>1.8635787380168604E-12</v>
      </c>
      <c r="CX111" s="62">
        <f t="shared" si="68"/>
        <v>293.33333333333519</v>
      </c>
      <c r="CY111" s="62">
        <f ca="1">AVERAGE(OFFSET($CX$3,0,0,'Données projet'!$E$13+1,1))-AVERAGE(OFFSET($H$3,0,0,'Données projet'!$E$13+1,1))</f>
        <v>321.56347025977988</v>
      </c>
      <c r="CZ111" s="62">
        <f t="shared" si="96"/>
        <v>285.79375360040717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4.238324133115241</v>
      </c>
      <c r="DG111" s="23">
        <f>EXP(-LN(2)/25)*DG110+(1-EXP(-LN(2)/25))/(LN(2)/25)*Calculateur!DB111*Calculateur!DD111*VLOOKUP('Données projet'!$B$13,Paramètres!$A$1:$I$89,3,0)*0.475*44/12</f>
        <v>1.3031525018946237</v>
      </c>
      <c r="DH111" s="23">
        <f>EXP(-LN(2)/2)*DH110+(1-EXP(-LN(2)/2))/(LN(2)/2)*DB111*DE111*VLOOKUP('Données projet'!$B$13,Paramètres!$A$1:$I$89,3,0)*0.475*44/12</f>
        <v>1.2989931870217667E-11</v>
      </c>
      <c r="DI111" s="24">
        <f t="shared" si="69"/>
        <v>5.5414766350228541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287.69656598881124</v>
      </c>
      <c r="DU111" s="62">
        <f t="shared" si="98"/>
        <v>221.9773436301067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4.6806908549113313E-11</v>
      </c>
      <c r="ED111" s="24">
        <f t="shared" si="72"/>
        <v>4.6806908549113313E-11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344.36303707479811</v>
      </c>
      <c r="T112" s="62">
        <f t="shared" si="88"/>
        <v>207.92972431357452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553.99999999999966</v>
      </c>
      <c r="AJ112" s="14">
        <f>AI112*VLOOKUP('Données projet'!$B$10,Paramètres!$A$1:$I$89,3,0)*VLOOKUP('Données projet'!$B$10,Paramètres!$A$1:$I$89,5,0)</f>
        <v>259.27199999999988</v>
      </c>
      <c r="AK112" s="14">
        <f t="shared" si="89"/>
        <v>62.567172460757938</v>
      </c>
      <c r="AL112" s="22">
        <f t="shared" si="58"/>
        <v>560.53655870248656</v>
      </c>
      <c r="AM112" s="62">
        <f t="shared" si="59"/>
        <v>853.86989203581993</v>
      </c>
      <c r="AN112" s="62">
        <f ca="1">AVERAGE(OFFSET($AM$3,0,0,'Données projet'!$E$10+1,1))-AVERAGE(OFFSET($H$3,0,0,'Données projet'!$E$10+1,1))</f>
        <v>273.94989417245978</v>
      </c>
      <c r="AO112" s="62">
        <f t="shared" si="90"/>
        <v>244.91615281423549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247.81726778334098</v>
      </c>
      <c r="BJ112" s="62">
        <f t="shared" si="92"/>
        <v>278.55937893537259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2.4933660002606415E-11</v>
      </c>
      <c r="BS112" s="24">
        <f t="shared" si="63"/>
        <v>2.4933660002606415E-11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156.11420010556668</v>
      </c>
      <c r="CE112" s="62">
        <f t="shared" si="94"/>
        <v>318.01952986326501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20.668054085977431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3.4211508607695305E-10</v>
      </c>
      <c r="CN112" s="24">
        <f t="shared" si="66"/>
        <v>20.668054086319547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6.3550942286383367E-14</v>
      </c>
      <c r="CV112" s="14">
        <f t="shared" si="95"/>
        <v>1.0064464192543978E-12</v>
      </c>
      <c r="CW112" s="22">
        <f t="shared" si="67"/>
        <v>1.8635787380168604E-12</v>
      </c>
      <c r="CX112" s="62">
        <f t="shared" si="68"/>
        <v>293.33333333333519</v>
      </c>
      <c r="CY112" s="62">
        <f ca="1">AVERAGE(OFFSET($CX$3,0,0,'Données projet'!$E$13+1,1))-AVERAGE(OFFSET($H$3,0,0,'Données projet'!$E$13+1,1))</f>
        <v>321.56347025977988</v>
      </c>
      <c r="CZ112" s="62">
        <f t="shared" si="96"/>
        <v>285.79375360040717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4.155213181987313</v>
      </c>
      <c r="DG112" s="23">
        <f>EXP(-LN(2)/25)*DG111+(1-EXP(-LN(2)/25))/(LN(2)/25)*Calculateur!DB112*Calculateur!DD112*VLOOKUP('Données projet'!$B$13,Paramètres!$A$1:$I$89,3,0)*0.475*44/12</f>
        <v>1.2675177282005035</v>
      </c>
      <c r="DH112" s="23">
        <f>EXP(-LN(2)/2)*DH111+(1-EXP(-LN(2)/2))/(LN(2)/2)*DB112*DE112*VLOOKUP('Données projet'!$B$13,Paramètres!$A$1:$I$89,3,0)*0.475*44/12</f>
        <v>9.1852689125821638E-12</v>
      </c>
      <c r="DI112" s="24">
        <f t="shared" si="69"/>
        <v>5.4227309101970018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287.69656598881124</v>
      </c>
      <c r="DU112" s="62">
        <f t="shared" si="98"/>
        <v>221.9773436301067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3.3097482441456607E-11</v>
      </c>
      <c r="ED112" s="24">
        <f t="shared" si="72"/>
        <v>3.3097482441456607E-11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344.36303707479811</v>
      </c>
      <c r="T113" s="62">
        <f t="shared" si="88"/>
        <v>207.92972431357452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553.99999999999966</v>
      </c>
      <c r="AJ113" s="14">
        <f>AI113*VLOOKUP('Données projet'!$B$10,Paramètres!$A$1:$I$89,3,0)*VLOOKUP('Données projet'!$B$10,Paramètres!$A$1:$I$89,5,0)</f>
        <v>259.27199999999988</v>
      </c>
      <c r="AK113" s="14">
        <f t="shared" si="89"/>
        <v>62.567172460757938</v>
      </c>
      <c r="AL113" s="22">
        <f t="shared" si="58"/>
        <v>560.53655870248656</v>
      </c>
      <c r="AM113" s="62">
        <f t="shared" si="59"/>
        <v>853.86989203581993</v>
      </c>
      <c r="AN113" s="62">
        <f ca="1">AVERAGE(OFFSET($AM$3,0,0,'Données projet'!$E$10+1,1))-AVERAGE(OFFSET($H$3,0,0,'Données projet'!$E$10+1,1))</f>
        <v>273.94989417245978</v>
      </c>
      <c r="AO113" s="62">
        <f t="shared" si="90"/>
        <v>244.91615281423549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247.81726778334098</v>
      </c>
      <c r="BJ113" s="62">
        <f t="shared" si="92"/>
        <v>278.55937893537259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1.7630760067642786E-11</v>
      </c>
      <c r="BS113" s="24">
        <f t="shared" si="63"/>
        <v>1.7630760067642786E-11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156.11420010556668</v>
      </c>
      <c r="CE113" s="62">
        <f t="shared" si="94"/>
        <v>318.01952986326501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20.26276615161964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2.4191189731123291E-10</v>
      </c>
      <c r="CN113" s="24">
        <f t="shared" si="66"/>
        <v>20.262766151861552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6.3550942286383367E-14</v>
      </c>
      <c r="CV113" s="14">
        <f t="shared" si="95"/>
        <v>1.0064464192543978E-12</v>
      </c>
      <c r="CW113" s="22">
        <f t="shared" si="67"/>
        <v>1.8635787380168604E-12</v>
      </c>
      <c r="CX113" s="62">
        <f t="shared" si="68"/>
        <v>293.33333333333519</v>
      </c>
      <c r="CY113" s="62">
        <f ca="1">AVERAGE(OFFSET($CX$3,0,0,'Données projet'!$E$13+1,1))-AVERAGE(OFFSET($H$3,0,0,'Données projet'!$E$13+1,1))</f>
        <v>321.56347025977988</v>
      </c>
      <c r="CZ113" s="62">
        <f t="shared" si="96"/>
        <v>285.79375360040717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4.0737319859183287</v>
      </c>
      <c r="DG113" s="23">
        <f>EXP(-LN(2)/25)*DG112+(1-EXP(-LN(2)/25))/(LN(2)/25)*Calculateur!DB113*Calculateur!DD113*VLOOKUP('Données projet'!$B$13,Paramètres!$A$1:$I$89,3,0)*0.475*44/12</f>
        <v>1.2328573892670003</v>
      </c>
      <c r="DH113" s="23">
        <f>EXP(-LN(2)/2)*DH112+(1-EXP(-LN(2)/2))/(LN(2)/2)*DB113*DE113*VLOOKUP('Données projet'!$B$13,Paramètres!$A$1:$I$89,3,0)*0.475*44/12</f>
        <v>6.4949659351088335E-12</v>
      </c>
      <c r="DI113" s="24">
        <f t="shared" si="69"/>
        <v>5.3065893751918241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287.69656598881124</v>
      </c>
      <c r="DU113" s="62">
        <f t="shared" si="98"/>
        <v>221.9773436301067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2.3403454274556656E-11</v>
      </c>
      <c r="ED113" s="24">
        <f t="shared" si="72"/>
        <v>2.3403454274556656E-11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344.36303707479811</v>
      </c>
      <c r="T114" s="62">
        <f t="shared" si="88"/>
        <v>207.92972431357452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553.99999999999966</v>
      </c>
      <c r="AJ114" s="14">
        <f>AI114*VLOOKUP('Données projet'!$B$10,Paramètres!$A$1:$I$89,3,0)*VLOOKUP('Données projet'!$B$10,Paramètres!$A$1:$I$89,5,0)</f>
        <v>259.27199999999988</v>
      </c>
      <c r="AK114" s="14">
        <f t="shared" si="89"/>
        <v>62.567172460757938</v>
      </c>
      <c r="AL114" s="22">
        <f t="shared" si="58"/>
        <v>560.53655870248656</v>
      </c>
      <c r="AM114" s="62">
        <f t="shared" si="59"/>
        <v>853.86989203581993</v>
      </c>
      <c r="AN114" s="62">
        <f ca="1">AVERAGE(OFFSET($AM$3,0,0,'Données projet'!$E$10+1,1))-AVERAGE(OFFSET($H$3,0,0,'Données projet'!$E$10+1,1))</f>
        <v>273.94989417245978</v>
      </c>
      <c r="AO114" s="62">
        <f t="shared" si="90"/>
        <v>244.91615281423549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247.81726778334098</v>
      </c>
      <c r="BJ114" s="62">
        <f t="shared" si="92"/>
        <v>278.55937893537259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1.2466830001303207E-11</v>
      </c>
      <c r="BS114" s="24">
        <f t="shared" si="63"/>
        <v>1.2466830001303207E-11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156.11420010556668</v>
      </c>
      <c r="CE114" s="62">
        <f t="shared" si="94"/>
        <v>318.01952986326501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19.865425666453376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1.7105754303847652E-10</v>
      </c>
      <c r="CN114" s="24">
        <f t="shared" si="66"/>
        <v>19.865425666624432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6.3550942286383367E-14</v>
      </c>
      <c r="CV114" s="14">
        <f t="shared" si="95"/>
        <v>1.0064464192543978E-12</v>
      </c>
      <c r="CW114" s="22">
        <f t="shared" si="67"/>
        <v>1.8635787380168604E-12</v>
      </c>
      <c r="CX114" s="62">
        <f t="shared" si="68"/>
        <v>293.33333333333519</v>
      </c>
      <c r="CY114" s="62">
        <f ca="1">AVERAGE(OFFSET($CX$3,0,0,'Données projet'!$E$13+1,1))-AVERAGE(OFFSET($H$3,0,0,'Données projet'!$E$13+1,1))</f>
        <v>321.56347025977988</v>
      </c>
      <c r="CZ114" s="62">
        <f t="shared" si="96"/>
        <v>285.79375360040717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3.993848586405635</v>
      </c>
      <c r="DG114" s="23">
        <f>EXP(-LN(2)/25)*DG113+(1-EXP(-LN(2)/25))/(LN(2)/25)*Calculateur!DB114*Calculateur!DD114*VLOOKUP('Données projet'!$B$13,Paramètres!$A$1:$I$89,3,0)*0.475*44/12</f>
        <v>1.1991448391243418</v>
      </c>
      <c r="DH114" s="23">
        <f>EXP(-LN(2)/2)*DH113+(1-EXP(-LN(2)/2))/(LN(2)/2)*DB114*DE114*VLOOKUP('Données projet'!$B$13,Paramètres!$A$1:$I$89,3,0)*0.475*44/12</f>
        <v>4.5926344562910819E-12</v>
      </c>
      <c r="DI114" s="24">
        <f t="shared" si="69"/>
        <v>5.1929934255345698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287.69656598881124</v>
      </c>
      <c r="DU114" s="62">
        <f t="shared" si="98"/>
        <v>221.9773436301067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1.6548741220728304E-11</v>
      </c>
      <c r="ED114" s="24">
        <f t="shared" si="72"/>
        <v>1.6548741220728304E-11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344.36303707479811</v>
      </c>
      <c r="T115" s="62">
        <f t="shared" si="88"/>
        <v>207.92972431357452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553.99999999999966</v>
      </c>
      <c r="AJ115" s="14">
        <f>AI115*VLOOKUP('Données projet'!$B$10,Paramètres!$A$1:$I$89,3,0)*VLOOKUP('Données projet'!$B$10,Paramètres!$A$1:$I$89,5,0)</f>
        <v>259.27199999999988</v>
      </c>
      <c r="AK115" s="14">
        <f t="shared" si="89"/>
        <v>62.567172460757938</v>
      </c>
      <c r="AL115" s="22">
        <f t="shared" si="58"/>
        <v>560.53655870248656</v>
      </c>
      <c r="AM115" s="62">
        <f t="shared" si="59"/>
        <v>853.86989203581993</v>
      </c>
      <c r="AN115" s="62">
        <f ca="1">AVERAGE(OFFSET($AM$3,0,0,'Données projet'!$E$10+1,1))-AVERAGE(OFFSET($H$3,0,0,'Données projet'!$E$10+1,1))</f>
        <v>273.94989417245978</v>
      </c>
      <c r="AO115" s="62">
        <f t="shared" si="90"/>
        <v>244.91615281423549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247.81726778334098</v>
      </c>
      <c r="BJ115" s="62">
        <f t="shared" si="92"/>
        <v>278.55937893537259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8.8153800338213929E-12</v>
      </c>
      <c r="BS115" s="24">
        <f t="shared" si="63"/>
        <v>8.8153800338213929E-12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156.11420010556668</v>
      </c>
      <c r="CE115" s="62">
        <f t="shared" si="94"/>
        <v>318.01952986326501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19.475876785847454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1.2095594865561645E-10</v>
      </c>
      <c r="CN115" s="24">
        <f t="shared" si="66"/>
        <v>19.47587678596841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6.3550942286383367E-14</v>
      </c>
      <c r="CV115" s="14">
        <f t="shared" si="95"/>
        <v>1.0064464192543978E-12</v>
      </c>
      <c r="CW115" s="22">
        <f t="shared" si="67"/>
        <v>1.8635787380168604E-12</v>
      </c>
      <c r="CX115" s="62">
        <f t="shared" si="68"/>
        <v>293.33333333333519</v>
      </c>
      <c r="CY115" s="62">
        <f ca="1">AVERAGE(OFFSET($CX$3,0,0,'Données projet'!$E$13+1,1))-AVERAGE(OFFSET($H$3,0,0,'Données projet'!$E$13+1,1))</f>
        <v>321.56347025977988</v>
      </c>
      <c r="CZ115" s="62">
        <f t="shared" si="96"/>
        <v>285.79375360040717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3.9155316516333225</v>
      </c>
      <c r="DG115" s="23">
        <f>EXP(-LN(2)/25)*DG114+(1-EXP(-LN(2)/25))/(LN(2)/25)*Calculateur!DB115*Calculateur!DD115*VLOOKUP('Données projet'!$B$13,Paramètres!$A$1:$I$89,3,0)*0.475*44/12</f>
        <v>1.1663541604382002</v>
      </c>
      <c r="DH115" s="23">
        <f>EXP(-LN(2)/2)*DH114+(1-EXP(-LN(2)/2))/(LN(2)/2)*DB115*DE115*VLOOKUP('Données projet'!$B$13,Paramètres!$A$1:$I$89,3,0)*0.475*44/12</f>
        <v>3.2474829675544168E-12</v>
      </c>
      <c r="DI115" s="24">
        <f t="shared" si="69"/>
        <v>5.0818858120747699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287.69656598881124</v>
      </c>
      <c r="DU115" s="62">
        <f t="shared" si="98"/>
        <v>221.9773436301067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1.1701727137278328E-11</v>
      </c>
      <c r="ED115" s="24">
        <f t="shared" si="72"/>
        <v>1.1701727137278328E-11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344.36303707479811</v>
      </c>
      <c r="T116" s="62">
        <f t="shared" si="88"/>
        <v>207.92972431357452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553.99999999999966</v>
      </c>
      <c r="AJ116" s="14">
        <f>AI116*VLOOKUP('Données projet'!$B$10,Paramètres!$A$1:$I$89,3,0)*VLOOKUP('Données projet'!$B$10,Paramètres!$A$1:$I$89,5,0)</f>
        <v>259.27199999999988</v>
      </c>
      <c r="AK116" s="14">
        <f t="shared" si="89"/>
        <v>62.567172460757938</v>
      </c>
      <c r="AL116" s="22">
        <f t="shared" si="58"/>
        <v>560.53655870248656</v>
      </c>
      <c r="AM116" s="62">
        <f t="shared" si="59"/>
        <v>853.86989203581993</v>
      </c>
      <c r="AN116" s="62">
        <f ca="1">AVERAGE(OFFSET($AM$3,0,0,'Données projet'!$E$10+1,1))-AVERAGE(OFFSET($H$3,0,0,'Données projet'!$E$10+1,1))</f>
        <v>273.94989417245978</v>
      </c>
      <c r="AO116" s="62">
        <f t="shared" si="90"/>
        <v>244.91615281423549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247.81726778334098</v>
      </c>
      <c r="BJ116" s="62">
        <f t="shared" si="92"/>
        <v>278.55937893537259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6.2334150006516037E-12</v>
      </c>
      <c r="BS116" s="24">
        <f t="shared" si="63"/>
        <v>6.2334150006516037E-12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156.11420010556668</v>
      </c>
      <c r="CE116" s="62">
        <f t="shared" si="94"/>
        <v>318.01952986326501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19.09396672118886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8.5528771519238262E-11</v>
      </c>
      <c r="CN116" s="24">
        <f t="shared" si="66"/>
        <v>19.093966721274388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6.3550942286383367E-14</v>
      </c>
      <c r="CV116" s="14">
        <f t="shared" si="95"/>
        <v>1.0064464192543978E-12</v>
      </c>
      <c r="CW116" s="22">
        <f t="shared" si="67"/>
        <v>1.8635787380168604E-12</v>
      </c>
      <c r="CX116" s="62">
        <f t="shared" si="68"/>
        <v>293.33333333333519</v>
      </c>
      <c r="CY116" s="62">
        <f ca="1">AVERAGE(OFFSET($CX$3,0,0,'Données projet'!$E$13+1,1))-AVERAGE(OFFSET($H$3,0,0,'Données projet'!$E$13+1,1))</f>
        <v>321.56347025977988</v>
      </c>
      <c r="CZ116" s="62">
        <f t="shared" si="96"/>
        <v>285.79375360040717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3.8387504641832817</v>
      </c>
      <c r="DG116" s="23">
        <f>EXP(-LN(2)/25)*DG115+(1-EXP(-LN(2)/25))/(LN(2)/25)*Calculateur!DB116*Calculateur!DD116*VLOOKUP('Données projet'!$B$13,Paramètres!$A$1:$I$89,3,0)*0.475*44/12</f>
        <v>1.1344601445851181</v>
      </c>
      <c r="DH116" s="23">
        <f>EXP(-LN(2)/2)*DH115+(1-EXP(-LN(2)/2))/(LN(2)/2)*DB116*DE116*VLOOKUP('Données projet'!$B$13,Paramètres!$A$1:$I$89,3,0)*0.475*44/12</f>
        <v>2.2963172281455409E-12</v>
      </c>
      <c r="DI116" s="24">
        <f t="shared" si="69"/>
        <v>4.973210608770696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287.69656598881124</v>
      </c>
      <c r="DU116" s="62">
        <f t="shared" si="98"/>
        <v>221.9773436301067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8.2743706103641518E-12</v>
      </c>
      <c r="ED116" s="24">
        <f t="shared" si="72"/>
        <v>8.2743706103641518E-12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344.36303707479811</v>
      </c>
      <c r="T117" s="62">
        <f t="shared" si="88"/>
        <v>207.92972431357452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553.99999999999966</v>
      </c>
      <c r="AJ117" s="14">
        <f>AI117*VLOOKUP('Données projet'!$B$10,Paramètres!$A$1:$I$89,3,0)*VLOOKUP('Données projet'!$B$10,Paramètres!$A$1:$I$89,5,0)</f>
        <v>259.27199999999988</v>
      </c>
      <c r="AK117" s="14">
        <f t="shared" si="89"/>
        <v>62.567172460757938</v>
      </c>
      <c r="AL117" s="22">
        <f t="shared" si="58"/>
        <v>560.53655870248656</v>
      </c>
      <c r="AM117" s="62">
        <f t="shared" si="59"/>
        <v>853.86989203581993</v>
      </c>
      <c r="AN117" s="62">
        <f ca="1">AVERAGE(OFFSET($AM$3,0,0,'Données projet'!$E$10+1,1))-AVERAGE(OFFSET($H$3,0,0,'Données projet'!$E$10+1,1))</f>
        <v>273.94989417245978</v>
      </c>
      <c r="AO117" s="62">
        <f t="shared" si="90"/>
        <v>244.91615281423549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247.81726778334098</v>
      </c>
      <c r="BJ117" s="62">
        <f t="shared" si="92"/>
        <v>278.55937893537259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4.4076900169106964E-12</v>
      </c>
      <c r="BS117" s="24">
        <f t="shared" si="63"/>
        <v>4.4076900169106964E-12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156.11420010556668</v>
      </c>
      <c r="CE117" s="62">
        <f t="shared" si="94"/>
        <v>318.01952986326501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18.719545679956081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6.0477974327808227E-11</v>
      </c>
      <c r="CN117" s="24">
        <f t="shared" si="66"/>
        <v>18.719545680016559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6.3550942286383367E-14</v>
      </c>
      <c r="CV117" s="14">
        <f t="shared" si="95"/>
        <v>1.0064464192543978E-12</v>
      </c>
      <c r="CW117" s="22">
        <f t="shared" si="67"/>
        <v>1.8635787380168604E-12</v>
      </c>
      <c r="CX117" s="62">
        <f t="shared" si="68"/>
        <v>293.33333333333519</v>
      </c>
      <c r="CY117" s="62">
        <f ca="1">AVERAGE(OFFSET($CX$3,0,0,'Données projet'!$E$13+1,1))-AVERAGE(OFFSET($H$3,0,0,'Données projet'!$E$13+1,1))</f>
        <v>321.56347025977988</v>
      </c>
      <c r="CZ117" s="62">
        <f t="shared" si="96"/>
        <v>285.79375360040717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3.7634749089872361</v>
      </c>
      <c r="DG117" s="23">
        <f>EXP(-LN(2)/25)*DG116+(1-EXP(-LN(2)/25))/(LN(2)/25)*Calculateur!DB117*Calculateur!DD117*VLOOKUP('Données projet'!$B$13,Paramètres!$A$1:$I$89,3,0)*0.475*44/12</f>
        <v>1.1034382722727718</v>
      </c>
      <c r="DH117" s="23">
        <f>EXP(-LN(2)/2)*DH116+(1-EXP(-LN(2)/2))/(LN(2)/2)*DB117*DE117*VLOOKUP('Données projet'!$B$13,Paramètres!$A$1:$I$89,3,0)*0.475*44/12</f>
        <v>1.6237414837772084E-12</v>
      </c>
      <c r="DI117" s="24">
        <f t="shared" si="69"/>
        <v>4.8669131812616317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287.69656598881124</v>
      </c>
      <c r="DU117" s="62">
        <f t="shared" si="98"/>
        <v>221.9773436301067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5.8508635686391641E-12</v>
      </c>
      <c r="ED117" s="24">
        <f t="shared" si="72"/>
        <v>5.8508635686391641E-12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344.36303707479811</v>
      </c>
      <c r="T118" s="62">
        <f t="shared" si="88"/>
        <v>207.92972431357452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553.99999999999966</v>
      </c>
      <c r="AJ118" s="14">
        <f>AI118*VLOOKUP('Données projet'!$B$10,Paramètres!$A$1:$I$89,3,0)*VLOOKUP('Données projet'!$B$10,Paramètres!$A$1:$I$89,5,0)</f>
        <v>259.27199999999988</v>
      </c>
      <c r="AK118" s="14">
        <f t="shared" si="89"/>
        <v>62.567172460757938</v>
      </c>
      <c r="AL118" s="22">
        <f t="shared" si="58"/>
        <v>560.53655870248656</v>
      </c>
      <c r="AM118" s="62">
        <f t="shared" si="59"/>
        <v>853.86989203581993</v>
      </c>
      <c r="AN118" s="62">
        <f ca="1">AVERAGE(OFFSET($AM$3,0,0,'Données projet'!$E$10+1,1))-AVERAGE(OFFSET($H$3,0,0,'Données projet'!$E$10+1,1))</f>
        <v>273.94989417245978</v>
      </c>
      <c r="AO118" s="62">
        <f t="shared" si="90"/>
        <v>244.91615281423549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247.81726778334098</v>
      </c>
      <c r="BJ118" s="62">
        <f t="shared" si="92"/>
        <v>278.55937893537259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3.1167075003258019E-12</v>
      </c>
      <c r="BS118" s="24">
        <f t="shared" si="63"/>
        <v>3.1167075003258019E-12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156.11420010556668</v>
      </c>
      <c r="CE118" s="62">
        <f t="shared" si="94"/>
        <v>318.01952986326501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18.352466806967595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4.2764385759619131E-11</v>
      </c>
      <c r="CN118" s="24">
        <f t="shared" si="66"/>
        <v>18.352466807010359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6.3550942286383367E-14</v>
      </c>
      <c r="CV118" s="14">
        <f t="shared" si="95"/>
        <v>1.0064464192543978E-12</v>
      </c>
      <c r="CW118" s="22">
        <f t="shared" si="67"/>
        <v>1.8635787380168604E-12</v>
      </c>
      <c r="CX118" s="62">
        <f t="shared" si="68"/>
        <v>293.33333333333519</v>
      </c>
      <c r="CY118" s="62">
        <f ca="1">AVERAGE(OFFSET($CX$3,0,0,'Données projet'!$E$13+1,1))-AVERAGE(OFFSET($H$3,0,0,'Données projet'!$E$13+1,1))</f>
        <v>321.56347025977988</v>
      </c>
      <c r="CZ118" s="62">
        <f t="shared" si="96"/>
        <v>285.79375360040717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3.68967546151503</v>
      </c>
      <c r="DG118" s="23">
        <f>EXP(-LN(2)/25)*DG117+(1-EXP(-LN(2)/25))/(LN(2)/25)*Calculateur!DB118*Calculateur!DD118*VLOOKUP('Données projet'!$B$13,Paramètres!$A$1:$I$89,3,0)*0.475*44/12</f>
        <v>1.073264694690176</v>
      </c>
      <c r="DH118" s="23">
        <f>EXP(-LN(2)/2)*DH117+(1-EXP(-LN(2)/2))/(LN(2)/2)*DB118*DE118*VLOOKUP('Données projet'!$B$13,Paramètres!$A$1:$I$89,3,0)*0.475*44/12</f>
        <v>1.1481586140727705E-12</v>
      </c>
      <c r="DI118" s="24">
        <f t="shared" si="69"/>
        <v>4.762940156206354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287.69656598881124</v>
      </c>
      <c r="DU118" s="62">
        <f t="shared" si="98"/>
        <v>221.9773436301067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4.1371853051820759E-12</v>
      </c>
      <c r="ED118" s="24">
        <f t="shared" si="72"/>
        <v>4.1371853051820759E-12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344.36303707479811</v>
      </c>
      <c r="T119" s="62">
        <f t="shared" si="88"/>
        <v>207.92972431357452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553.99999999999966</v>
      </c>
      <c r="AJ119" s="14">
        <f>AI119*VLOOKUP('Données projet'!$B$10,Paramètres!$A$1:$I$89,3,0)*VLOOKUP('Données projet'!$B$10,Paramètres!$A$1:$I$89,5,0)</f>
        <v>259.27199999999988</v>
      </c>
      <c r="AK119" s="14">
        <f t="shared" si="89"/>
        <v>62.567172460757938</v>
      </c>
      <c r="AL119" s="22">
        <f t="shared" si="58"/>
        <v>560.53655870248656</v>
      </c>
      <c r="AM119" s="62">
        <f t="shared" si="59"/>
        <v>853.86989203581993</v>
      </c>
      <c r="AN119" s="62">
        <f ca="1">AVERAGE(OFFSET($AM$3,0,0,'Données projet'!$E$10+1,1))-AVERAGE(OFFSET($H$3,0,0,'Données projet'!$E$10+1,1))</f>
        <v>273.94989417245978</v>
      </c>
      <c r="AO119" s="62">
        <f t="shared" si="90"/>
        <v>244.91615281423549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247.81726778334098</v>
      </c>
      <c r="BJ119" s="62">
        <f t="shared" si="92"/>
        <v>278.55937893537259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2.2038450084553482E-12</v>
      </c>
      <c r="BS119" s="24">
        <f t="shared" si="63"/>
        <v>2.2038450084553482E-12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156.11420010556668</v>
      </c>
      <c r="CE119" s="62">
        <f t="shared" si="94"/>
        <v>318.01952986326501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17.992586126782406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3.0238987163904113E-11</v>
      </c>
      <c r="CN119" s="24">
        <f t="shared" si="66"/>
        <v>17.992586126812647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6.3550942286383367E-14</v>
      </c>
      <c r="CV119" s="14">
        <f t="shared" si="95"/>
        <v>1.0064464192543978E-12</v>
      </c>
      <c r="CW119" s="22">
        <f t="shared" si="67"/>
        <v>1.8635787380168604E-12</v>
      </c>
      <c r="CX119" s="62">
        <f t="shared" si="68"/>
        <v>293.33333333333519</v>
      </c>
      <c r="CY119" s="62">
        <f ca="1">AVERAGE(OFFSET($CX$3,0,0,'Données projet'!$E$13+1,1))-AVERAGE(OFFSET($H$3,0,0,'Données projet'!$E$13+1,1))</f>
        <v>321.56347025977988</v>
      </c>
      <c r="CZ119" s="62">
        <f t="shared" si="96"/>
        <v>285.79375360040717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3.6173231761945353</v>
      </c>
      <c r="DG119" s="23">
        <f>EXP(-LN(2)/25)*DG118+(1-EXP(-LN(2)/25))/(LN(2)/25)*Calculateur!DB119*Calculateur!DD119*VLOOKUP('Données projet'!$B$13,Paramètres!$A$1:$I$89,3,0)*0.475*44/12</f>
        <v>1.0439162151733359</v>
      </c>
      <c r="DH119" s="23">
        <f>EXP(-LN(2)/2)*DH118+(1-EXP(-LN(2)/2))/(LN(2)/2)*DB119*DE119*VLOOKUP('Données projet'!$B$13,Paramètres!$A$1:$I$89,3,0)*0.475*44/12</f>
        <v>8.1187074188860419E-13</v>
      </c>
      <c r="DI119" s="24">
        <f t="shared" si="69"/>
        <v>4.6612393913686834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287.69656598881124</v>
      </c>
      <c r="DU119" s="62">
        <f t="shared" si="98"/>
        <v>221.9773436301067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2.925431784319582E-12</v>
      </c>
      <c r="ED119" s="24">
        <f t="shared" si="72"/>
        <v>2.925431784319582E-12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344.36303707479811</v>
      </c>
      <c r="T120" s="62">
        <f t="shared" si="88"/>
        <v>207.92972431357452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553.99999999999966</v>
      </c>
      <c r="AJ120" s="14">
        <f>AI120*VLOOKUP('Données projet'!$B$10,Paramètres!$A$1:$I$89,3,0)*VLOOKUP('Données projet'!$B$10,Paramètres!$A$1:$I$89,5,0)</f>
        <v>259.27199999999988</v>
      </c>
      <c r="AK120" s="14">
        <f t="shared" si="89"/>
        <v>62.567172460757938</v>
      </c>
      <c r="AL120" s="22">
        <f t="shared" si="58"/>
        <v>560.53655870248656</v>
      </c>
      <c r="AM120" s="62">
        <f t="shared" si="59"/>
        <v>853.86989203581993</v>
      </c>
      <c r="AN120" s="62">
        <f ca="1">AVERAGE(OFFSET($AM$3,0,0,'Données projet'!$E$10+1,1))-AVERAGE(OFFSET($H$3,0,0,'Données projet'!$E$10+1,1))</f>
        <v>273.94989417245978</v>
      </c>
      <c r="AO120" s="62">
        <f t="shared" si="90"/>
        <v>244.91615281423549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247.81726778334098</v>
      </c>
      <c r="BJ120" s="62">
        <f t="shared" si="92"/>
        <v>278.55937893537259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1.5583537501629009E-12</v>
      </c>
      <c r="BS120" s="24">
        <f t="shared" si="63"/>
        <v>1.5583537501629009E-12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156.11420010556668</v>
      </c>
      <c r="CE120" s="62">
        <f t="shared" si="94"/>
        <v>318.01952986326501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17.639762487230108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2.1382192879809566E-11</v>
      </c>
      <c r="CN120" s="24">
        <f t="shared" si="66"/>
        <v>17.639762487251492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6.3550942286383367E-14</v>
      </c>
      <c r="CV120" s="14">
        <f t="shared" si="95"/>
        <v>1.0064464192543978E-12</v>
      </c>
      <c r="CW120" s="22">
        <f t="shared" si="67"/>
        <v>1.8635787380168604E-12</v>
      </c>
      <c r="CX120" s="62">
        <f t="shared" si="68"/>
        <v>293.33333333333519</v>
      </c>
      <c r="CY120" s="62">
        <f ca="1">AVERAGE(OFFSET($CX$3,0,0,'Données projet'!$E$13+1,1))-AVERAGE(OFFSET($H$3,0,0,'Données projet'!$E$13+1,1))</f>
        <v>321.56347025977988</v>
      </c>
      <c r="CZ120" s="62">
        <f t="shared" si="96"/>
        <v>285.79375360040717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3.5463896750586388</v>
      </c>
      <c r="DG120" s="23">
        <f>EXP(-LN(2)/25)*DG119+(1-EXP(-LN(2)/25))/(LN(2)/25)*Calculateur!DB120*Calculateur!DD120*VLOOKUP('Données projet'!$B$13,Paramètres!$A$1:$I$89,3,0)*0.475*44/12</f>
        <v>1.0153702713722532</v>
      </c>
      <c r="DH120" s="23">
        <f>EXP(-LN(2)/2)*DH119+(1-EXP(-LN(2)/2))/(LN(2)/2)*DB120*DE120*VLOOKUP('Données projet'!$B$13,Paramètres!$A$1:$I$89,3,0)*0.475*44/12</f>
        <v>5.7407930703638524E-13</v>
      </c>
      <c r="DI120" s="24">
        <f t="shared" si="69"/>
        <v>4.561759946431466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287.69656598881124</v>
      </c>
      <c r="DU120" s="62">
        <f t="shared" si="98"/>
        <v>221.9773436301067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2.0685926525910379E-12</v>
      </c>
      <c r="ED120" s="24">
        <f t="shared" si="72"/>
        <v>2.0685926525910379E-12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344.36303707479811</v>
      </c>
      <c r="T121" s="62">
        <f t="shared" si="88"/>
        <v>207.92972431357452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553.99999999999966</v>
      </c>
      <c r="AJ121" s="14">
        <f>AI121*VLOOKUP('Données projet'!$B$10,Paramètres!$A$1:$I$89,3,0)*VLOOKUP('Données projet'!$B$10,Paramètres!$A$1:$I$89,5,0)</f>
        <v>259.27199999999988</v>
      </c>
      <c r="AK121" s="14">
        <f t="shared" si="89"/>
        <v>62.567172460757938</v>
      </c>
      <c r="AL121" s="22">
        <f t="shared" si="58"/>
        <v>560.53655870248656</v>
      </c>
      <c r="AM121" s="62">
        <f t="shared" si="59"/>
        <v>853.86989203581993</v>
      </c>
      <c r="AN121" s="62">
        <f ca="1">AVERAGE(OFFSET($AM$3,0,0,'Données projet'!$E$10+1,1))-AVERAGE(OFFSET($H$3,0,0,'Données projet'!$E$10+1,1))</f>
        <v>273.94989417245978</v>
      </c>
      <c r="AO121" s="62">
        <f t="shared" si="90"/>
        <v>244.91615281423549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247.81726778334098</v>
      </c>
      <c r="BJ121" s="62">
        <f t="shared" si="92"/>
        <v>278.55937893537259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1.1019225042276741E-12</v>
      </c>
      <c r="BS121" s="24">
        <f t="shared" si="63"/>
        <v>1.1019225042276741E-12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156.11420010556668</v>
      </c>
      <c r="CE121" s="62">
        <f t="shared" si="94"/>
        <v>318.01952986326501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17.293857504048262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1.5119493581952057E-11</v>
      </c>
      <c r="CN121" s="24">
        <f t="shared" si="66"/>
        <v>17.293857504063382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6.3550942286383367E-14</v>
      </c>
      <c r="CV121" s="14">
        <f t="shared" si="95"/>
        <v>1.0064464192543978E-12</v>
      </c>
      <c r="CW121" s="22">
        <f t="shared" si="67"/>
        <v>1.8635787380168604E-12</v>
      </c>
      <c r="CX121" s="62">
        <f t="shared" si="68"/>
        <v>293.33333333333519</v>
      </c>
      <c r="CY121" s="62">
        <f ca="1">AVERAGE(OFFSET($CX$3,0,0,'Données projet'!$E$13+1,1))-AVERAGE(OFFSET($H$3,0,0,'Données projet'!$E$13+1,1))</f>
        <v>321.56347025977988</v>
      </c>
      <c r="CZ121" s="62">
        <f t="shared" si="96"/>
        <v>285.79375360040717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3.4768471366148539</v>
      </c>
      <c r="DG121" s="23">
        <f>EXP(-LN(2)/25)*DG120+(1-EXP(-LN(2)/25))/(LN(2)/25)*Calculateur!DB121*Calculateur!DD121*VLOOKUP('Données projet'!$B$13,Paramètres!$A$1:$I$89,3,0)*0.475*44/12</f>
        <v>0.98760491790557703</v>
      </c>
      <c r="DH121" s="23">
        <f>EXP(-LN(2)/2)*DH120+(1-EXP(-LN(2)/2))/(LN(2)/2)*DB121*DE121*VLOOKUP('Données projet'!$B$13,Paramètres!$A$1:$I$89,3,0)*0.475*44/12</f>
        <v>4.0593537094430209E-13</v>
      </c>
      <c r="DI121" s="24">
        <f t="shared" si="69"/>
        <v>4.4644520545208364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287.69656598881124</v>
      </c>
      <c r="DU121" s="62">
        <f t="shared" si="98"/>
        <v>221.9773436301067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1.462715892159791E-12</v>
      </c>
      <c r="ED121" s="24">
        <f t="shared" si="72"/>
        <v>1.462715892159791E-12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344.36303707479811</v>
      </c>
      <c r="T122" s="62">
        <f t="shared" si="88"/>
        <v>207.92972431357452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553.99999999999966</v>
      </c>
      <c r="AJ122" s="14">
        <f>AI122*VLOOKUP('Données projet'!$B$10,Paramètres!$A$1:$I$89,3,0)*VLOOKUP('Données projet'!$B$10,Paramètres!$A$1:$I$89,5,0)</f>
        <v>259.27199999999988</v>
      </c>
      <c r="AK122" s="14">
        <f t="shared" si="89"/>
        <v>62.567172460757938</v>
      </c>
      <c r="AL122" s="22">
        <f t="shared" si="58"/>
        <v>560.53655870248656</v>
      </c>
      <c r="AM122" s="62">
        <f t="shared" si="59"/>
        <v>853.86989203581993</v>
      </c>
      <c r="AN122" s="62">
        <f ca="1">AVERAGE(OFFSET($AM$3,0,0,'Données projet'!$E$10+1,1))-AVERAGE(OFFSET($H$3,0,0,'Données projet'!$E$10+1,1))</f>
        <v>273.94989417245978</v>
      </c>
      <c r="AO122" s="62">
        <f t="shared" si="90"/>
        <v>244.91615281423549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247.81726778334098</v>
      </c>
      <c r="BJ122" s="62">
        <f t="shared" si="92"/>
        <v>278.55937893537259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7.7917687508145046E-13</v>
      </c>
      <c r="BS122" s="24">
        <f t="shared" si="63"/>
        <v>7.7917687508145046E-13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156.11420010556668</v>
      </c>
      <c r="CE122" s="62">
        <f t="shared" si="94"/>
        <v>318.01952986326501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16.954735506605402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1.0691096439904783E-11</v>
      </c>
      <c r="CN122" s="24">
        <f t="shared" si="66"/>
        <v>16.954735506616093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6.3550942286383367E-14</v>
      </c>
      <c r="CV122" s="14">
        <f t="shared" si="95"/>
        <v>1.0064464192543978E-12</v>
      </c>
      <c r="CW122" s="22">
        <f t="shared" si="67"/>
        <v>1.8635787380168604E-12</v>
      </c>
      <c r="CX122" s="62">
        <f t="shared" si="68"/>
        <v>293.33333333333519</v>
      </c>
      <c r="CY122" s="62">
        <f ca="1">AVERAGE(OFFSET($CX$3,0,0,'Données projet'!$E$13+1,1))-AVERAGE(OFFSET($H$3,0,0,'Données projet'!$E$13+1,1))</f>
        <v>321.56347025977988</v>
      </c>
      <c r="CZ122" s="62">
        <f t="shared" si="96"/>
        <v>285.79375360040717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3.4086682849331913</v>
      </c>
      <c r="DG122" s="23">
        <f>EXP(-LN(2)/25)*DG121+(1-EXP(-LN(2)/25))/(LN(2)/25)*Calculateur!DB122*Calculateur!DD122*VLOOKUP('Données projet'!$B$13,Paramètres!$A$1:$I$89,3,0)*0.475*44/12</f>
        <v>0.96059880948956355</v>
      </c>
      <c r="DH122" s="23">
        <f>EXP(-LN(2)/2)*DH121+(1-EXP(-LN(2)/2))/(LN(2)/2)*DB122*DE122*VLOOKUP('Données projet'!$B$13,Paramètres!$A$1:$I$89,3,0)*0.475*44/12</f>
        <v>2.8703965351819262E-13</v>
      </c>
      <c r="DI122" s="24">
        <f t="shared" si="69"/>
        <v>4.3692670944230416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287.69656598881124</v>
      </c>
      <c r="DU122" s="62">
        <f t="shared" si="98"/>
        <v>221.9773436301067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1.034296326295519E-12</v>
      </c>
      <c r="ED122" s="24">
        <f t="shared" si="72"/>
        <v>1.034296326295519E-12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344.36303707479811</v>
      </c>
      <c r="T123" s="62">
        <f t="shared" si="88"/>
        <v>207.92972431357452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553.99999999999966</v>
      </c>
      <c r="AJ123" s="14">
        <f>AI123*VLOOKUP('Données projet'!$B$10,Paramètres!$A$1:$I$89,3,0)*VLOOKUP('Données projet'!$B$10,Paramètres!$A$1:$I$89,5,0)</f>
        <v>259.27199999999988</v>
      </c>
      <c r="AK123" s="14">
        <f t="shared" si="89"/>
        <v>62.567172460757938</v>
      </c>
      <c r="AL123" s="22">
        <f t="shared" si="58"/>
        <v>560.53655870248656</v>
      </c>
      <c r="AM123" s="62">
        <f t="shared" si="59"/>
        <v>853.86989203581993</v>
      </c>
      <c r="AN123" s="62">
        <f ca="1">AVERAGE(OFFSET($AM$3,0,0,'Données projet'!$E$10+1,1))-AVERAGE(OFFSET($H$3,0,0,'Données projet'!$E$10+1,1))</f>
        <v>273.94989417245978</v>
      </c>
      <c r="AO123" s="62">
        <f t="shared" si="90"/>
        <v>244.91615281423549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247.81726778334098</v>
      </c>
      <c r="BJ123" s="62">
        <f t="shared" si="92"/>
        <v>278.55937893537259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5.5096125211383706E-13</v>
      </c>
      <c r="BS123" s="24">
        <f t="shared" si="63"/>
        <v>5.5096125211383706E-13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156.11420010556668</v>
      </c>
      <c r="CE123" s="62">
        <f t="shared" si="94"/>
        <v>318.01952986326501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16.622263484688403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7.5597467909760283E-12</v>
      </c>
      <c r="CN123" s="24">
        <f t="shared" si="66"/>
        <v>16.622263484695964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6.3550942286383367E-14</v>
      </c>
      <c r="CV123" s="14">
        <f t="shared" si="95"/>
        <v>1.0064464192543978E-12</v>
      </c>
      <c r="CW123" s="22">
        <f t="shared" si="67"/>
        <v>1.8635787380168604E-12</v>
      </c>
      <c r="CX123" s="62">
        <f t="shared" si="68"/>
        <v>293.33333333333519</v>
      </c>
      <c r="CY123" s="62">
        <f ca="1">AVERAGE(OFFSET($CX$3,0,0,'Données projet'!$E$13+1,1))-AVERAGE(OFFSET($H$3,0,0,'Données projet'!$E$13+1,1))</f>
        <v>321.56347025977988</v>
      </c>
      <c r="CZ123" s="62">
        <f t="shared" si="96"/>
        <v>285.79375360040717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3.3418263789480127</v>
      </c>
      <c r="DG123" s="23">
        <f>EXP(-LN(2)/25)*DG122+(1-EXP(-LN(2)/25))/(LN(2)/25)*Calculateur!DB123*Calculateur!DD123*VLOOKUP('Données projet'!$B$13,Paramètres!$A$1:$I$89,3,0)*0.475*44/12</f>
        <v>0.93433118452837549</v>
      </c>
      <c r="DH123" s="23">
        <f>EXP(-LN(2)/2)*DH122+(1-EXP(-LN(2)/2))/(LN(2)/2)*DB123*DE123*VLOOKUP('Données projet'!$B$13,Paramètres!$A$1:$I$89,3,0)*0.475*44/12</f>
        <v>2.0296768547215105E-13</v>
      </c>
      <c r="DI123" s="24">
        <f t="shared" si="69"/>
        <v>4.276157563476592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287.69656598881124</v>
      </c>
      <c r="DU123" s="62">
        <f t="shared" si="98"/>
        <v>221.9773436301067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7.3135794607989551E-13</v>
      </c>
      <c r="ED123" s="24">
        <f t="shared" si="72"/>
        <v>7.3135794607989551E-13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344.36303707479811</v>
      </c>
      <c r="T124" s="62">
        <f t="shared" si="88"/>
        <v>207.92972431357452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553.99999999999966</v>
      </c>
      <c r="AJ124" s="14">
        <f>AI124*VLOOKUP('Données projet'!$B$10,Paramètres!$A$1:$I$89,3,0)*VLOOKUP('Données projet'!$B$10,Paramètres!$A$1:$I$89,5,0)</f>
        <v>259.27199999999988</v>
      </c>
      <c r="AK124" s="14">
        <f t="shared" si="89"/>
        <v>62.567172460757938</v>
      </c>
      <c r="AL124" s="22">
        <f t="shared" si="58"/>
        <v>560.53655870248656</v>
      </c>
      <c r="AM124" s="62">
        <f t="shared" si="59"/>
        <v>853.86989203581993</v>
      </c>
      <c r="AN124" s="62">
        <f ca="1">AVERAGE(OFFSET($AM$3,0,0,'Données projet'!$E$10+1,1))-AVERAGE(OFFSET($H$3,0,0,'Données projet'!$E$10+1,1))</f>
        <v>273.94989417245978</v>
      </c>
      <c r="AO124" s="62">
        <f t="shared" si="90"/>
        <v>244.91615281423549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247.81726778334098</v>
      </c>
      <c r="BJ124" s="62">
        <f t="shared" si="92"/>
        <v>278.55937893537259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3.8958843754072523E-13</v>
      </c>
      <c r="BS124" s="24">
        <f t="shared" si="63"/>
        <v>3.8958843754072523E-13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156.11420010556668</v>
      </c>
      <c r="CE124" s="62">
        <f t="shared" si="94"/>
        <v>318.01952986326501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16.296311036333289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5.3455482199523914E-12</v>
      </c>
      <c r="CN124" s="24">
        <f t="shared" si="66"/>
        <v>16.296311036338636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6.3550942286383367E-14</v>
      </c>
      <c r="CV124" s="14">
        <f t="shared" si="95"/>
        <v>1.0064464192543978E-12</v>
      </c>
      <c r="CW124" s="22">
        <f t="shared" si="67"/>
        <v>1.8635787380168604E-12</v>
      </c>
      <c r="CX124" s="62">
        <f t="shared" si="68"/>
        <v>293.33333333333519</v>
      </c>
      <c r="CY124" s="62">
        <f ca="1">AVERAGE(OFFSET($CX$3,0,0,'Données projet'!$E$13+1,1))-AVERAGE(OFFSET($H$3,0,0,'Données projet'!$E$13+1,1))</f>
        <v>321.56347025977988</v>
      </c>
      <c r="CZ124" s="62">
        <f t="shared" si="96"/>
        <v>285.79375360040717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3.2762952019696665</v>
      </c>
      <c r="DG124" s="23">
        <f>EXP(-LN(2)/25)*DG123+(1-EXP(-LN(2)/25))/(LN(2)/25)*Calculateur!DB124*Calculateur!DD124*VLOOKUP('Données projet'!$B$13,Paramètres!$A$1:$I$89,3,0)*0.475*44/12</f>
        <v>0.90878184915310556</v>
      </c>
      <c r="DH124" s="23">
        <f>EXP(-LN(2)/2)*DH123+(1-EXP(-LN(2)/2))/(LN(2)/2)*DB124*DE124*VLOOKUP('Données projet'!$B$13,Paramètres!$A$1:$I$89,3,0)*0.475*44/12</f>
        <v>1.4351982675909631E-13</v>
      </c>
      <c r="DI124" s="24">
        <f t="shared" si="69"/>
        <v>4.1850770511229163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287.69656598881124</v>
      </c>
      <c r="DU124" s="62">
        <f t="shared" si="98"/>
        <v>221.9773436301067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5.1714816314775949E-13</v>
      </c>
      <c r="ED124" s="24">
        <f t="shared" si="72"/>
        <v>5.1714816314775949E-13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344.36303707479811</v>
      </c>
      <c r="T125" s="62">
        <f t="shared" si="88"/>
        <v>207.92972431357452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553.99999999999966</v>
      </c>
      <c r="AJ125" s="14">
        <f>AI125*VLOOKUP('Données projet'!$B$10,Paramètres!$A$1:$I$89,3,0)*VLOOKUP('Données projet'!$B$10,Paramètres!$A$1:$I$89,5,0)</f>
        <v>259.27199999999988</v>
      </c>
      <c r="AK125" s="14">
        <f t="shared" si="89"/>
        <v>62.567172460757938</v>
      </c>
      <c r="AL125" s="22">
        <f t="shared" si="58"/>
        <v>560.53655870248656</v>
      </c>
      <c r="AM125" s="62">
        <f t="shared" si="59"/>
        <v>853.86989203581993</v>
      </c>
      <c r="AN125" s="62">
        <f ca="1">AVERAGE(OFFSET($AM$3,0,0,'Données projet'!$E$10+1,1))-AVERAGE(OFFSET($H$3,0,0,'Données projet'!$E$10+1,1))</f>
        <v>273.94989417245978</v>
      </c>
      <c r="AO125" s="62">
        <f t="shared" si="90"/>
        <v>244.91615281423549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247.81726778334098</v>
      </c>
      <c r="BJ125" s="62">
        <f t="shared" si="92"/>
        <v>278.55937893537259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2.7548062605691853E-13</v>
      </c>
      <c r="BS125" s="24">
        <f t="shared" si="63"/>
        <v>2.7548062605691853E-13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156.11420010556668</v>
      </c>
      <c r="CE125" s="62">
        <f t="shared" si="94"/>
        <v>318.01952986326501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15.976750316679055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3.7798733954880142E-12</v>
      </c>
      <c r="CN125" s="24">
        <f t="shared" si="66"/>
        <v>15.976750316682836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6.3550942286383367E-14</v>
      </c>
      <c r="CV125" s="14">
        <f t="shared" si="95"/>
        <v>1.0064464192543978E-12</v>
      </c>
      <c r="CW125" s="22">
        <f t="shared" si="67"/>
        <v>1.8635787380168604E-12</v>
      </c>
      <c r="CX125" s="62">
        <f t="shared" si="68"/>
        <v>293.33333333333519</v>
      </c>
      <c r="CY125" s="62">
        <f ca="1">AVERAGE(OFFSET($CX$3,0,0,'Données projet'!$E$13+1,1))-AVERAGE(OFFSET($H$3,0,0,'Données projet'!$E$13+1,1))</f>
        <v>321.56347025977988</v>
      </c>
      <c r="CZ125" s="62">
        <f t="shared" si="96"/>
        <v>285.79375360040717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3.2120490514017948</v>
      </c>
      <c r="DG125" s="23">
        <f>EXP(-LN(2)/25)*DG124+(1-EXP(-LN(2)/25))/(LN(2)/25)*Calculateur!DB125*Calculateur!DD125*VLOOKUP('Données projet'!$B$13,Paramètres!$A$1:$I$89,3,0)*0.475*44/12</f>
        <v>0.8839311616972535</v>
      </c>
      <c r="DH125" s="23">
        <f>EXP(-LN(2)/2)*DH124+(1-EXP(-LN(2)/2))/(LN(2)/2)*DB125*DE125*VLOOKUP('Données projet'!$B$13,Paramètres!$A$1:$I$89,3,0)*0.475*44/12</f>
        <v>1.0148384273607552E-13</v>
      </c>
      <c r="DI125" s="24">
        <f t="shared" si="69"/>
        <v>4.0959802130991498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287.69656598881124</v>
      </c>
      <c r="DU125" s="62">
        <f t="shared" si="98"/>
        <v>221.9773436301067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3.6567897303994775E-13</v>
      </c>
      <c r="ED125" s="24">
        <f t="shared" si="72"/>
        <v>3.6567897303994775E-13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344.36303707479811</v>
      </c>
      <c r="T126" s="62">
        <f t="shared" si="88"/>
        <v>207.92972431357452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553.99999999999966</v>
      </c>
      <c r="AJ126" s="14">
        <f>AI126*VLOOKUP('Données projet'!$B$10,Paramètres!$A$1:$I$89,3,0)*VLOOKUP('Données projet'!$B$10,Paramètres!$A$1:$I$89,5,0)</f>
        <v>259.27199999999988</v>
      </c>
      <c r="AK126" s="14">
        <f t="shared" si="89"/>
        <v>62.567172460757938</v>
      </c>
      <c r="AL126" s="22">
        <f t="shared" si="58"/>
        <v>560.53655870248656</v>
      </c>
      <c r="AM126" s="62">
        <f t="shared" si="59"/>
        <v>853.86989203581993</v>
      </c>
      <c r="AN126" s="62">
        <f ca="1">AVERAGE(OFFSET($AM$3,0,0,'Données projet'!$E$10+1,1))-AVERAGE(OFFSET($H$3,0,0,'Données projet'!$E$10+1,1))</f>
        <v>273.94989417245978</v>
      </c>
      <c r="AO126" s="62">
        <f t="shared" si="90"/>
        <v>244.91615281423549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247.81726778334098</v>
      </c>
      <c r="BJ126" s="62">
        <f t="shared" si="92"/>
        <v>278.55937893537259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1.9479421877036262E-13</v>
      </c>
      <c r="BS126" s="24">
        <f t="shared" si="63"/>
        <v>1.9479421877036262E-13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156.11420010556668</v>
      </c>
      <c r="CE126" s="62">
        <f t="shared" si="94"/>
        <v>318.01952986326501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15.663455987824447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2.6727741099761957E-12</v>
      </c>
      <c r="CN126" s="24">
        <f t="shared" si="66"/>
        <v>15.66345598782712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6.3550942286383367E-14</v>
      </c>
      <c r="CV126" s="14">
        <f t="shared" si="95"/>
        <v>1.0064464192543978E-12</v>
      </c>
      <c r="CW126" s="22">
        <f t="shared" si="67"/>
        <v>1.8635787380168604E-12</v>
      </c>
      <c r="CX126" s="62">
        <f t="shared" si="68"/>
        <v>293.33333333333519</v>
      </c>
      <c r="CY126" s="62">
        <f ca="1">AVERAGE(OFFSET($CX$3,0,0,'Données projet'!$E$13+1,1))-AVERAGE(OFFSET($H$3,0,0,'Données projet'!$E$13+1,1))</f>
        <v>321.56347025977988</v>
      </c>
      <c r="CZ126" s="62">
        <f t="shared" si="96"/>
        <v>285.79375360040717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3.1490627286602764</v>
      </c>
      <c r="DG126" s="23">
        <f>EXP(-LN(2)/25)*DG125+(1-EXP(-LN(2)/25))/(LN(2)/25)*Calculateur!DB126*Calculateur!DD126*VLOOKUP('Données projet'!$B$13,Paramètres!$A$1:$I$89,3,0)*0.475*44/12</f>
        <v>0.8597600175967226</v>
      </c>
      <c r="DH126" s="23">
        <f>EXP(-LN(2)/2)*DH125+(1-EXP(-LN(2)/2))/(LN(2)/2)*DB126*DE126*VLOOKUP('Données projet'!$B$13,Paramètres!$A$1:$I$89,3,0)*0.475*44/12</f>
        <v>7.1759913379548155E-14</v>
      </c>
      <c r="DI126" s="24">
        <f t="shared" si="69"/>
        <v>4.0088227462570707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287.69656598881124</v>
      </c>
      <c r="DU126" s="62">
        <f t="shared" si="98"/>
        <v>221.9773436301067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2.5857408157387974E-13</v>
      </c>
      <c r="ED126" s="24">
        <f t="shared" si="72"/>
        <v>2.5857408157387974E-13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344.36303707479811</v>
      </c>
      <c r="T127" s="62">
        <f t="shared" si="88"/>
        <v>207.92972431357452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553.99999999999966</v>
      </c>
      <c r="AJ127" s="14">
        <f>AI127*VLOOKUP('Données projet'!$B$10,Paramètres!$A$1:$I$89,3,0)*VLOOKUP('Données projet'!$B$10,Paramètres!$A$1:$I$89,5,0)</f>
        <v>259.27199999999988</v>
      </c>
      <c r="AK127" s="14">
        <f t="shared" si="89"/>
        <v>62.567172460757938</v>
      </c>
      <c r="AL127" s="22">
        <f t="shared" si="58"/>
        <v>560.53655870248656</v>
      </c>
      <c r="AM127" s="62">
        <f t="shared" si="59"/>
        <v>853.86989203581993</v>
      </c>
      <c r="AN127" s="62">
        <f ca="1">AVERAGE(OFFSET($AM$3,0,0,'Données projet'!$E$10+1,1))-AVERAGE(OFFSET($H$3,0,0,'Données projet'!$E$10+1,1))</f>
        <v>273.94989417245978</v>
      </c>
      <c r="AO127" s="62">
        <f t="shared" si="90"/>
        <v>244.91615281423549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247.81726778334098</v>
      </c>
      <c r="BJ127" s="62">
        <f t="shared" si="92"/>
        <v>278.55937893537259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1.3774031302845926E-13</v>
      </c>
      <c r="BS127" s="24">
        <f t="shared" si="63"/>
        <v>1.3774031302845926E-13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156.11420010556668</v>
      </c>
      <c r="CE127" s="62">
        <f t="shared" si="94"/>
        <v>318.01952986326501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15.356305169668007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1.8899366977440071E-12</v>
      </c>
      <c r="CN127" s="24">
        <f t="shared" si="66"/>
        <v>15.356305169669897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6.3550942286383367E-14</v>
      </c>
      <c r="CV127" s="14">
        <f t="shared" si="95"/>
        <v>1.0064464192543978E-12</v>
      </c>
      <c r="CW127" s="22">
        <f t="shared" si="67"/>
        <v>1.8635787380168604E-12</v>
      </c>
      <c r="CX127" s="62">
        <f t="shared" si="68"/>
        <v>293.33333333333519</v>
      </c>
      <c r="CY127" s="62">
        <f ca="1">AVERAGE(OFFSET($CX$3,0,0,'Données projet'!$E$13+1,1))-AVERAGE(OFFSET($H$3,0,0,'Données projet'!$E$13+1,1))</f>
        <v>321.56347025977988</v>
      </c>
      <c r="CZ127" s="62">
        <f t="shared" si="96"/>
        <v>285.79375360040717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3.0873115292898556</v>
      </c>
      <c r="DG127" s="23">
        <f>EXP(-LN(2)/25)*DG126+(1-EXP(-LN(2)/25))/(LN(2)/25)*Calculateur!DB127*Calculateur!DD127*VLOOKUP('Données projet'!$B$13,Paramètres!$A$1:$I$89,3,0)*0.475*44/12</f>
        <v>0.83624983470272596</v>
      </c>
      <c r="DH127" s="23">
        <f>EXP(-LN(2)/2)*DH126+(1-EXP(-LN(2)/2))/(LN(2)/2)*DB127*DE127*VLOOKUP('Données projet'!$B$13,Paramètres!$A$1:$I$89,3,0)*0.475*44/12</f>
        <v>5.0741921368037762E-14</v>
      </c>
      <c r="DI127" s="24">
        <f t="shared" si="69"/>
        <v>3.9235613639926323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287.69656598881124</v>
      </c>
      <c r="DU127" s="62">
        <f t="shared" si="98"/>
        <v>221.9773436301067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1.8283948651997388E-13</v>
      </c>
      <c r="ED127" s="24">
        <f t="shared" si="72"/>
        <v>1.8283948651997388E-13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344.36303707479811</v>
      </c>
      <c r="T128" s="62">
        <f t="shared" si="88"/>
        <v>207.92972431357452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553.99999999999966</v>
      </c>
      <c r="AJ128" s="14">
        <f>AI128*VLOOKUP('Données projet'!$B$10,Paramètres!$A$1:$I$89,3,0)*VLOOKUP('Données projet'!$B$10,Paramètres!$A$1:$I$89,5,0)</f>
        <v>259.27199999999988</v>
      </c>
      <c r="AK128" s="14">
        <f t="shared" si="89"/>
        <v>62.567172460757938</v>
      </c>
      <c r="AL128" s="22">
        <f t="shared" si="58"/>
        <v>560.53655870248656</v>
      </c>
      <c r="AM128" s="62">
        <f t="shared" si="59"/>
        <v>853.86989203581993</v>
      </c>
      <c r="AN128" s="62">
        <f ca="1">AVERAGE(OFFSET($AM$3,0,0,'Données projet'!$E$10+1,1))-AVERAGE(OFFSET($H$3,0,0,'Données projet'!$E$10+1,1))</f>
        <v>273.94989417245978</v>
      </c>
      <c r="AO128" s="62">
        <f t="shared" si="90"/>
        <v>244.91615281423549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247.81726778334098</v>
      </c>
      <c r="BJ128" s="62">
        <f t="shared" si="92"/>
        <v>278.55937893537259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9.7397109385181308E-14</v>
      </c>
      <c r="BS128" s="24">
        <f t="shared" si="63"/>
        <v>9.7397109385181308E-14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156.11420010556668</v>
      </c>
      <c r="CE128" s="62">
        <f t="shared" si="94"/>
        <v>318.01952986326501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15.055177391712114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1.3363870549880978E-12</v>
      </c>
      <c r="CN128" s="24">
        <f t="shared" si="66"/>
        <v>15.05517739171345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6.3550942286383367E-14</v>
      </c>
      <c r="CV128" s="14">
        <f t="shared" si="95"/>
        <v>1.0064464192543978E-12</v>
      </c>
      <c r="CW128" s="22">
        <f t="shared" si="67"/>
        <v>1.8635787380168604E-12</v>
      </c>
      <c r="CX128" s="62">
        <f t="shared" si="68"/>
        <v>293.33333333333519</v>
      </c>
      <c r="CY128" s="62">
        <f ca="1">AVERAGE(OFFSET($CX$3,0,0,'Données projet'!$E$13+1,1))-AVERAGE(OFFSET($H$3,0,0,'Données projet'!$E$13+1,1))</f>
        <v>321.56347025977988</v>
      </c>
      <c r="CZ128" s="62">
        <f t="shared" si="96"/>
        <v>285.79375360040717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3.0267712332745762</v>
      </c>
      <c r="DG128" s="23">
        <f>EXP(-LN(2)/25)*DG127+(1-EXP(-LN(2)/25))/(LN(2)/25)*Calculateur!DB128*Calculateur!DD128*VLOOKUP('Données projet'!$B$13,Paramètres!$A$1:$I$89,3,0)*0.475*44/12</f>
        <v>0.81338253899631241</v>
      </c>
      <c r="DH128" s="23">
        <f>EXP(-LN(2)/2)*DH127+(1-EXP(-LN(2)/2))/(LN(2)/2)*DB128*DE128*VLOOKUP('Données projet'!$B$13,Paramètres!$A$1:$I$89,3,0)*0.475*44/12</f>
        <v>3.5879956689774077E-14</v>
      </c>
      <c r="DI128" s="24">
        <f t="shared" si="69"/>
        <v>3.8401537722709245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287.69656598881124</v>
      </c>
      <c r="DU128" s="62">
        <f t="shared" si="98"/>
        <v>221.9773436301067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1.2928704078693987E-13</v>
      </c>
      <c r="ED128" s="24">
        <f t="shared" si="72"/>
        <v>1.2928704078693987E-13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344.36303707479811</v>
      </c>
      <c r="T129" s="62">
        <f t="shared" si="88"/>
        <v>207.92972431357452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553.99999999999966</v>
      </c>
      <c r="AJ129" s="14">
        <f>AI129*VLOOKUP('Données projet'!$B$10,Paramètres!$A$1:$I$89,3,0)*VLOOKUP('Données projet'!$B$10,Paramètres!$A$1:$I$89,5,0)</f>
        <v>259.27199999999988</v>
      </c>
      <c r="AK129" s="14">
        <f t="shared" si="89"/>
        <v>62.567172460757938</v>
      </c>
      <c r="AL129" s="22">
        <f t="shared" si="58"/>
        <v>560.53655870248656</v>
      </c>
      <c r="AM129" s="62">
        <f t="shared" si="59"/>
        <v>853.86989203581993</v>
      </c>
      <c r="AN129" s="62">
        <f ca="1">AVERAGE(OFFSET($AM$3,0,0,'Données projet'!$E$10+1,1))-AVERAGE(OFFSET($H$3,0,0,'Données projet'!$E$10+1,1))</f>
        <v>273.94989417245978</v>
      </c>
      <c r="AO129" s="62">
        <f t="shared" si="90"/>
        <v>244.91615281423549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247.81726778334098</v>
      </c>
      <c r="BJ129" s="62">
        <f t="shared" si="92"/>
        <v>278.55937893537259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6.8870156514229632E-14</v>
      </c>
      <c r="BS129" s="24">
        <f t="shared" si="63"/>
        <v>6.8870156514229632E-14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156.11420010556668</v>
      </c>
      <c r="CE129" s="62">
        <f t="shared" si="94"/>
        <v>318.01952986326501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14.759954545812127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9.4496834887200354E-13</v>
      </c>
      <c r="CN129" s="24">
        <f t="shared" si="66"/>
        <v>14.759954545813072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6.3550942286383367E-14</v>
      </c>
      <c r="CV129" s="14">
        <f t="shared" si="95"/>
        <v>1.0064464192543978E-12</v>
      </c>
      <c r="CW129" s="22">
        <f t="shared" si="67"/>
        <v>1.8635787380168604E-12</v>
      </c>
      <c r="CX129" s="62">
        <f t="shared" si="68"/>
        <v>293.33333333333519</v>
      </c>
      <c r="CY129" s="62">
        <f ca="1">AVERAGE(OFFSET($CX$3,0,0,'Données projet'!$E$13+1,1))-AVERAGE(OFFSET($H$3,0,0,'Données projet'!$E$13+1,1))</f>
        <v>321.56347025977988</v>
      </c>
      <c r="CZ129" s="62">
        <f t="shared" si="96"/>
        <v>285.79375360040717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2.9674180955382221</v>
      </c>
      <c r="DG129" s="23">
        <f>EXP(-LN(2)/25)*DG128+(1-EXP(-LN(2)/25))/(LN(2)/25)*Calculateur!DB129*Calculateur!DD129*VLOOKUP('Données projet'!$B$13,Paramètres!$A$1:$I$89,3,0)*0.475*44/12</f>
        <v>0.79114055069352951</v>
      </c>
      <c r="DH129" s="23">
        <f>EXP(-LN(2)/2)*DH128+(1-EXP(-LN(2)/2))/(LN(2)/2)*DB129*DE129*VLOOKUP('Données projet'!$B$13,Paramètres!$A$1:$I$89,3,0)*0.475*44/12</f>
        <v>2.5370960684018881E-14</v>
      </c>
      <c r="DI129" s="24">
        <f t="shared" si="69"/>
        <v>3.7585586462317768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287.69656598881124</v>
      </c>
      <c r="DU129" s="62">
        <f t="shared" si="98"/>
        <v>221.9773436301067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9.1419743259986939E-14</v>
      </c>
      <c r="ED129" s="24">
        <f t="shared" si="72"/>
        <v>9.1419743259986939E-14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344.36303707479811</v>
      </c>
      <c r="T130" s="62">
        <f t="shared" si="88"/>
        <v>207.92972431357452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553.99999999999966</v>
      </c>
      <c r="AJ130" s="14">
        <f>AI130*VLOOKUP('Données projet'!$B$10,Paramètres!$A$1:$I$89,3,0)*VLOOKUP('Données projet'!$B$10,Paramètres!$A$1:$I$89,5,0)</f>
        <v>259.27199999999988</v>
      </c>
      <c r="AK130" s="14">
        <f t="shared" si="89"/>
        <v>62.567172460757938</v>
      </c>
      <c r="AL130" s="22">
        <f t="shared" si="58"/>
        <v>560.53655870248656</v>
      </c>
      <c r="AM130" s="62">
        <f t="shared" si="59"/>
        <v>853.86989203581993</v>
      </c>
      <c r="AN130" s="62">
        <f ca="1">AVERAGE(OFFSET($AM$3,0,0,'Données projet'!$E$10+1,1))-AVERAGE(OFFSET($H$3,0,0,'Données projet'!$E$10+1,1))</f>
        <v>273.94989417245978</v>
      </c>
      <c r="AO130" s="62">
        <f t="shared" si="90"/>
        <v>244.91615281423549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247.81726778334098</v>
      </c>
      <c r="BJ130" s="62">
        <f t="shared" si="92"/>
        <v>278.55937893537259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4.8698554692590654E-14</v>
      </c>
      <c r="BS130" s="24">
        <f t="shared" si="63"/>
        <v>4.8698554692590654E-14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156.11420010556668</v>
      </c>
      <c r="CE130" s="62">
        <f t="shared" si="94"/>
        <v>318.01952986326501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14.470520839852083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6.6819352749404892E-13</v>
      </c>
      <c r="CN130" s="24">
        <f t="shared" si="66"/>
        <v>14.470520839852751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6.3550942286383367E-14</v>
      </c>
      <c r="CV130" s="14">
        <f t="shared" si="95"/>
        <v>1.0064464192543978E-12</v>
      </c>
      <c r="CW130" s="22">
        <f t="shared" si="67"/>
        <v>1.8635787380168604E-12</v>
      </c>
      <c r="CX130" s="62">
        <f t="shared" si="68"/>
        <v>293.33333333333519</v>
      </c>
      <c r="CY130" s="62">
        <f ca="1">AVERAGE(OFFSET($CX$3,0,0,'Données projet'!$E$13+1,1))-AVERAGE(OFFSET($H$3,0,0,'Données projet'!$E$13+1,1))</f>
        <v>321.56347025977988</v>
      </c>
      <c r="CZ130" s="62">
        <f t="shared" si="96"/>
        <v>285.79375360040717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2.9092288366310384</v>
      </c>
      <c r="DG130" s="23">
        <f>EXP(-LN(2)/25)*DG129+(1-EXP(-LN(2)/25))/(LN(2)/25)*Calculateur!DB130*Calculateur!DD130*VLOOKUP('Données projet'!$B$13,Paramètres!$A$1:$I$89,3,0)*0.475*44/12</f>
        <v>0.76950677073054152</v>
      </c>
      <c r="DH130" s="23">
        <f>EXP(-LN(2)/2)*DH129+(1-EXP(-LN(2)/2))/(LN(2)/2)*DB130*DE130*VLOOKUP('Données projet'!$B$13,Paramètres!$A$1:$I$89,3,0)*0.475*44/12</f>
        <v>1.7939978344887039E-14</v>
      </c>
      <c r="DI130" s="24">
        <f t="shared" si="69"/>
        <v>3.6787356073615975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287.69656598881124</v>
      </c>
      <c r="DU130" s="62">
        <f t="shared" si="98"/>
        <v>221.9773436301067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6.4643520393469936E-14</v>
      </c>
      <c r="ED130" s="24">
        <f t="shared" si="72"/>
        <v>6.4643520393469936E-14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344.36303707479811</v>
      </c>
      <c r="T131" s="62">
        <f t="shared" si="88"/>
        <v>207.92972431357452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553.99999999999966</v>
      </c>
      <c r="AJ131" s="14">
        <f>AI131*VLOOKUP('Données projet'!$B$10,Paramètres!$A$1:$I$89,3,0)*VLOOKUP('Données projet'!$B$10,Paramètres!$A$1:$I$89,5,0)</f>
        <v>259.27199999999988</v>
      </c>
      <c r="AK131" s="14">
        <f t="shared" si="89"/>
        <v>62.567172460757938</v>
      </c>
      <c r="AL131" s="22">
        <f t="shared" si="58"/>
        <v>560.53655870248656</v>
      </c>
      <c r="AM131" s="62">
        <f t="shared" si="59"/>
        <v>853.86989203581993</v>
      </c>
      <c r="AN131" s="62">
        <f ca="1">AVERAGE(OFFSET($AM$3,0,0,'Données projet'!$E$10+1,1))-AVERAGE(OFFSET($H$3,0,0,'Données projet'!$E$10+1,1))</f>
        <v>273.94989417245978</v>
      </c>
      <c r="AO131" s="62">
        <f t="shared" si="90"/>
        <v>244.91615281423549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247.81726778334098</v>
      </c>
      <c r="BJ131" s="62">
        <f t="shared" si="92"/>
        <v>278.55937893537259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3.4435078257114816E-14</v>
      </c>
      <c r="BS131" s="24">
        <f t="shared" si="63"/>
        <v>3.4435078257114816E-14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156.11420010556668</v>
      </c>
      <c r="CE131" s="62">
        <f t="shared" si="94"/>
        <v>318.01952986326501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14.186762752328788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4.7248417443600177E-13</v>
      </c>
      <c r="CN131" s="24">
        <f t="shared" si="66"/>
        <v>14.18676275232926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6.3550942286383367E-14</v>
      </c>
      <c r="CV131" s="14">
        <f t="shared" si="95"/>
        <v>1.0064464192543978E-12</v>
      </c>
      <c r="CW131" s="22">
        <f t="shared" si="67"/>
        <v>1.8635787380168604E-12</v>
      </c>
      <c r="CX131" s="62">
        <f t="shared" si="68"/>
        <v>293.33333333333519</v>
      </c>
      <c r="CY131" s="62">
        <f ca="1">AVERAGE(OFFSET($CX$3,0,0,'Données projet'!$E$13+1,1))-AVERAGE(OFFSET($H$3,0,0,'Données projet'!$E$13+1,1))</f>
        <v>321.56347025977988</v>
      </c>
      <c r="CZ131" s="62">
        <f t="shared" si="96"/>
        <v>285.79375360040717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2.8521806335990814</v>
      </c>
      <c r="DG131" s="23">
        <f>EXP(-LN(2)/25)*DG130+(1-EXP(-LN(2)/25))/(LN(2)/25)*Calculateur!DB131*Calculateur!DD131*VLOOKUP('Données projet'!$B$13,Paramètres!$A$1:$I$89,3,0)*0.475*44/12</f>
        <v>0.74846456761831248</v>
      </c>
      <c r="DH131" s="23">
        <f>EXP(-LN(2)/2)*DH130+(1-EXP(-LN(2)/2))/(LN(2)/2)*DB131*DE131*VLOOKUP('Données projet'!$B$13,Paramètres!$A$1:$I$89,3,0)*0.475*44/12</f>
        <v>1.268548034200944E-14</v>
      </c>
      <c r="DI131" s="24">
        <f t="shared" si="69"/>
        <v>3.6006452012174068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287.69656598881124</v>
      </c>
      <c r="DU131" s="62">
        <f t="shared" si="98"/>
        <v>221.9773436301067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4.5709871629993469E-14</v>
      </c>
      <c r="ED131" s="24">
        <f t="shared" si="72"/>
        <v>4.5709871629993469E-14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344.36303707479811</v>
      </c>
      <c r="T132" s="62">
        <f t="shared" si="88"/>
        <v>207.92972431357452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553.99999999999966</v>
      </c>
      <c r="AJ132" s="14">
        <f>AI132*VLOOKUP('Données projet'!$B$10,Paramètres!$A$1:$I$89,3,0)*VLOOKUP('Données projet'!$B$10,Paramètres!$A$1:$I$89,5,0)</f>
        <v>259.27199999999988</v>
      </c>
      <c r="AK132" s="14">
        <f t="shared" si="89"/>
        <v>62.567172460757938</v>
      </c>
      <c r="AL132" s="22">
        <f t="shared" ref="AL132:AL153" si="112">(AJ132+AK132)*0.475*44/12</f>
        <v>560.53655870248656</v>
      </c>
      <c r="AM132" s="62">
        <f t="shared" ref="AM132:AM195" si="113">AL132+(AD132+AE132)*44/12</f>
        <v>853.86989203581993</v>
      </c>
      <c r="AN132" s="62">
        <f ca="1">AVERAGE(OFFSET($AM$3,0,0,'Données projet'!$E$10+1,1))-AVERAGE(OFFSET($H$3,0,0,'Données projet'!$E$10+1,1))</f>
        <v>273.94989417245978</v>
      </c>
      <c r="AO132" s="62">
        <f t="shared" si="90"/>
        <v>244.91615281423549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247.81726778334098</v>
      </c>
      <c r="BJ132" s="62">
        <f t="shared" si="92"/>
        <v>278.55937893537259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2.4349277346295327E-14</v>
      </c>
      <c r="BS132" s="24">
        <f t="shared" ref="BS132:BS153" si="117">SUM(BP132:BR132)</f>
        <v>2.4349277346295327E-14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156.11420010556668</v>
      </c>
      <c r="CE132" s="62">
        <f t="shared" si="94"/>
        <v>318.01952986326501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13.908568987826479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3.3409676374702446E-13</v>
      </c>
      <c r="CN132" s="24">
        <f t="shared" ref="CN132:CN153" si="120">SUM(CK132:CM132)</f>
        <v>13.908568987826813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6.3550942286383367E-14</v>
      </c>
      <c r="CV132" s="14">
        <f t="shared" si="95"/>
        <v>1.0064464192543978E-12</v>
      </c>
      <c r="CW132" s="22">
        <f t="shared" ref="CW132:CW153" si="121">(CU132+CV132)*0.475*44/12</f>
        <v>1.8635787380168604E-12</v>
      </c>
      <c r="CX132" s="62">
        <f t="shared" ref="CX132:CX195" si="122">CW132+(CO132+CP132)*44/12</f>
        <v>293.33333333333519</v>
      </c>
      <c r="CY132" s="62">
        <f ca="1">AVERAGE(OFFSET($CX$3,0,0,'Données projet'!$E$13+1,1))-AVERAGE(OFFSET($H$3,0,0,'Données projet'!$E$13+1,1))</f>
        <v>321.56347025977988</v>
      </c>
      <c r="CZ132" s="62">
        <f t="shared" si="96"/>
        <v>285.79375360040717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2.7962511110326127</v>
      </c>
      <c r="DG132" s="23">
        <f>EXP(-LN(2)/25)*DG131+(1-EXP(-LN(2)/25))/(LN(2)/25)*Calculateur!DB132*Calculateur!DD132*VLOOKUP('Données projet'!$B$13,Paramètres!$A$1:$I$89,3,0)*0.475*44/12</f>
        <v>0.7279977646567487</v>
      </c>
      <c r="DH132" s="23">
        <f>EXP(-LN(2)/2)*DH131+(1-EXP(-LN(2)/2))/(LN(2)/2)*DB132*DE132*VLOOKUP('Données projet'!$B$13,Paramètres!$A$1:$I$89,3,0)*0.475*44/12</f>
        <v>8.9699891724435193E-15</v>
      </c>
      <c r="DI132" s="24">
        <f t="shared" ref="DI132:DI153" si="123">SUM(DF132:DH132)</f>
        <v>3.5242488756893704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287.69656598881124</v>
      </c>
      <c r="DU132" s="62">
        <f t="shared" si="98"/>
        <v>221.9773436301067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3.2321760196734968E-14</v>
      </c>
      <c r="ED132" s="24">
        <f t="shared" ref="ED132:ED153" si="126">SUM(EA132:EC132)</f>
        <v>3.2321760196734968E-14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344.36303707479811</v>
      </c>
      <c r="T133" s="62">
        <f t="shared" ref="T133:T196" si="142">$T$3</f>
        <v>207.92972431357452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553.99999999999966</v>
      </c>
      <c r="AJ133" s="14">
        <f>AI133*VLOOKUP('Données projet'!$B$10,Paramètres!$A$1:$I$89,3,0)*VLOOKUP('Données projet'!$B$10,Paramètres!$A$1:$I$89,5,0)</f>
        <v>259.27199999999988</v>
      </c>
      <c r="AK133" s="14">
        <f t="shared" ref="AK133:AK153" si="143">EXP(-1.0587+0.8836*LN(AJ133)+0.284)</f>
        <v>62.567172460757938</v>
      </c>
      <c r="AL133" s="22">
        <f t="shared" si="112"/>
        <v>560.53655870248656</v>
      </c>
      <c r="AM133" s="62">
        <f t="shared" si="113"/>
        <v>853.86989203581993</v>
      </c>
      <c r="AN133" s="62">
        <f ca="1">AVERAGE(OFFSET($AM$3,0,0,'Données projet'!$E$10+1,1))-AVERAGE(OFFSET($H$3,0,0,'Données projet'!$E$10+1,1))</f>
        <v>273.94989417245978</v>
      </c>
      <c r="AO133" s="62">
        <f t="shared" ref="AO133:AO196" si="144">$AO$3</f>
        <v>244.91615281423549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247.81726778334098</v>
      </c>
      <c r="BJ133" s="62">
        <f t="shared" ref="BJ133:BJ196" si="146">$BJ$3</f>
        <v>278.55937893537259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1.7217539128557408E-14</v>
      </c>
      <c r="BS133" s="24">
        <f t="shared" si="117"/>
        <v>1.7217539128557408E-14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156.11420010556668</v>
      </c>
      <c r="CE133" s="62">
        <f t="shared" ref="CE133:CE196" si="148">$CE$3</f>
        <v>318.01952986326501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13.635830433364619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2.3624208721800089E-13</v>
      </c>
      <c r="CN133" s="24">
        <f t="shared" si="120"/>
        <v>13.635830433364855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6.3550942286383367E-14</v>
      </c>
      <c r="CV133" s="14">
        <f t="shared" ref="CV133:CV153" si="149">EXP(-1.0587+0.8836*LN(CU133)+0.284)</f>
        <v>1.0064464192543978E-12</v>
      </c>
      <c r="CW133" s="22">
        <f t="shared" si="121"/>
        <v>1.8635787380168604E-12</v>
      </c>
      <c r="CX133" s="62">
        <f t="shared" si="122"/>
        <v>293.33333333333519</v>
      </c>
      <c r="CY133" s="62">
        <f ca="1">AVERAGE(OFFSET($CX$3,0,0,'Données projet'!$E$13+1,1))-AVERAGE(OFFSET($H$3,0,0,'Données projet'!$E$13+1,1))</f>
        <v>321.56347025977988</v>
      </c>
      <c r="CZ133" s="62">
        <f t="shared" ref="CZ133:CZ196" si="150">$CZ$3</f>
        <v>285.79375360040717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2.7414183322900323</v>
      </c>
      <c r="DG133" s="23">
        <f>EXP(-LN(2)/25)*DG132+(1-EXP(-LN(2)/25))/(LN(2)/25)*Calculateur!DB133*Calculateur!DD133*VLOOKUP('Données projet'!$B$13,Paramètres!$A$1:$I$89,3,0)*0.475*44/12</f>
        <v>0.70809062749847129</v>
      </c>
      <c r="DH133" s="23">
        <f>EXP(-LN(2)/2)*DH132+(1-EXP(-LN(2)/2))/(LN(2)/2)*DB133*DE133*VLOOKUP('Données projet'!$B$13,Paramètres!$A$1:$I$89,3,0)*0.475*44/12</f>
        <v>6.3427401710047202E-15</v>
      </c>
      <c r="DI133" s="24">
        <f t="shared" si="123"/>
        <v>3.4495089597885098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287.69656598881124</v>
      </c>
      <c r="DU133" s="62">
        <f t="shared" ref="DU133:DU196" si="152">$DU$3</f>
        <v>221.9773436301067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2.2854935814996735E-14</v>
      </c>
      <c r="ED133" s="24">
        <f t="shared" si="126"/>
        <v>2.2854935814996735E-14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344.36303707479811</v>
      </c>
      <c r="T134" s="62">
        <f t="shared" si="142"/>
        <v>207.92972431357452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553.99999999999966</v>
      </c>
      <c r="AJ134" s="14">
        <f>AI134*VLOOKUP('Données projet'!$B$10,Paramètres!$A$1:$I$89,3,0)*VLOOKUP('Données projet'!$B$10,Paramètres!$A$1:$I$89,5,0)</f>
        <v>259.27199999999988</v>
      </c>
      <c r="AK134" s="14">
        <f t="shared" si="143"/>
        <v>62.567172460757938</v>
      </c>
      <c r="AL134" s="22">
        <f t="shared" si="112"/>
        <v>560.53655870248656</v>
      </c>
      <c r="AM134" s="62">
        <f t="shared" si="113"/>
        <v>853.86989203581993</v>
      </c>
      <c r="AN134" s="62">
        <f ca="1">AVERAGE(OFFSET($AM$3,0,0,'Données projet'!$E$10+1,1))-AVERAGE(OFFSET($H$3,0,0,'Données projet'!$E$10+1,1))</f>
        <v>273.94989417245978</v>
      </c>
      <c r="AO134" s="62">
        <f t="shared" si="144"/>
        <v>244.91615281423549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247.81726778334098</v>
      </c>
      <c r="BJ134" s="62">
        <f t="shared" si="146"/>
        <v>278.55937893537259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1.2174638673147663E-14</v>
      </c>
      <c r="BS134" s="24">
        <f t="shared" si="117"/>
        <v>1.2174638673147663E-14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156.11420010556668</v>
      </c>
      <c r="CE134" s="62">
        <f t="shared" si="148"/>
        <v>318.01952986326501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13.368440115601665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1.6704838187351223E-13</v>
      </c>
      <c r="CN134" s="24">
        <f t="shared" si="120"/>
        <v>13.368440115601832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6.3550942286383367E-14</v>
      </c>
      <c r="CV134" s="14">
        <f t="shared" si="149"/>
        <v>1.0064464192543978E-12</v>
      </c>
      <c r="CW134" s="22">
        <f t="shared" si="121"/>
        <v>1.8635787380168604E-12</v>
      </c>
      <c r="CX134" s="62">
        <f t="shared" si="122"/>
        <v>293.33333333333519</v>
      </c>
      <c r="CY134" s="62">
        <f ca="1">AVERAGE(OFFSET($CX$3,0,0,'Données projet'!$E$13+1,1))-AVERAGE(OFFSET($H$3,0,0,'Données projet'!$E$13+1,1))</f>
        <v>321.56347025977988</v>
      </c>
      <c r="CZ134" s="62">
        <f t="shared" si="150"/>
        <v>285.79375360040717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2.6876607908939012</v>
      </c>
      <c r="DG134" s="23">
        <f>EXP(-LN(2)/25)*DG133+(1-EXP(-LN(2)/25))/(LN(2)/25)*Calculateur!DB134*Calculateur!DD134*VLOOKUP('Données projet'!$B$13,Paramètres!$A$1:$I$89,3,0)*0.475*44/12</f>
        <v>0.68872785205265785</v>
      </c>
      <c r="DH134" s="23">
        <f>EXP(-LN(2)/2)*DH133+(1-EXP(-LN(2)/2))/(LN(2)/2)*DB134*DE134*VLOOKUP('Données projet'!$B$13,Paramètres!$A$1:$I$89,3,0)*0.475*44/12</f>
        <v>4.4849945862217597E-15</v>
      </c>
      <c r="DI134" s="24">
        <f t="shared" si="123"/>
        <v>3.3763886429465635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287.69656598881124</v>
      </c>
      <c r="DU134" s="62">
        <f t="shared" si="152"/>
        <v>221.9773436301067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1.6160880098367484E-14</v>
      </c>
      <c r="ED134" s="24">
        <f t="shared" si="126"/>
        <v>1.6160880098367484E-14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344.36303707479811</v>
      </c>
      <c r="T135" s="62">
        <f t="shared" si="142"/>
        <v>207.92972431357452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553.99999999999966</v>
      </c>
      <c r="AJ135" s="14">
        <f>AI135*VLOOKUP('Données projet'!$B$10,Paramètres!$A$1:$I$89,3,0)*VLOOKUP('Données projet'!$B$10,Paramètres!$A$1:$I$89,5,0)</f>
        <v>259.27199999999988</v>
      </c>
      <c r="AK135" s="14">
        <f t="shared" si="143"/>
        <v>62.567172460757938</v>
      </c>
      <c r="AL135" s="22">
        <f t="shared" si="112"/>
        <v>560.53655870248656</v>
      </c>
      <c r="AM135" s="62">
        <f t="shared" si="113"/>
        <v>853.86989203581993</v>
      </c>
      <c r="AN135" s="62">
        <f ca="1">AVERAGE(OFFSET($AM$3,0,0,'Données projet'!$E$10+1,1))-AVERAGE(OFFSET($H$3,0,0,'Données projet'!$E$10+1,1))</f>
        <v>273.94989417245978</v>
      </c>
      <c r="AO135" s="62">
        <f t="shared" si="144"/>
        <v>244.91615281423549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247.81726778334098</v>
      </c>
      <c r="BJ135" s="62">
        <f t="shared" si="146"/>
        <v>278.55937893537259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8.608769564278704E-15</v>
      </c>
      <c r="BS135" s="24">
        <f t="shared" si="117"/>
        <v>8.608769564278704E-15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156.11420010556668</v>
      </c>
      <c r="CE135" s="62">
        <f t="shared" si="148"/>
        <v>318.01952986326501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13.106293158878051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1.1812104360900044E-13</v>
      </c>
      <c r="CN135" s="24">
        <f t="shared" si="120"/>
        <v>13.106293158878168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6.3550942286383367E-14</v>
      </c>
      <c r="CV135" s="14">
        <f t="shared" si="149"/>
        <v>1.0064464192543978E-12</v>
      </c>
      <c r="CW135" s="22">
        <f t="shared" si="121"/>
        <v>1.8635787380168604E-12</v>
      </c>
      <c r="CX135" s="62">
        <f t="shared" si="122"/>
        <v>293.33333333333519</v>
      </c>
      <c r="CY135" s="62">
        <f ca="1">AVERAGE(OFFSET($CX$3,0,0,'Données projet'!$E$13+1,1))-AVERAGE(OFFSET($H$3,0,0,'Données projet'!$E$13+1,1))</f>
        <v>321.56347025977988</v>
      </c>
      <c r="CZ135" s="62">
        <f t="shared" si="150"/>
        <v>285.79375360040717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2.6349574020956856</v>
      </c>
      <c r="DG135" s="23">
        <f>EXP(-LN(2)/25)*DG134+(1-EXP(-LN(2)/25))/(LN(2)/25)*Calculateur!DB135*Calculateur!DD135*VLOOKUP('Données projet'!$B$13,Paramètres!$A$1:$I$89,3,0)*0.475*44/12</f>
        <v>0.66989455271965426</v>
      </c>
      <c r="DH135" s="23">
        <f>EXP(-LN(2)/2)*DH134+(1-EXP(-LN(2)/2))/(LN(2)/2)*DB135*DE135*VLOOKUP('Données projet'!$B$13,Paramètres!$A$1:$I$89,3,0)*0.475*44/12</f>
        <v>3.1713700855023601E-15</v>
      </c>
      <c r="DI135" s="24">
        <f t="shared" si="123"/>
        <v>3.304851954815343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287.69656598881124</v>
      </c>
      <c r="DU135" s="62">
        <f t="shared" si="152"/>
        <v>221.9773436301067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1.1427467907498367E-14</v>
      </c>
      <c r="ED135" s="24">
        <f t="shared" si="126"/>
        <v>1.1427467907498367E-14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344.36303707479811</v>
      </c>
      <c r="T136" s="62">
        <f t="shared" si="142"/>
        <v>207.92972431357452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553.99999999999966</v>
      </c>
      <c r="AJ136" s="14">
        <f>AI136*VLOOKUP('Données projet'!$B$10,Paramètres!$A$1:$I$89,3,0)*VLOOKUP('Données projet'!$B$10,Paramètres!$A$1:$I$89,5,0)</f>
        <v>259.27199999999988</v>
      </c>
      <c r="AK136" s="14">
        <f t="shared" si="143"/>
        <v>62.567172460757938</v>
      </c>
      <c r="AL136" s="22">
        <f t="shared" si="112"/>
        <v>560.53655870248656</v>
      </c>
      <c r="AM136" s="62">
        <f t="shared" si="113"/>
        <v>853.86989203581993</v>
      </c>
      <c r="AN136" s="62">
        <f ca="1">AVERAGE(OFFSET($AM$3,0,0,'Données projet'!$E$10+1,1))-AVERAGE(OFFSET($H$3,0,0,'Données projet'!$E$10+1,1))</f>
        <v>273.94989417245978</v>
      </c>
      <c r="AO136" s="62">
        <f t="shared" si="144"/>
        <v>244.91615281423549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247.81726778334098</v>
      </c>
      <c r="BJ136" s="62">
        <f t="shared" si="146"/>
        <v>278.55937893537259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6.0873193365738317E-15</v>
      </c>
      <c r="BS136" s="24">
        <f t="shared" si="117"/>
        <v>6.0873193365738317E-15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156.11420010556668</v>
      </c>
      <c r="CE136" s="62">
        <f t="shared" si="148"/>
        <v>318.01952986326501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12.849286744081933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8.3524190936756116E-14</v>
      </c>
      <c r="CN136" s="24">
        <f t="shared" si="120"/>
        <v>12.849286744082017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6.3550942286383367E-14</v>
      </c>
      <c r="CV136" s="14">
        <f t="shared" si="149"/>
        <v>1.0064464192543978E-12</v>
      </c>
      <c r="CW136" s="22">
        <f t="shared" si="121"/>
        <v>1.8635787380168604E-12</v>
      </c>
      <c r="CX136" s="62">
        <f t="shared" si="122"/>
        <v>293.33333333333519</v>
      </c>
      <c r="CY136" s="62">
        <f ca="1">AVERAGE(OFFSET($CX$3,0,0,'Données projet'!$E$13+1,1))-AVERAGE(OFFSET($H$3,0,0,'Données projet'!$E$13+1,1))</f>
        <v>321.56347025977988</v>
      </c>
      <c r="CZ136" s="62">
        <f t="shared" si="150"/>
        <v>285.79375360040717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2.5832874946059103</v>
      </c>
      <c r="DG136" s="23">
        <f>EXP(-LN(2)/25)*DG135+(1-EXP(-LN(2)/25))/(LN(2)/25)*Calculateur!DB136*Calculateur!DD136*VLOOKUP('Données projet'!$B$13,Paramètres!$A$1:$I$89,3,0)*0.475*44/12</f>
        <v>0.65157625094731186</v>
      </c>
      <c r="DH136" s="23">
        <f>EXP(-LN(2)/2)*DH135+(1-EXP(-LN(2)/2))/(LN(2)/2)*DB136*DE136*VLOOKUP('Données projet'!$B$13,Paramètres!$A$1:$I$89,3,0)*0.475*44/12</f>
        <v>2.2424972931108798E-15</v>
      </c>
      <c r="DI136" s="24">
        <f t="shared" si="123"/>
        <v>3.2348637455532243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287.69656598881124</v>
      </c>
      <c r="DU136" s="62">
        <f t="shared" si="152"/>
        <v>221.9773436301067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8.080440049183742E-15</v>
      </c>
      <c r="ED136" s="24">
        <f t="shared" si="126"/>
        <v>8.080440049183742E-15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344.36303707479811</v>
      </c>
      <c r="T137" s="62">
        <f t="shared" si="142"/>
        <v>207.92972431357452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553.99999999999966</v>
      </c>
      <c r="AJ137" s="14">
        <f>AI137*VLOOKUP('Données projet'!$B$10,Paramètres!$A$1:$I$89,3,0)*VLOOKUP('Données projet'!$B$10,Paramètres!$A$1:$I$89,5,0)</f>
        <v>259.27199999999988</v>
      </c>
      <c r="AK137" s="14">
        <f t="shared" si="143"/>
        <v>62.567172460757938</v>
      </c>
      <c r="AL137" s="22">
        <f t="shared" si="112"/>
        <v>560.53655870248656</v>
      </c>
      <c r="AM137" s="62">
        <f t="shared" si="113"/>
        <v>853.86989203581993</v>
      </c>
      <c r="AN137" s="62">
        <f ca="1">AVERAGE(OFFSET($AM$3,0,0,'Données projet'!$E$10+1,1))-AVERAGE(OFFSET($H$3,0,0,'Données projet'!$E$10+1,1))</f>
        <v>273.94989417245978</v>
      </c>
      <c r="AO137" s="62">
        <f t="shared" si="144"/>
        <v>244.91615281423549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247.81726778334098</v>
      </c>
      <c r="BJ137" s="62">
        <f t="shared" si="146"/>
        <v>278.55937893537259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4.304384782139352E-15</v>
      </c>
      <c r="BS137" s="24">
        <f t="shared" si="117"/>
        <v>4.304384782139352E-15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156.11420010556668</v>
      </c>
      <c r="CE137" s="62">
        <f t="shared" si="148"/>
        <v>318.01952986326501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12.597320068321531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5.9060521804500221E-14</v>
      </c>
      <c r="CN137" s="24">
        <f t="shared" si="120"/>
        <v>12.59732006832159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6.3550942286383367E-14</v>
      </c>
      <c r="CV137" s="14">
        <f t="shared" si="149"/>
        <v>1.0064464192543978E-12</v>
      </c>
      <c r="CW137" s="22">
        <f t="shared" si="121"/>
        <v>1.8635787380168604E-12</v>
      </c>
      <c r="CX137" s="62">
        <f t="shared" si="122"/>
        <v>293.33333333333519</v>
      </c>
      <c r="CY137" s="62">
        <f ca="1">AVERAGE(OFFSET($CX$3,0,0,'Données projet'!$E$13+1,1))-AVERAGE(OFFSET($H$3,0,0,'Données projet'!$E$13+1,1))</f>
        <v>321.56347025977988</v>
      </c>
      <c r="CZ137" s="62">
        <f t="shared" si="150"/>
        <v>285.79375360040717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2.5326308024864779</v>
      </c>
      <c r="DG137" s="23">
        <f>EXP(-LN(2)/25)*DG136+(1-EXP(-LN(2)/25))/(LN(2)/25)*Calculateur!DB137*Calculateur!DD137*VLOOKUP('Données projet'!$B$13,Paramètres!$A$1:$I$89,3,0)*0.475*44/12</f>
        <v>0.63375886410025173</v>
      </c>
      <c r="DH137" s="23">
        <f>EXP(-LN(2)/2)*DH136+(1-EXP(-LN(2)/2))/(LN(2)/2)*DB137*DE137*VLOOKUP('Données projet'!$B$13,Paramètres!$A$1:$I$89,3,0)*0.475*44/12</f>
        <v>1.5856850427511801E-15</v>
      </c>
      <c r="DI137" s="24">
        <f t="shared" si="123"/>
        <v>3.1663896665867313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287.69656598881124</v>
      </c>
      <c r="DU137" s="62">
        <f t="shared" si="152"/>
        <v>221.9773436301067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5.7137339537491837E-15</v>
      </c>
      <c r="ED137" s="24">
        <f t="shared" si="126"/>
        <v>5.7137339537491837E-15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344.36303707479811</v>
      </c>
      <c r="T138" s="62">
        <f t="shared" si="142"/>
        <v>207.92972431357452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553.99999999999966</v>
      </c>
      <c r="AJ138" s="14">
        <f>AI138*VLOOKUP('Données projet'!$B$10,Paramètres!$A$1:$I$89,3,0)*VLOOKUP('Données projet'!$B$10,Paramètres!$A$1:$I$89,5,0)</f>
        <v>259.27199999999988</v>
      </c>
      <c r="AK138" s="14">
        <f t="shared" si="143"/>
        <v>62.567172460757938</v>
      </c>
      <c r="AL138" s="22">
        <f t="shared" si="112"/>
        <v>560.53655870248656</v>
      </c>
      <c r="AM138" s="62">
        <f t="shared" si="113"/>
        <v>853.86989203581993</v>
      </c>
      <c r="AN138" s="62">
        <f ca="1">AVERAGE(OFFSET($AM$3,0,0,'Données projet'!$E$10+1,1))-AVERAGE(OFFSET($H$3,0,0,'Données projet'!$E$10+1,1))</f>
        <v>273.94989417245978</v>
      </c>
      <c r="AO138" s="62">
        <f t="shared" si="144"/>
        <v>244.91615281423549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247.81726778334098</v>
      </c>
      <c r="BJ138" s="62">
        <f t="shared" si="146"/>
        <v>278.55937893537259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3.0436596682869159E-15</v>
      </c>
      <c r="BS138" s="24">
        <f t="shared" si="117"/>
        <v>3.0436596682869159E-15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156.11420010556668</v>
      </c>
      <c r="CE138" s="62">
        <f t="shared" si="148"/>
        <v>318.01952986326501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12.350294305388294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4.1762095468378058E-14</v>
      </c>
      <c r="CN138" s="24">
        <f t="shared" si="120"/>
        <v>12.350294305388337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6.3550942286383367E-14</v>
      </c>
      <c r="CV138" s="14">
        <f t="shared" si="149"/>
        <v>1.0064464192543978E-12</v>
      </c>
      <c r="CW138" s="22">
        <f t="shared" si="121"/>
        <v>1.8635787380168604E-12</v>
      </c>
      <c r="CX138" s="62">
        <f t="shared" si="122"/>
        <v>293.33333333333519</v>
      </c>
      <c r="CY138" s="62">
        <f ca="1">AVERAGE(OFFSET($CX$3,0,0,'Données projet'!$E$13+1,1))-AVERAGE(OFFSET($H$3,0,0,'Données projet'!$E$13+1,1))</f>
        <v>321.56347025977988</v>
      </c>
      <c r="CZ138" s="62">
        <f t="shared" si="150"/>
        <v>285.79375360040717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2.4829674572019758</v>
      </c>
      <c r="DG138" s="23">
        <f>EXP(-LN(2)/25)*DG137+(1-EXP(-LN(2)/25))/(LN(2)/25)*Calculateur!DB138*Calculateur!DD138*VLOOKUP('Données projet'!$B$13,Paramètres!$A$1:$I$89,3,0)*0.475*44/12</f>
        <v>0.61642869463350014</v>
      </c>
      <c r="DH138" s="23">
        <f>EXP(-LN(2)/2)*DH137+(1-EXP(-LN(2)/2))/(LN(2)/2)*DB138*DE138*VLOOKUP('Données projet'!$B$13,Paramètres!$A$1:$I$89,3,0)*0.475*44/12</f>
        <v>1.1212486465554399E-15</v>
      </c>
      <c r="DI138" s="24">
        <f t="shared" si="123"/>
        <v>3.0993961518354771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287.69656598881124</v>
      </c>
      <c r="DU138" s="62">
        <f t="shared" si="152"/>
        <v>221.9773436301067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4.040220024591871E-15</v>
      </c>
      <c r="ED138" s="24">
        <f t="shared" si="126"/>
        <v>4.040220024591871E-15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344.36303707479811</v>
      </c>
      <c r="T139" s="62">
        <f t="shared" si="142"/>
        <v>207.92972431357452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553.99999999999966</v>
      </c>
      <c r="AJ139" s="14">
        <f>AI139*VLOOKUP('Données projet'!$B$10,Paramètres!$A$1:$I$89,3,0)*VLOOKUP('Données projet'!$B$10,Paramètres!$A$1:$I$89,5,0)</f>
        <v>259.27199999999988</v>
      </c>
      <c r="AK139" s="14">
        <f t="shared" si="143"/>
        <v>62.567172460757938</v>
      </c>
      <c r="AL139" s="22">
        <f t="shared" si="112"/>
        <v>560.53655870248656</v>
      </c>
      <c r="AM139" s="62">
        <f t="shared" si="113"/>
        <v>853.86989203581993</v>
      </c>
      <c r="AN139" s="62">
        <f ca="1">AVERAGE(OFFSET($AM$3,0,0,'Données projet'!$E$10+1,1))-AVERAGE(OFFSET($H$3,0,0,'Données projet'!$E$10+1,1))</f>
        <v>273.94989417245978</v>
      </c>
      <c r="AO139" s="62">
        <f t="shared" si="144"/>
        <v>244.91615281423549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247.81726778334098</v>
      </c>
      <c r="BJ139" s="62">
        <f t="shared" si="146"/>
        <v>278.55937893537259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2.152192391069676E-15</v>
      </c>
      <c r="BS139" s="24">
        <f t="shared" si="117"/>
        <v>2.152192391069676E-15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156.11420010556668</v>
      </c>
      <c r="CE139" s="62">
        <f t="shared" si="148"/>
        <v>318.01952986326501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12.10811256699534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2.9530260902250111E-14</v>
      </c>
      <c r="CN139" s="24">
        <f t="shared" si="120"/>
        <v>12.10811256699537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6.3550942286383367E-14</v>
      </c>
      <c r="CV139" s="14">
        <f t="shared" si="149"/>
        <v>1.0064464192543978E-12</v>
      </c>
      <c r="CW139" s="22">
        <f t="shared" si="121"/>
        <v>1.8635787380168604E-12</v>
      </c>
      <c r="CX139" s="62">
        <f t="shared" si="122"/>
        <v>293.33333333333519</v>
      </c>
      <c r="CY139" s="62">
        <f ca="1">AVERAGE(OFFSET($CX$3,0,0,'Données projet'!$E$13+1,1))-AVERAGE(OFFSET($H$3,0,0,'Données projet'!$E$13+1,1))</f>
        <v>321.56347025977988</v>
      </c>
      <c r="CZ139" s="62">
        <f t="shared" si="150"/>
        <v>285.79375360040717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2.4342779798268532</v>
      </c>
      <c r="DG139" s="23">
        <f>EXP(-LN(2)/25)*DG138+(1-EXP(-LN(2)/25))/(LN(2)/25)*Calculateur!DB139*Calculateur!DD139*VLOOKUP('Données projet'!$B$13,Paramètres!$A$1:$I$89,3,0)*0.475*44/12</f>
        <v>0.59957241956217089</v>
      </c>
      <c r="DH139" s="23">
        <f>EXP(-LN(2)/2)*DH138+(1-EXP(-LN(2)/2))/(LN(2)/2)*DB139*DE139*VLOOKUP('Données projet'!$B$13,Paramètres!$A$1:$I$89,3,0)*0.475*44/12</f>
        <v>7.9284252137559003E-16</v>
      </c>
      <c r="DI139" s="24">
        <f t="shared" si="123"/>
        <v>3.0338503993890251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287.69656598881124</v>
      </c>
      <c r="DU139" s="62">
        <f t="shared" si="152"/>
        <v>221.9773436301067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2.8568669768745918E-15</v>
      </c>
      <c r="ED139" s="24">
        <f t="shared" si="126"/>
        <v>2.8568669768745918E-15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344.36303707479811</v>
      </c>
      <c r="T140" s="62">
        <f t="shared" si="142"/>
        <v>207.92972431357452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553.99999999999966</v>
      </c>
      <c r="AJ140" s="14">
        <f>AI140*VLOOKUP('Données projet'!$B$10,Paramètres!$A$1:$I$89,3,0)*VLOOKUP('Données projet'!$B$10,Paramètres!$A$1:$I$89,5,0)</f>
        <v>259.27199999999988</v>
      </c>
      <c r="AK140" s="14">
        <f t="shared" si="143"/>
        <v>62.567172460757938</v>
      </c>
      <c r="AL140" s="22">
        <f t="shared" si="112"/>
        <v>560.53655870248656</v>
      </c>
      <c r="AM140" s="62">
        <f t="shared" si="113"/>
        <v>853.86989203581993</v>
      </c>
      <c r="AN140" s="62">
        <f ca="1">AVERAGE(OFFSET($AM$3,0,0,'Données projet'!$E$10+1,1))-AVERAGE(OFFSET($H$3,0,0,'Données projet'!$E$10+1,1))</f>
        <v>273.94989417245978</v>
      </c>
      <c r="AO140" s="62">
        <f t="shared" si="144"/>
        <v>244.91615281423549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247.81726778334098</v>
      </c>
      <c r="BJ140" s="62">
        <f t="shared" si="146"/>
        <v>278.55937893537259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1.5218298341434579E-15</v>
      </c>
      <c r="BS140" s="24">
        <f t="shared" si="117"/>
        <v>1.5218298341434579E-15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156.11420010556668</v>
      </c>
      <c r="CE140" s="62">
        <f t="shared" si="148"/>
        <v>318.01952986326501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11.870679864775997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2.0881047734189029E-14</v>
      </c>
      <c r="CN140" s="24">
        <f t="shared" si="120"/>
        <v>11.870679864776019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6.3550942286383367E-14</v>
      </c>
      <c r="CV140" s="14">
        <f t="shared" si="149"/>
        <v>1.0064464192543978E-12</v>
      </c>
      <c r="CW140" s="22">
        <f t="shared" si="121"/>
        <v>1.8635787380168604E-12</v>
      </c>
      <c r="CX140" s="62">
        <f t="shared" si="122"/>
        <v>293.33333333333519</v>
      </c>
      <c r="CY140" s="62">
        <f ca="1">AVERAGE(OFFSET($CX$3,0,0,'Données projet'!$E$13+1,1))-AVERAGE(OFFSET($H$3,0,0,'Données projet'!$E$13+1,1))</f>
        <v>321.56347025977988</v>
      </c>
      <c r="CZ140" s="62">
        <f t="shared" si="150"/>
        <v>285.79375360040717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2.3865432734054082</v>
      </c>
      <c r="DG140" s="23">
        <f>EXP(-LN(2)/25)*DG139+(1-EXP(-LN(2)/25))/(LN(2)/25)*Calculateur!DB140*Calculateur!DD140*VLOOKUP('Données projet'!$B$13,Paramètres!$A$1:$I$89,3,0)*0.475*44/12</f>
        <v>0.58317708021910009</v>
      </c>
      <c r="DH140" s="23">
        <f>EXP(-LN(2)/2)*DH139+(1-EXP(-LN(2)/2))/(LN(2)/2)*DB140*DE140*VLOOKUP('Données projet'!$B$13,Paramètres!$A$1:$I$89,3,0)*0.475*44/12</f>
        <v>5.6062432327771996E-16</v>
      </c>
      <c r="DI140" s="24">
        <f t="shared" si="123"/>
        <v>2.9697203536245085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287.69656598881124</v>
      </c>
      <c r="DU140" s="62">
        <f t="shared" si="152"/>
        <v>221.9773436301067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2.0201100122959355E-15</v>
      </c>
      <c r="ED140" s="24">
        <f t="shared" si="126"/>
        <v>2.0201100122959355E-15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344.36303707479811</v>
      </c>
      <c r="T141" s="62">
        <f t="shared" si="142"/>
        <v>207.92972431357452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553.99999999999966</v>
      </c>
      <c r="AJ141" s="14">
        <f>AI141*VLOOKUP('Données projet'!$B$10,Paramètres!$A$1:$I$89,3,0)*VLOOKUP('Données projet'!$B$10,Paramètres!$A$1:$I$89,5,0)</f>
        <v>259.27199999999988</v>
      </c>
      <c r="AK141" s="14">
        <f t="shared" si="143"/>
        <v>62.567172460757938</v>
      </c>
      <c r="AL141" s="22">
        <f t="shared" si="112"/>
        <v>560.53655870248656</v>
      </c>
      <c r="AM141" s="62">
        <f t="shared" si="113"/>
        <v>853.86989203581993</v>
      </c>
      <c r="AN141" s="62">
        <f ca="1">AVERAGE(OFFSET($AM$3,0,0,'Données projet'!$E$10+1,1))-AVERAGE(OFFSET($H$3,0,0,'Données projet'!$E$10+1,1))</f>
        <v>273.94989417245978</v>
      </c>
      <c r="AO141" s="62">
        <f t="shared" si="144"/>
        <v>244.91615281423549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247.81726778334098</v>
      </c>
      <c r="BJ141" s="62">
        <f t="shared" si="146"/>
        <v>278.55937893537259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1.076096195534838E-15</v>
      </c>
      <c r="BS141" s="24">
        <f t="shared" si="117"/>
        <v>1.076096195534838E-15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156.11420010556668</v>
      </c>
      <c r="CE141" s="62">
        <f t="shared" si="148"/>
        <v>318.01952986326501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11.637903073027527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1.4765130451125055E-14</v>
      </c>
      <c r="CN141" s="24">
        <f t="shared" si="120"/>
        <v>11.637903073027541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6.3550942286383367E-14</v>
      </c>
      <c r="CV141" s="14">
        <f t="shared" si="149"/>
        <v>1.0064464192543978E-12</v>
      </c>
      <c r="CW141" s="22">
        <f t="shared" si="121"/>
        <v>1.8635787380168604E-12</v>
      </c>
      <c r="CX141" s="62">
        <f t="shared" si="122"/>
        <v>293.33333333333519</v>
      </c>
      <c r="CY141" s="62">
        <f ca="1">AVERAGE(OFFSET($CX$3,0,0,'Données projet'!$E$13+1,1))-AVERAGE(OFFSET($H$3,0,0,'Données projet'!$E$13+1,1))</f>
        <v>321.56347025977988</v>
      </c>
      <c r="CZ141" s="62">
        <f t="shared" si="150"/>
        <v>285.79375360040717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2.3397446154615915</v>
      </c>
      <c r="DG141" s="23">
        <f>EXP(-LN(2)/25)*DG140+(1-EXP(-LN(2)/25))/(LN(2)/25)*Calculateur!DB141*Calculateur!DD141*VLOOKUP('Données projet'!$B$13,Paramètres!$A$1:$I$89,3,0)*0.475*44/12</f>
        <v>0.56723007229255906</v>
      </c>
      <c r="DH141" s="23">
        <f>EXP(-LN(2)/2)*DH140+(1-EXP(-LN(2)/2))/(LN(2)/2)*DB141*DE141*VLOOKUP('Données projet'!$B$13,Paramètres!$A$1:$I$89,3,0)*0.475*44/12</f>
        <v>3.9642126068779501E-16</v>
      </c>
      <c r="DI141" s="24">
        <f t="shared" si="123"/>
        <v>2.9069746877541509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287.69656598881124</v>
      </c>
      <c r="DU141" s="62">
        <f t="shared" si="152"/>
        <v>221.9773436301067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1.4284334884372959E-15</v>
      </c>
      <c r="ED141" s="24">
        <f t="shared" si="126"/>
        <v>1.4284334884372959E-15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344.36303707479811</v>
      </c>
      <c r="T142" s="62">
        <f t="shared" si="142"/>
        <v>207.92972431357452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553.99999999999966</v>
      </c>
      <c r="AJ142" s="14">
        <f>AI142*VLOOKUP('Données projet'!$B$10,Paramètres!$A$1:$I$89,3,0)*VLOOKUP('Données projet'!$B$10,Paramètres!$A$1:$I$89,5,0)</f>
        <v>259.27199999999988</v>
      </c>
      <c r="AK142" s="14">
        <f t="shared" si="143"/>
        <v>62.567172460757938</v>
      </c>
      <c r="AL142" s="22">
        <f t="shared" si="112"/>
        <v>560.53655870248656</v>
      </c>
      <c r="AM142" s="62">
        <f t="shared" si="113"/>
        <v>853.86989203581993</v>
      </c>
      <c r="AN142" s="62">
        <f ca="1">AVERAGE(OFFSET($AM$3,0,0,'Données projet'!$E$10+1,1))-AVERAGE(OFFSET($H$3,0,0,'Données projet'!$E$10+1,1))</f>
        <v>273.94989417245978</v>
      </c>
      <c r="AO142" s="62">
        <f t="shared" si="144"/>
        <v>244.91615281423549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247.81726778334098</v>
      </c>
      <c r="BJ142" s="62">
        <f t="shared" si="146"/>
        <v>278.55937893537259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7.6091491707172897E-16</v>
      </c>
      <c r="BS142" s="24">
        <f t="shared" si="117"/>
        <v>7.6091491707172897E-16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156.11420010556668</v>
      </c>
      <c r="CE142" s="62">
        <f t="shared" si="148"/>
        <v>318.01952986326501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11.40969089218542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1.0440523867094514E-14</v>
      </c>
      <c r="CN142" s="24">
        <f t="shared" si="120"/>
        <v>11.409690892185431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6.3550942286383367E-14</v>
      </c>
      <c r="CV142" s="14">
        <f t="shared" si="149"/>
        <v>1.0064464192543978E-12</v>
      </c>
      <c r="CW142" s="22">
        <f t="shared" si="121"/>
        <v>1.8635787380168604E-12</v>
      </c>
      <c r="CX142" s="62">
        <f t="shared" si="122"/>
        <v>293.33333333333519</v>
      </c>
      <c r="CY142" s="62">
        <f ca="1">AVERAGE(OFFSET($CX$3,0,0,'Données projet'!$E$13+1,1))-AVERAGE(OFFSET($H$3,0,0,'Données projet'!$E$13+1,1))</f>
        <v>321.56347025977988</v>
      </c>
      <c r="CZ142" s="62">
        <f t="shared" si="150"/>
        <v>285.79375360040717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2.2938636506556902</v>
      </c>
      <c r="DG142" s="23">
        <f>EXP(-LN(2)/25)*DG141+(1-EXP(-LN(2)/25))/(LN(2)/25)*Calculateur!DB142*Calculateur!DD142*VLOOKUP('Données projet'!$B$13,Paramètres!$A$1:$I$89,3,0)*0.475*44/12</f>
        <v>0.5517191361363859</v>
      </c>
      <c r="DH142" s="23">
        <f>EXP(-LN(2)/2)*DH141+(1-EXP(-LN(2)/2))/(LN(2)/2)*DB142*DE142*VLOOKUP('Données projet'!$B$13,Paramètres!$A$1:$I$89,3,0)*0.475*44/12</f>
        <v>2.8031216163885998E-16</v>
      </c>
      <c r="DI142" s="24">
        <f t="shared" si="123"/>
        <v>2.8455827867920767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287.69656598881124</v>
      </c>
      <c r="DU142" s="62">
        <f t="shared" si="152"/>
        <v>221.9773436301067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1.0100550061479677E-15</v>
      </c>
      <c r="ED142" s="24">
        <f t="shared" si="126"/>
        <v>1.0100550061479677E-15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344.36303707479811</v>
      </c>
      <c r="T143" s="62">
        <f t="shared" si="142"/>
        <v>207.92972431357452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553.99999999999966</v>
      </c>
      <c r="AJ143" s="14">
        <f>AI143*VLOOKUP('Données projet'!$B$10,Paramètres!$A$1:$I$89,3,0)*VLOOKUP('Données projet'!$B$10,Paramètres!$A$1:$I$89,5,0)</f>
        <v>259.27199999999988</v>
      </c>
      <c r="AK143" s="14">
        <f t="shared" si="143"/>
        <v>62.567172460757938</v>
      </c>
      <c r="AL143" s="22">
        <f t="shared" si="112"/>
        <v>560.53655870248656</v>
      </c>
      <c r="AM143" s="62">
        <f t="shared" si="113"/>
        <v>853.86989203581993</v>
      </c>
      <c r="AN143" s="62">
        <f ca="1">AVERAGE(OFFSET($AM$3,0,0,'Données projet'!$E$10+1,1))-AVERAGE(OFFSET($H$3,0,0,'Données projet'!$E$10+1,1))</f>
        <v>273.94989417245978</v>
      </c>
      <c r="AO143" s="62">
        <f t="shared" si="144"/>
        <v>244.91615281423549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247.81726778334098</v>
      </c>
      <c r="BJ143" s="62">
        <f t="shared" si="146"/>
        <v>278.55937893537259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5.38048097767419E-16</v>
      </c>
      <c r="BS143" s="24">
        <f t="shared" si="117"/>
        <v>5.38048097767419E-16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156.11420010556668</v>
      </c>
      <c r="CE143" s="62">
        <f t="shared" si="148"/>
        <v>318.01952986326501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11.185953813013942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7.3825652255625277E-15</v>
      </c>
      <c r="CN143" s="24">
        <f t="shared" si="120"/>
        <v>11.185953813013949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6.3550942286383367E-14</v>
      </c>
      <c r="CV143" s="14">
        <f t="shared" si="149"/>
        <v>1.0064464192543978E-12</v>
      </c>
      <c r="CW143" s="22">
        <f t="shared" si="121"/>
        <v>1.8635787380168604E-12</v>
      </c>
      <c r="CX143" s="62">
        <f t="shared" si="122"/>
        <v>293.33333333333519</v>
      </c>
      <c r="CY143" s="62">
        <f ca="1">AVERAGE(OFFSET($CX$3,0,0,'Données projet'!$E$13+1,1))-AVERAGE(OFFSET($H$3,0,0,'Données projet'!$E$13+1,1))</f>
        <v>321.56347025977988</v>
      </c>
      <c r="CZ143" s="62">
        <f t="shared" si="150"/>
        <v>285.79375360040717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2.2488823835850074</v>
      </c>
      <c r="DG143" s="23">
        <f>EXP(-LN(2)/25)*DG142+(1-EXP(-LN(2)/25))/(LN(2)/25)*Calculateur!DB143*Calculateur!DD143*VLOOKUP('Données projet'!$B$13,Paramètres!$A$1:$I$89,3,0)*0.475*44/12</f>
        <v>0.53663234734508802</v>
      </c>
      <c r="DH143" s="23">
        <f>EXP(-LN(2)/2)*DH142+(1-EXP(-LN(2)/2))/(LN(2)/2)*DB143*DE143*VLOOKUP('Données projet'!$B$13,Paramètres!$A$1:$I$89,3,0)*0.475*44/12</f>
        <v>1.9821063034389751E-16</v>
      </c>
      <c r="DI143" s="24">
        <f t="shared" si="123"/>
        <v>2.7855147309300952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287.69656598881124</v>
      </c>
      <c r="DU143" s="62">
        <f t="shared" si="152"/>
        <v>221.9773436301067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7.1421674421864796E-16</v>
      </c>
      <c r="ED143" s="24">
        <f t="shared" si="126"/>
        <v>7.1421674421864796E-16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344.36303707479811</v>
      </c>
      <c r="T144" s="62">
        <f t="shared" si="142"/>
        <v>207.92972431357452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553.99999999999966</v>
      </c>
      <c r="AJ144" s="14">
        <f>AI144*VLOOKUP('Données projet'!$B$10,Paramètres!$A$1:$I$89,3,0)*VLOOKUP('Données projet'!$B$10,Paramètres!$A$1:$I$89,5,0)</f>
        <v>259.27199999999988</v>
      </c>
      <c r="AK144" s="14">
        <f t="shared" si="143"/>
        <v>62.567172460757938</v>
      </c>
      <c r="AL144" s="22">
        <f t="shared" si="112"/>
        <v>560.53655870248656</v>
      </c>
      <c r="AM144" s="62">
        <f t="shared" si="113"/>
        <v>853.86989203581993</v>
      </c>
      <c r="AN144" s="62">
        <f ca="1">AVERAGE(OFFSET($AM$3,0,0,'Données projet'!$E$10+1,1))-AVERAGE(OFFSET($H$3,0,0,'Données projet'!$E$10+1,1))</f>
        <v>273.94989417245978</v>
      </c>
      <c r="AO144" s="62">
        <f t="shared" si="144"/>
        <v>244.91615281423549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247.81726778334098</v>
      </c>
      <c r="BJ144" s="62">
        <f t="shared" si="146"/>
        <v>278.55937893537259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3.8045745853586448E-16</v>
      </c>
      <c r="BS144" s="24">
        <f t="shared" si="117"/>
        <v>3.8045745853586448E-16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156.11420010556668</v>
      </c>
      <c r="CE144" s="62">
        <f t="shared" si="148"/>
        <v>318.01952986326501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10.966604081498874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5.2202619335472572E-15</v>
      </c>
      <c r="CN144" s="24">
        <f t="shared" si="120"/>
        <v>10.966604081498879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6.3550942286383367E-14</v>
      </c>
      <c r="CV144" s="14">
        <f t="shared" si="149"/>
        <v>1.0064464192543978E-12</v>
      </c>
      <c r="CW144" s="22">
        <f t="shared" si="121"/>
        <v>1.8635787380168604E-12</v>
      </c>
      <c r="CX144" s="62">
        <f t="shared" si="122"/>
        <v>293.33333333333519</v>
      </c>
      <c r="CY144" s="62">
        <f ca="1">AVERAGE(OFFSET($CX$3,0,0,'Données projet'!$E$13+1,1))-AVERAGE(OFFSET($H$3,0,0,'Données projet'!$E$13+1,1))</f>
        <v>321.56347025977988</v>
      </c>
      <c r="CZ144" s="62">
        <f t="shared" si="150"/>
        <v>285.79375360040717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2.2047831717257171</v>
      </c>
      <c r="DG144" s="23">
        <f>EXP(-LN(2)/25)*DG143+(1-EXP(-LN(2)/25))/(LN(2)/25)*Calculateur!DB144*Calculateur!DD144*VLOOKUP('Données projet'!$B$13,Paramètres!$A$1:$I$89,3,0)*0.475*44/12</f>
        <v>0.52195810758666794</v>
      </c>
      <c r="DH144" s="23">
        <f>EXP(-LN(2)/2)*DH143+(1-EXP(-LN(2)/2))/(LN(2)/2)*DB144*DE144*VLOOKUP('Données projet'!$B$13,Paramètres!$A$1:$I$89,3,0)*0.475*44/12</f>
        <v>1.4015608081942999E-16</v>
      </c>
      <c r="DI144" s="24">
        <f t="shared" si="123"/>
        <v>2.7267412793123853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287.69656598881124</v>
      </c>
      <c r="DU144" s="62">
        <f t="shared" si="152"/>
        <v>221.9773436301067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5.0502750307398387E-16</v>
      </c>
      <c r="ED144" s="24">
        <f t="shared" si="126"/>
        <v>5.0502750307398387E-16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344.36303707479811</v>
      </c>
      <c r="T145" s="62">
        <f t="shared" si="142"/>
        <v>207.92972431357452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553.99999999999966</v>
      </c>
      <c r="AJ145" s="14">
        <f>AI145*VLOOKUP('Données projet'!$B$10,Paramètres!$A$1:$I$89,3,0)*VLOOKUP('Données projet'!$B$10,Paramètres!$A$1:$I$89,5,0)</f>
        <v>259.27199999999988</v>
      </c>
      <c r="AK145" s="14">
        <f t="shared" si="143"/>
        <v>62.567172460757938</v>
      </c>
      <c r="AL145" s="22">
        <f t="shared" si="112"/>
        <v>560.53655870248656</v>
      </c>
      <c r="AM145" s="62">
        <f t="shared" si="113"/>
        <v>853.86989203581993</v>
      </c>
      <c r="AN145" s="62">
        <f ca="1">AVERAGE(OFFSET($AM$3,0,0,'Données projet'!$E$10+1,1))-AVERAGE(OFFSET($H$3,0,0,'Données projet'!$E$10+1,1))</f>
        <v>273.94989417245978</v>
      </c>
      <c r="AO145" s="62">
        <f t="shared" si="144"/>
        <v>244.91615281423549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247.81726778334098</v>
      </c>
      <c r="BJ145" s="62">
        <f t="shared" si="146"/>
        <v>278.55937893537259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2.690240488837095E-16</v>
      </c>
      <c r="BS145" s="24">
        <f t="shared" si="117"/>
        <v>2.690240488837095E-16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156.11420010556668</v>
      </c>
      <c r="CE145" s="62">
        <f t="shared" si="148"/>
        <v>318.01952986326501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10.75155566442869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3.6912826127812638E-15</v>
      </c>
      <c r="CN145" s="24">
        <f t="shared" si="120"/>
        <v>10.751555664428693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6.3550942286383367E-14</v>
      </c>
      <c r="CV145" s="14">
        <f t="shared" si="149"/>
        <v>1.0064464192543978E-12</v>
      </c>
      <c r="CW145" s="22">
        <f t="shared" si="121"/>
        <v>1.8635787380168604E-12</v>
      </c>
      <c r="CX145" s="62">
        <f t="shared" si="122"/>
        <v>293.33333333333519</v>
      </c>
      <c r="CY145" s="62">
        <f ca="1">AVERAGE(OFFSET($CX$3,0,0,'Données projet'!$E$13+1,1))-AVERAGE(OFFSET($H$3,0,0,'Données projet'!$E$13+1,1))</f>
        <v>321.56347025977988</v>
      </c>
      <c r="CZ145" s="62">
        <f t="shared" si="150"/>
        <v>285.79375360040717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2.1615487185131239</v>
      </c>
      <c r="DG145" s="23">
        <f>EXP(-LN(2)/25)*DG144+(1-EXP(-LN(2)/25))/(LN(2)/25)*Calculateur!DB145*Calculateur!DD145*VLOOKUP('Données projet'!$B$13,Paramètres!$A$1:$I$89,3,0)*0.475*44/12</f>
        <v>0.50768513568612661</v>
      </c>
      <c r="DH145" s="23">
        <f>EXP(-LN(2)/2)*DH144+(1-EXP(-LN(2)/2))/(LN(2)/2)*DB145*DE145*VLOOKUP('Données projet'!$B$13,Paramètres!$A$1:$I$89,3,0)*0.475*44/12</f>
        <v>9.9105315171948754E-17</v>
      </c>
      <c r="DI145" s="24">
        <f t="shared" si="123"/>
        <v>2.6692338541992506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287.69656598881124</v>
      </c>
      <c r="DU145" s="62">
        <f t="shared" si="152"/>
        <v>221.9773436301067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3.5710837210932398E-16</v>
      </c>
      <c r="ED145" s="24">
        <f t="shared" si="126"/>
        <v>3.5710837210932398E-16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344.36303707479811</v>
      </c>
      <c r="T146" s="62">
        <f t="shared" si="142"/>
        <v>207.92972431357452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553.99999999999966</v>
      </c>
      <c r="AJ146" s="14">
        <f>AI146*VLOOKUP('Données projet'!$B$10,Paramètres!$A$1:$I$89,3,0)*VLOOKUP('Données projet'!$B$10,Paramètres!$A$1:$I$89,5,0)</f>
        <v>259.27199999999988</v>
      </c>
      <c r="AK146" s="14">
        <f t="shared" si="143"/>
        <v>62.567172460757938</v>
      </c>
      <c r="AL146" s="22">
        <f t="shared" si="112"/>
        <v>560.53655870248656</v>
      </c>
      <c r="AM146" s="62">
        <f t="shared" si="113"/>
        <v>853.86989203581993</v>
      </c>
      <c r="AN146" s="62">
        <f ca="1">AVERAGE(OFFSET($AM$3,0,0,'Données projet'!$E$10+1,1))-AVERAGE(OFFSET($H$3,0,0,'Données projet'!$E$10+1,1))</f>
        <v>273.94989417245978</v>
      </c>
      <c r="AO146" s="62">
        <f t="shared" si="144"/>
        <v>244.91615281423549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247.81726778334098</v>
      </c>
      <c r="BJ146" s="62">
        <f t="shared" si="146"/>
        <v>278.55937893537259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1.9022872926793224E-16</v>
      </c>
      <c r="BS146" s="24">
        <f t="shared" si="117"/>
        <v>1.9022872926793224E-16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156.11420010556668</v>
      </c>
      <c r="CE146" s="62">
        <f t="shared" si="148"/>
        <v>318.01952986326501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10.54072421565067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2.6101309667736286E-15</v>
      </c>
      <c r="CN146" s="24">
        <f t="shared" si="120"/>
        <v>10.540724215650672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6.3550942286383367E-14</v>
      </c>
      <c r="CV146" s="14">
        <f t="shared" si="149"/>
        <v>1.0064464192543978E-12</v>
      </c>
      <c r="CW146" s="22">
        <f t="shared" si="121"/>
        <v>1.8635787380168604E-12</v>
      </c>
      <c r="CX146" s="62">
        <f t="shared" si="122"/>
        <v>293.33333333333519</v>
      </c>
      <c r="CY146" s="62">
        <f ca="1">AVERAGE(OFFSET($CX$3,0,0,'Données projet'!$E$13+1,1))-AVERAGE(OFFSET($H$3,0,0,'Données projet'!$E$13+1,1))</f>
        <v>321.56347025977988</v>
      </c>
      <c r="CZ146" s="62">
        <f t="shared" si="150"/>
        <v>285.79375360040717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2.1191620665576174</v>
      </c>
      <c r="DG146" s="23">
        <f>EXP(-LN(2)/25)*DG145+(1-EXP(-LN(2)/25))/(LN(2)/25)*Calculateur!DB146*Calculateur!DD146*VLOOKUP('Données projet'!$B$13,Paramètres!$A$1:$I$89,3,0)*0.475*44/12</f>
        <v>0.49380245895278851</v>
      </c>
      <c r="DH146" s="23">
        <f>EXP(-LN(2)/2)*DH145+(1-EXP(-LN(2)/2))/(LN(2)/2)*DB146*DE146*VLOOKUP('Données projet'!$B$13,Paramètres!$A$1:$I$89,3,0)*0.475*44/12</f>
        <v>7.0078040409714995E-17</v>
      </c>
      <c r="DI146" s="24">
        <f t="shared" si="123"/>
        <v>2.6129645255104057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287.69656598881124</v>
      </c>
      <c r="DU146" s="62">
        <f t="shared" si="152"/>
        <v>221.9773436301067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2.5251375153699194E-16</v>
      </c>
      <c r="ED146" s="24">
        <f t="shared" si="126"/>
        <v>2.5251375153699194E-16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344.36303707479811</v>
      </c>
      <c r="T147" s="62">
        <f t="shared" si="142"/>
        <v>207.92972431357452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553.99999999999966</v>
      </c>
      <c r="AJ147" s="14">
        <f>AI147*VLOOKUP('Données projet'!$B$10,Paramètres!$A$1:$I$89,3,0)*VLOOKUP('Données projet'!$B$10,Paramètres!$A$1:$I$89,5,0)</f>
        <v>259.27199999999988</v>
      </c>
      <c r="AK147" s="14">
        <f t="shared" si="143"/>
        <v>62.567172460757938</v>
      </c>
      <c r="AL147" s="22">
        <f t="shared" si="112"/>
        <v>560.53655870248656</v>
      </c>
      <c r="AM147" s="62">
        <f t="shared" si="113"/>
        <v>853.86989203581993</v>
      </c>
      <c r="AN147" s="62">
        <f ca="1">AVERAGE(OFFSET($AM$3,0,0,'Données projet'!$E$10+1,1))-AVERAGE(OFFSET($H$3,0,0,'Données projet'!$E$10+1,1))</f>
        <v>273.94989417245978</v>
      </c>
      <c r="AO147" s="62">
        <f t="shared" si="144"/>
        <v>244.91615281423549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247.81726778334098</v>
      </c>
      <c r="BJ147" s="62">
        <f t="shared" si="146"/>
        <v>278.55937893537259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1.3451202444185475E-16</v>
      </c>
      <c r="BS147" s="24">
        <f t="shared" si="117"/>
        <v>1.3451202444185475E-16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156.11420010556668</v>
      </c>
      <c r="CE147" s="62">
        <f t="shared" si="148"/>
        <v>318.01952986326501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10.3340270429887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1.8456413063906319E-15</v>
      </c>
      <c r="CN147" s="24">
        <f t="shared" si="120"/>
        <v>10.334027042988701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6.3550942286383367E-14</v>
      </c>
      <c r="CV147" s="14">
        <f t="shared" si="149"/>
        <v>1.0064464192543978E-12</v>
      </c>
      <c r="CW147" s="22">
        <f t="shared" si="121"/>
        <v>1.8635787380168604E-12</v>
      </c>
      <c r="CX147" s="62">
        <f t="shared" si="122"/>
        <v>293.33333333333519</v>
      </c>
      <c r="CY147" s="62">
        <f ca="1">AVERAGE(OFFSET($CX$3,0,0,'Données projet'!$E$13+1,1))-AVERAGE(OFFSET($H$3,0,0,'Données projet'!$E$13+1,1))</f>
        <v>321.56347025977988</v>
      </c>
      <c r="CZ147" s="62">
        <f t="shared" si="150"/>
        <v>285.79375360040717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2.0776065909936534</v>
      </c>
      <c r="DG147" s="23">
        <f>EXP(-LN(2)/25)*DG146+(1-EXP(-LN(2)/25))/(LN(2)/25)*Calculateur!DB147*Calculateur!DD147*VLOOKUP('Données projet'!$B$13,Paramètres!$A$1:$I$89,3,0)*0.475*44/12</f>
        <v>0.48029940474478178</v>
      </c>
      <c r="DH147" s="23">
        <f>EXP(-LN(2)/2)*DH146+(1-EXP(-LN(2)/2))/(LN(2)/2)*DB147*DE147*VLOOKUP('Données projet'!$B$13,Paramètres!$A$1:$I$89,3,0)*0.475*44/12</f>
        <v>4.9552657585974377E-17</v>
      </c>
      <c r="DI147" s="24">
        <f t="shared" si="123"/>
        <v>2.5579059957384351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287.69656598881124</v>
      </c>
      <c r="DU147" s="62">
        <f t="shared" si="152"/>
        <v>221.9773436301067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1.7855418605466199E-16</v>
      </c>
      <c r="ED147" s="24">
        <f t="shared" si="126"/>
        <v>1.7855418605466199E-16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344.36303707479811</v>
      </c>
      <c r="T148" s="62">
        <f t="shared" si="142"/>
        <v>207.92972431357452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553.99999999999966</v>
      </c>
      <c r="AJ148" s="14">
        <f>AI148*VLOOKUP('Données projet'!$B$10,Paramètres!$A$1:$I$89,3,0)*VLOOKUP('Données projet'!$B$10,Paramètres!$A$1:$I$89,5,0)</f>
        <v>259.27199999999988</v>
      </c>
      <c r="AK148" s="14">
        <f t="shared" si="143"/>
        <v>62.567172460757938</v>
      </c>
      <c r="AL148" s="22">
        <f t="shared" si="112"/>
        <v>560.53655870248656</v>
      </c>
      <c r="AM148" s="62">
        <f t="shared" si="113"/>
        <v>853.86989203581993</v>
      </c>
      <c r="AN148" s="62">
        <f ca="1">AVERAGE(OFFSET($AM$3,0,0,'Données projet'!$E$10+1,1))-AVERAGE(OFFSET($H$3,0,0,'Données projet'!$E$10+1,1))</f>
        <v>273.94989417245978</v>
      </c>
      <c r="AO148" s="62">
        <f t="shared" si="144"/>
        <v>244.91615281423549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247.81726778334098</v>
      </c>
      <c r="BJ148" s="62">
        <f t="shared" si="146"/>
        <v>278.55937893537259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9.5114364633966121E-17</v>
      </c>
      <c r="BS148" s="24">
        <f t="shared" si="117"/>
        <v>9.5114364633966121E-17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156.11420010556668</v>
      </c>
      <c r="CE148" s="62">
        <f t="shared" si="148"/>
        <v>318.01952986326501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10.131383075809804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1.3050654833868143E-15</v>
      </c>
      <c r="CN148" s="24">
        <f t="shared" si="120"/>
        <v>10.131383075809806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6.3550942286383367E-14</v>
      </c>
      <c r="CV148" s="14">
        <f t="shared" si="149"/>
        <v>1.0064464192543978E-12</v>
      </c>
      <c r="CW148" s="22">
        <f t="shared" si="121"/>
        <v>1.8635787380168604E-12</v>
      </c>
      <c r="CX148" s="62">
        <f t="shared" si="122"/>
        <v>293.33333333333519</v>
      </c>
      <c r="CY148" s="62">
        <f ca="1">AVERAGE(OFFSET($CX$3,0,0,'Données projet'!$E$13+1,1))-AVERAGE(OFFSET($H$3,0,0,'Données projet'!$E$13+1,1))</f>
        <v>321.56347025977988</v>
      </c>
      <c r="CZ148" s="62">
        <f t="shared" si="150"/>
        <v>285.79375360040717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2.0368659929591613</v>
      </c>
      <c r="DG148" s="23">
        <f>EXP(-LN(2)/25)*DG147+(1-EXP(-LN(2)/25))/(LN(2)/25)*Calculateur!DB148*Calculateur!DD148*VLOOKUP('Données projet'!$B$13,Paramètres!$A$1:$I$89,3,0)*0.475*44/12</f>
        <v>0.46716559226418775</v>
      </c>
      <c r="DH148" s="23">
        <f>EXP(-LN(2)/2)*DH147+(1-EXP(-LN(2)/2))/(LN(2)/2)*DB148*DE148*VLOOKUP('Données projet'!$B$13,Paramètres!$A$1:$I$89,3,0)*0.475*44/12</f>
        <v>3.5039020204857497E-17</v>
      </c>
      <c r="DI148" s="24">
        <f t="shared" si="123"/>
        <v>2.5040315852233492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287.69656598881124</v>
      </c>
      <c r="DU148" s="62">
        <f t="shared" si="152"/>
        <v>221.9773436301067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1.2625687576849597E-16</v>
      </c>
      <c r="ED148" s="24">
        <f t="shared" si="126"/>
        <v>1.2625687576849597E-16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344.36303707479811</v>
      </c>
      <c r="T149" s="62">
        <f t="shared" si="142"/>
        <v>207.92972431357452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553.99999999999966</v>
      </c>
      <c r="AJ149" s="14">
        <f>AI149*VLOOKUP('Données projet'!$B$10,Paramètres!$A$1:$I$89,3,0)*VLOOKUP('Données projet'!$B$10,Paramètres!$A$1:$I$89,5,0)</f>
        <v>259.27199999999988</v>
      </c>
      <c r="AK149" s="14">
        <f t="shared" si="143"/>
        <v>62.567172460757938</v>
      </c>
      <c r="AL149" s="22">
        <f t="shared" si="112"/>
        <v>560.53655870248656</v>
      </c>
      <c r="AM149" s="62">
        <f t="shared" si="113"/>
        <v>853.86989203581993</v>
      </c>
      <c r="AN149" s="62">
        <f ca="1">AVERAGE(OFFSET($AM$3,0,0,'Données projet'!$E$10+1,1))-AVERAGE(OFFSET($H$3,0,0,'Données projet'!$E$10+1,1))</f>
        <v>273.94989417245978</v>
      </c>
      <c r="AO149" s="62">
        <f t="shared" si="144"/>
        <v>244.91615281423549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247.81726778334098</v>
      </c>
      <c r="BJ149" s="62">
        <f t="shared" si="146"/>
        <v>278.55937893537259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6.7256012220927375E-17</v>
      </c>
      <c r="BS149" s="24">
        <f t="shared" si="117"/>
        <v>6.7256012220927375E-17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156.11420010556668</v>
      </c>
      <c r="CE149" s="62">
        <f t="shared" si="148"/>
        <v>318.01952986326501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9.9327128332266721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9.2282065319531596E-16</v>
      </c>
      <c r="CN149" s="24">
        <f t="shared" si="120"/>
        <v>9.9327128332266739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6.3550942286383367E-14</v>
      </c>
      <c r="CV149" s="14">
        <f t="shared" si="149"/>
        <v>1.0064464192543978E-12</v>
      </c>
      <c r="CW149" s="22">
        <f t="shared" si="121"/>
        <v>1.8635787380168604E-12</v>
      </c>
      <c r="CX149" s="62">
        <f t="shared" si="122"/>
        <v>293.33333333333519</v>
      </c>
      <c r="CY149" s="62">
        <f ca="1">AVERAGE(OFFSET($CX$3,0,0,'Données projet'!$E$13+1,1))-AVERAGE(OFFSET($H$3,0,0,'Données projet'!$E$13+1,1))</f>
        <v>321.56347025977988</v>
      </c>
      <c r="CZ149" s="62">
        <f t="shared" si="150"/>
        <v>285.79375360040717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1.9969242932028144</v>
      </c>
      <c r="DG149" s="23">
        <f>EXP(-LN(2)/25)*DG148+(1-EXP(-LN(2)/25))/(LN(2)/25)*Calculateur!DB149*Calculateur!DD149*VLOOKUP('Données projet'!$B$13,Paramètres!$A$1:$I$89,3,0)*0.475*44/12</f>
        <v>0.45439092457655278</v>
      </c>
      <c r="DH149" s="23">
        <f>EXP(-LN(2)/2)*DH148+(1-EXP(-LN(2)/2))/(LN(2)/2)*DB149*DE149*VLOOKUP('Données projet'!$B$13,Paramètres!$A$1:$I$89,3,0)*0.475*44/12</f>
        <v>2.4776328792987188E-17</v>
      </c>
      <c r="DI149" s="24">
        <f t="shared" si="123"/>
        <v>2.4513152177793671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287.69656598881124</v>
      </c>
      <c r="DU149" s="62">
        <f t="shared" si="152"/>
        <v>221.9773436301067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8.9277093027330995E-17</v>
      </c>
      <c r="ED149" s="24">
        <f t="shared" si="126"/>
        <v>8.9277093027330995E-17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344.36303707479811</v>
      </c>
      <c r="T150" s="62">
        <f t="shared" si="142"/>
        <v>207.92972431357452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553.99999999999966</v>
      </c>
      <c r="AJ150" s="14">
        <f>AI150*VLOOKUP('Données projet'!$B$10,Paramètres!$A$1:$I$89,3,0)*VLOOKUP('Données projet'!$B$10,Paramètres!$A$1:$I$89,5,0)</f>
        <v>259.27199999999988</v>
      </c>
      <c r="AK150" s="14">
        <f t="shared" si="143"/>
        <v>62.567172460757938</v>
      </c>
      <c r="AL150" s="22">
        <f t="shared" si="112"/>
        <v>560.53655870248656</v>
      </c>
      <c r="AM150" s="62">
        <f t="shared" si="113"/>
        <v>853.86989203581993</v>
      </c>
      <c r="AN150" s="62">
        <f ca="1">AVERAGE(OFFSET($AM$3,0,0,'Données projet'!$E$10+1,1))-AVERAGE(OFFSET($H$3,0,0,'Données projet'!$E$10+1,1))</f>
        <v>273.94989417245978</v>
      </c>
      <c r="AO150" s="62">
        <f t="shared" si="144"/>
        <v>244.91615281423549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247.81726778334098</v>
      </c>
      <c r="BJ150" s="62">
        <f t="shared" si="146"/>
        <v>278.55937893537259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4.755718231698306E-17</v>
      </c>
      <c r="BS150" s="24">
        <f t="shared" si="117"/>
        <v>4.755718231698306E-17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156.11420010556668</v>
      </c>
      <c r="CE150" s="62">
        <f t="shared" si="148"/>
        <v>318.01952986326501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9.7379383929237129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6.5253274169340715E-16</v>
      </c>
      <c r="CN150" s="24">
        <f t="shared" si="120"/>
        <v>9.7379383929237129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6.3550942286383367E-14</v>
      </c>
      <c r="CV150" s="14">
        <f t="shared" si="149"/>
        <v>1.0064464192543978E-12</v>
      </c>
      <c r="CW150" s="22">
        <f t="shared" si="121"/>
        <v>1.8635787380168604E-12</v>
      </c>
      <c r="CX150" s="62">
        <f t="shared" si="122"/>
        <v>293.33333333333519</v>
      </c>
      <c r="CY150" s="62">
        <f ca="1">AVERAGE(OFFSET($CX$3,0,0,'Données projet'!$E$13+1,1))-AVERAGE(OFFSET($H$3,0,0,'Données projet'!$E$13+1,1))</f>
        <v>321.56347025977988</v>
      </c>
      <c r="CZ150" s="62">
        <f t="shared" si="150"/>
        <v>285.79375360040717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1.9577658258166581</v>
      </c>
      <c r="DG150" s="23">
        <f>EXP(-LN(2)/25)*DG149+(1-EXP(-LN(2)/25))/(LN(2)/25)*Calculateur!DB150*Calculateur!DD150*VLOOKUP('Données projet'!$B$13,Paramètres!$A$1:$I$89,3,0)*0.475*44/12</f>
        <v>0.44196558084862675</v>
      </c>
      <c r="DH150" s="23">
        <f>EXP(-LN(2)/2)*DH149+(1-EXP(-LN(2)/2))/(LN(2)/2)*DB150*DE150*VLOOKUP('Données projet'!$B$13,Paramètres!$A$1:$I$89,3,0)*0.475*44/12</f>
        <v>1.7519510102428749E-17</v>
      </c>
      <c r="DI150" s="24">
        <f t="shared" si="123"/>
        <v>2.3997314066652851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287.69656598881124</v>
      </c>
      <c r="DU150" s="62">
        <f t="shared" si="152"/>
        <v>221.9773436301067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6.3128437884247984E-17</v>
      </c>
      <c r="ED150" s="24">
        <f t="shared" si="126"/>
        <v>6.3128437884247984E-17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344.36303707479811</v>
      </c>
      <c r="T151" s="62">
        <f t="shared" si="142"/>
        <v>207.92972431357452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553.99999999999966</v>
      </c>
      <c r="AJ151" s="14">
        <f>AI151*VLOOKUP('Données projet'!$B$10,Paramètres!$A$1:$I$89,3,0)*VLOOKUP('Données projet'!$B$10,Paramètres!$A$1:$I$89,5,0)</f>
        <v>259.27199999999988</v>
      </c>
      <c r="AK151" s="14">
        <f t="shared" si="143"/>
        <v>62.567172460757938</v>
      </c>
      <c r="AL151" s="22">
        <f t="shared" si="112"/>
        <v>560.53655870248656</v>
      </c>
      <c r="AM151" s="62">
        <f t="shared" si="113"/>
        <v>853.86989203581993</v>
      </c>
      <c r="AN151" s="62">
        <f ca="1">AVERAGE(OFFSET($AM$3,0,0,'Données projet'!$E$10+1,1))-AVERAGE(OFFSET($H$3,0,0,'Données projet'!$E$10+1,1))</f>
        <v>273.94989417245978</v>
      </c>
      <c r="AO151" s="62">
        <f t="shared" si="144"/>
        <v>244.91615281423549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247.81726778334098</v>
      </c>
      <c r="BJ151" s="62">
        <f t="shared" si="146"/>
        <v>278.55937893537259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3.3628006110463687E-17</v>
      </c>
      <c r="BS151" s="24">
        <f t="shared" si="117"/>
        <v>3.3628006110463687E-17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156.11420010556668</v>
      </c>
      <c r="CE151" s="62">
        <f t="shared" si="148"/>
        <v>318.01952986326501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9.5469833605944157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4.6141032659765798E-16</v>
      </c>
      <c r="CN151" s="24">
        <f t="shared" si="120"/>
        <v>9.5469833605944157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6.3550942286383367E-14</v>
      </c>
      <c r="CV151" s="14">
        <f t="shared" si="149"/>
        <v>1.0064464192543978E-12</v>
      </c>
      <c r="CW151" s="22">
        <f t="shared" si="121"/>
        <v>1.8635787380168604E-12</v>
      </c>
      <c r="CX151" s="62">
        <f t="shared" si="122"/>
        <v>293.33333333333519</v>
      </c>
      <c r="CY151" s="62">
        <f ca="1">AVERAGE(OFFSET($CX$3,0,0,'Données projet'!$E$13+1,1))-AVERAGE(OFFSET($H$3,0,0,'Données projet'!$E$13+1,1))</f>
        <v>321.56347025977988</v>
      </c>
      <c r="CZ151" s="62">
        <f t="shared" si="150"/>
        <v>285.79375360040717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1.9193752320916377</v>
      </c>
      <c r="DG151" s="23">
        <f>EXP(-LN(2)/25)*DG150+(1-EXP(-LN(2)/25))/(LN(2)/25)*Calculateur!DB151*Calculateur!DD151*VLOOKUP('Données projet'!$B$13,Paramètres!$A$1:$I$89,3,0)*0.475*44/12</f>
        <v>0.4298800087983613</v>
      </c>
      <c r="DH151" s="23">
        <f>EXP(-LN(2)/2)*DH150+(1-EXP(-LN(2)/2))/(LN(2)/2)*DB151*DE151*VLOOKUP('Données projet'!$B$13,Paramètres!$A$1:$I$89,3,0)*0.475*44/12</f>
        <v>1.2388164396493594E-17</v>
      </c>
      <c r="DI151" s="24">
        <f t="shared" si="123"/>
        <v>2.3492552408899989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287.69656598881124</v>
      </c>
      <c r="DU151" s="62">
        <f t="shared" si="152"/>
        <v>221.9773436301067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4.4638546513665497E-17</v>
      </c>
      <c r="ED151" s="24">
        <f t="shared" si="126"/>
        <v>4.4638546513665497E-17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344.36303707479811</v>
      </c>
      <c r="T152" s="62">
        <f t="shared" si="142"/>
        <v>207.92972431357452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553.99999999999966</v>
      </c>
      <c r="AJ152" s="14">
        <f>AI152*VLOOKUP('Données projet'!$B$10,Paramètres!$A$1:$I$89,3,0)*VLOOKUP('Données projet'!$B$10,Paramètres!$A$1:$I$89,5,0)</f>
        <v>259.27199999999988</v>
      </c>
      <c r="AK152" s="14">
        <f t="shared" si="143"/>
        <v>62.567172460757938</v>
      </c>
      <c r="AL152" s="22">
        <f t="shared" si="112"/>
        <v>560.53655870248656</v>
      </c>
      <c r="AM152" s="62">
        <f t="shared" si="113"/>
        <v>853.86989203581993</v>
      </c>
      <c r="AN152" s="62">
        <f ca="1">AVERAGE(OFFSET($AM$3,0,0,'Données projet'!$E$10+1,1))-AVERAGE(OFFSET($H$3,0,0,'Données projet'!$E$10+1,1))</f>
        <v>273.94989417245978</v>
      </c>
      <c r="AO152" s="62">
        <f t="shared" si="144"/>
        <v>244.91615281423549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247.81726778334098</v>
      </c>
      <c r="BJ152" s="62">
        <f t="shared" si="146"/>
        <v>278.55937893537259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2.377859115849153E-17</v>
      </c>
      <c r="BS152" s="24">
        <f t="shared" si="117"/>
        <v>2.377859115849153E-17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156.11420010556668</v>
      </c>
      <c r="CE152" s="62">
        <f t="shared" si="148"/>
        <v>318.01952986326501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9.359772839978028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3.2626637084670358E-16</v>
      </c>
      <c r="CN152" s="24">
        <f t="shared" si="120"/>
        <v>9.359772839978028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6.3550942286383367E-14</v>
      </c>
      <c r="CV152" s="14">
        <f t="shared" si="149"/>
        <v>1.0064464192543978E-12</v>
      </c>
      <c r="CW152" s="22">
        <f t="shared" si="121"/>
        <v>1.8635787380168604E-12</v>
      </c>
      <c r="CX152" s="62">
        <f t="shared" si="122"/>
        <v>293.33333333333519</v>
      </c>
      <c r="CY152" s="62">
        <f ca="1">AVERAGE(OFFSET($CX$3,0,0,'Données projet'!$E$13+1,1))-AVERAGE(OFFSET($H$3,0,0,'Données projet'!$E$13+1,1))</f>
        <v>321.56347025977988</v>
      </c>
      <c r="CZ152" s="62">
        <f t="shared" si="150"/>
        <v>285.79375360040717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1.881737454493615</v>
      </c>
      <c r="DG152" s="23">
        <f>EXP(-LN(2)/25)*DG151+(1-EXP(-LN(2)/25))/(LN(2)/25)*Calculateur!DB152*Calculateur!DD152*VLOOKUP('Données projet'!$B$13,Paramètres!$A$1:$I$89,3,0)*0.475*44/12</f>
        <v>0.41812491735136298</v>
      </c>
      <c r="DH152" s="23">
        <f>EXP(-LN(2)/2)*DH151+(1-EXP(-LN(2)/2))/(LN(2)/2)*DB152*DE152*VLOOKUP('Données projet'!$B$13,Paramètres!$A$1:$I$89,3,0)*0.475*44/12</f>
        <v>8.7597550512143743E-18</v>
      </c>
      <c r="DI152" s="24">
        <f t="shared" si="123"/>
        <v>2.299862371844978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287.69656598881124</v>
      </c>
      <c r="DU152" s="62">
        <f t="shared" si="152"/>
        <v>221.9773436301067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3.1564218942123992E-17</v>
      </c>
      <c r="ED152" s="24">
        <f t="shared" si="126"/>
        <v>3.1564218942123992E-17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344.36303707479811</v>
      </c>
      <c r="T153" s="62">
        <f t="shared" si="142"/>
        <v>207.92972431357452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553.99999999999966</v>
      </c>
      <c r="AJ153" s="14">
        <f>AI153*VLOOKUP('Données projet'!$B$10,Paramètres!$A$1:$I$89,3,0)*VLOOKUP('Données projet'!$B$10,Paramètres!$A$1:$I$89,5,0)</f>
        <v>259.27199999999988</v>
      </c>
      <c r="AK153" s="14">
        <f t="shared" si="143"/>
        <v>62.567172460757938</v>
      </c>
      <c r="AL153" s="22">
        <f t="shared" si="112"/>
        <v>560.53655870248656</v>
      </c>
      <c r="AM153" s="62">
        <f t="shared" si="113"/>
        <v>853.86989203581993</v>
      </c>
      <c r="AN153" s="62">
        <f ca="1">AVERAGE(OFFSET($AM$3,0,0,'Données projet'!$E$10+1,1))-AVERAGE(OFFSET($H$3,0,0,'Données projet'!$E$10+1,1))</f>
        <v>273.94989417245978</v>
      </c>
      <c r="AO153" s="62">
        <f t="shared" si="144"/>
        <v>244.91615281423549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247.81726778334098</v>
      </c>
      <c r="BJ153" s="62">
        <f t="shared" si="146"/>
        <v>278.55937893537259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1.6814003055231844E-17</v>
      </c>
      <c r="BS153" s="24">
        <f t="shared" si="117"/>
        <v>1.6814003055231844E-17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156.11420010556668</v>
      </c>
      <c r="CE153" s="62">
        <f t="shared" si="148"/>
        <v>318.01952986326501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9.1762334034837849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2.3070516329882899E-16</v>
      </c>
      <c r="CN153" s="24">
        <f t="shared" si="120"/>
        <v>9.1762334034837849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6.3550942286383367E-14</v>
      </c>
      <c r="CV153" s="14">
        <f t="shared" si="149"/>
        <v>1.0064464192543978E-12</v>
      </c>
      <c r="CW153" s="22">
        <f t="shared" si="121"/>
        <v>1.8635787380168604E-12</v>
      </c>
      <c r="CX153" s="62">
        <f t="shared" si="122"/>
        <v>293.33333333333519</v>
      </c>
      <c r="CY153" s="62">
        <f ca="1">AVERAGE(OFFSET($CX$3,0,0,'Données projet'!$E$13+1,1))-AVERAGE(OFFSET($H$3,0,0,'Données projet'!$E$13+1,1))</f>
        <v>321.56347025977988</v>
      </c>
      <c r="CZ153" s="62">
        <f t="shared" si="150"/>
        <v>285.79375360040717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1.8448377307575119</v>
      </c>
      <c r="DG153" s="23">
        <f>EXP(-LN(2)/25)*DG152+(1-EXP(-LN(2)/25))/(LN(2)/25)*Calculateur!DB153*Calculateur!DD153*VLOOKUP('Données projet'!$B$13,Paramètres!$A$1:$I$89,3,0)*0.475*44/12</f>
        <v>0.4066912694981562</v>
      </c>
      <c r="DH153" s="23">
        <f>EXP(-LN(2)/2)*DH152+(1-EXP(-LN(2)/2))/(LN(2)/2)*DB153*DE153*VLOOKUP('Données projet'!$B$13,Paramètres!$A$1:$I$89,3,0)*0.475*44/12</f>
        <v>6.1940821982467971E-18</v>
      </c>
      <c r="DI153" s="24">
        <f t="shared" si="123"/>
        <v>2.251529000255668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287.69656598881124</v>
      </c>
      <c r="DU153" s="62">
        <f t="shared" si="152"/>
        <v>221.9773436301067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2.2319273256832749E-17</v>
      </c>
      <c r="ED153" s="24">
        <f t="shared" si="126"/>
        <v>2.2319273256832749E-17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344.36303707479811</v>
      </c>
      <c r="T154" s="62">
        <f t="shared" si="142"/>
        <v>207.92972431357452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553.99999999999966</v>
      </c>
      <c r="AJ154" s="14">
        <f>AI154*VLOOKUP('Données projet'!$B$10,Paramètres!$A$1:$I$89,3,0)*VLOOKUP('Données projet'!$B$10,Paramètres!$A$1:$I$89,5,0)</f>
        <v>259.27199999999988</v>
      </c>
      <c r="AK154" s="14">
        <f t="shared" ref="AK154:AK203" si="164">EXP(-1.0587+0.8836*LN(AJ154)+0.284)</f>
        <v>62.567172460757938</v>
      </c>
      <c r="AL154" s="22">
        <f t="shared" ref="AL154:AL203" si="165">(AJ154+AK154)*0.475*44/12</f>
        <v>560.53655870248656</v>
      </c>
      <c r="AM154" s="62">
        <f t="shared" si="113"/>
        <v>853.86989203581993</v>
      </c>
      <c r="AN154" s="62">
        <f ca="1">AVERAGE(OFFSET($AM$3,0,0,'Données projet'!$E$10+1,1))-AVERAGE(OFFSET($H$3,0,0,'Données projet'!$E$10+1,1))</f>
        <v>273.94989417245978</v>
      </c>
      <c r="AO154" s="62">
        <f t="shared" si="144"/>
        <v>244.91615281423549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247.81726778334098</v>
      </c>
      <c r="BJ154" s="62">
        <f t="shared" si="146"/>
        <v>278.55937893537259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1.1889295579245765E-17</v>
      </c>
      <c r="BS154" s="24">
        <f t="shared" ref="BS154:BS203" si="169">SUM(BP154:BR154)</f>
        <v>1.1889295579245765E-17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156.11420010556668</v>
      </c>
      <c r="CE154" s="62">
        <f t="shared" si="148"/>
        <v>318.01952986326501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8.9962930633911906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1.6313318542335179E-16</v>
      </c>
      <c r="CN154" s="24">
        <f t="shared" ref="CN154:CN203" si="172">SUM(CK154:CM154)</f>
        <v>8.9962930633911906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6.3550942286383367E-14</v>
      </c>
      <c r="CV154" s="14">
        <f t="shared" ref="CV154:CV203" si="173">EXP(-1.0587+0.8836*LN(CU154)+0.284)</f>
        <v>1.0064464192543978E-12</v>
      </c>
      <c r="CW154" s="22">
        <f t="shared" ref="CW154:CW203" si="174">(CU154+CV154)*0.475*44/12</f>
        <v>1.8635787380168604E-12</v>
      </c>
      <c r="CX154" s="62">
        <f t="shared" si="122"/>
        <v>293.33333333333519</v>
      </c>
      <c r="CY154" s="62">
        <f ca="1">AVERAGE(OFFSET($CX$3,0,0,'Données projet'!$E$13+1,1))-AVERAGE(OFFSET($H$3,0,0,'Données projet'!$E$13+1,1))</f>
        <v>321.56347025977988</v>
      </c>
      <c r="CZ154" s="62">
        <f t="shared" si="150"/>
        <v>285.79375360040717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1.8086615880972647</v>
      </c>
      <c r="DG154" s="23">
        <f>EXP(-LN(2)/25)*DG153+(1-EXP(-LN(2)/25))/(LN(2)/25)*Calculateur!DB154*Calculateur!DD154*VLOOKUP('Données projet'!$B$13,Paramètres!$A$1:$I$89,3,0)*0.475*44/12</f>
        <v>0.39557027534676475</v>
      </c>
      <c r="DH154" s="23">
        <f>EXP(-LN(2)/2)*DH153+(1-EXP(-LN(2)/2))/(LN(2)/2)*DB154*DE154*VLOOKUP('Données projet'!$B$13,Paramètres!$A$1:$I$89,3,0)*0.475*44/12</f>
        <v>4.3798775256071872E-18</v>
      </c>
      <c r="DI154" s="24">
        <f t="shared" ref="DI154:DI203" si="175">SUM(DF154:DH154)</f>
        <v>2.2042318634440297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287.69656598881124</v>
      </c>
      <c r="DU154" s="62">
        <f t="shared" si="152"/>
        <v>221.9773436301067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1.5782109471061996E-17</v>
      </c>
      <c r="ED154" s="24">
        <f t="shared" ref="ED154:ED203" si="178">SUM(EA154:EC154)</f>
        <v>1.5782109471061996E-17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344.36303707479811</v>
      </c>
      <c r="T155" s="62">
        <f t="shared" si="142"/>
        <v>207.92972431357452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553.99999999999966</v>
      </c>
      <c r="AJ155" s="14">
        <f>AI155*VLOOKUP('Données projet'!$B$10,Paramètres!$A$1:$I$89,3,0)*VLOOKUP('Données projet'!$B$10,Paramètres!$A$1:$I$89,5,0)</f>
        <v>259.27199999999988</v>
      </c>
      <c r="AK155" s="14">
        <f t="shared" si="164"/>
        <v>62.567172460757938</v>
      </c>
      <c r="AL155" s="22">
        <f t="shared" si="165"/>
        <v>560.53655870248656</v>
      </c>
      <c r="AM155" s="62">
        <f t="shared" si="113"/>
        <v>853.86989203581993</v>
      </c>
      <c r="AN155" s="62">
        <f ca="1">AVERAGE(OFFSET($AM$3,0,0,'Données projet'!$E$10+1,1))-AVERAGE(OFFSET($H$3,0,0,'Données projet'!$E$10+1,1))</f>
        <v>273.94989417245978</v>
      </c>
      <c r="AO155" s="62">
        <f t="shared" si="144"/>
        <v>244.91615281423549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247.81726778334098</v>
      </c>
      <c r="BJ155" s="62">
        <f t="shared" si="146"/>
        <v>278.55937893537259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8.4070015276159219E-18</v>
      </c>
      <c r="BS155" s="24">
        <f t="shared" si="169"/>
        <v>8.4070015276159219E-18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156.11420010556668</v>
      </c>
      <c r="CE155" s="62">
        <f t="shared" si="148"/>
        <v>318.01952986326501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8.8198812436150416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1.153525816494145E-16</v>
      </c>
      <c r="CN155" s="24">
        <f t="shared" si="172"/>
        <v>8.8198812436150416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6.3550942286383367E-14</v>
      </c>
      <c r="CV155" s="14">
        <f t="shared" si="173"/>
        <v>1.0064464192543978E-12</v>
      </c>
      <c r="CW155" s="22">
        <f t="shared" si="174"/>
        <v>1.8635787380168604E-12</v>
      </c>
      <c r="CX155" s="62">
        <f t="shared" si="122"/>
        <v>293.33333333333519</v>
      </c>
      <c r="CY155" s="62">
        <f ca="1">AVERAGE(OFFSET($CX$3,0,0,'Données projet'!$E$13+1,1))-AVERAGE(OFFSET($H$3,0,0,'Données projet'!$E$13+1,1))</f>
        <v>321.56347025977988</v>
      </c>
      <c r="CZ155" s="62">
        <f t="shared" si="150"/>
        <v>285.79375360040717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1.7731948375293167</v>
      </c>
      <c r="DG155" s="23">
        <f>EXP(-LN(2)/25)*DG154+(1-EXP(-LN(2)/25))/(LN(2)/25)*Calculateur!DB155*Calculateur!DD155*VLOOKUP('Données projet'!$B$13,Paramètres!$A$1:$I$89,3,0)*0.475*44/12</f>
        <v>0.38475338536527076</v>
      </c>
      <c r="DH155" s="23">
        <f>EXP(-LN(2)/2)*DH154+(1-EXP(-LN(2)/2))/(LN(2)/2)*DB155*DE155*VLOOKUP('Données projet'!$B$13,Paramètres!$A$1:$I$89,3,0)*0.475*44/12</f>
        <v>3.0970410991233986E-18</v>
      </c>
      <c r="DI155" s="24">
        <f t="shared" si="175"/>
        <v>2.1579482228945874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287.69656598881124</v>
      </c>
      <c r="DU155" s="62">
        <f t="shared" si="152"/>
        <v>221.9773436301067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1.1159636628416374E-17</v>
      </c>
      <c r="ED155" s="24">
        <f t="shared" si="178"/>
        <v>1.1159636628416374E-17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344.36303707479811</v>
      </c>
      <c r="T156" s="62">
        <f t="shared" si="142"/>
        <v>207.92972431357452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553.99999999999966</v>
      </c>
      <c r="AJ156" s="14">
        <f>AI156*VLOOKUP('Données projet'!$B$10,Paramètres!$A$1:$I$89,3,0)*VLOOKUP('Données projet'!$B$10,Paramètres!$A$1:$I$89,5,0)</f>
        <v>259.27199999999988</v>
      </c>
      <c r="AK156" s="14">
        <f t="shared" si="164"/>
        <v>62.567172460757938</v>
      </c>
      <c r="AL156" s="22">
        <f t="shared" si="165"/>
        <v>560.53655870248656</v>
      </c>
      <c r="AM156" s="62">
        <f t="shared" si="113"/>
        <v>853.86989203581993</v>
      </c>
      <c r="AN156" s="62">
        <f ca="1">AVERAGE(OFFSET($AM$3,0,0,'Données projet'!$E$10+1,1))-AVERAGE(OFFSET($H$3,0,0,'Données projet'!$E$10+1,1))</f>
        <v>273.94989417245978</v>
      </c>
      <c r="AO156" s="62">
        <f t="shared" si="144"/>
        <v>244.91615281423549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247.81726778334098</v>
      </c>
      <c r="BJ156" s="62">
        <f t="shared" si="146"/>
        <v>278.55937893537259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5.9446477896228826E-18</v>
      </c>
      <c r="BS156" s="24">
        <f t="shared" si="169"/>
        <v>5.9446477896228826E-18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156.11420010556668</v>
      </c>
      <c r="CE156" s="62">
        <f t="shared" si="148"/>
        <v>318.01952986326501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8.6469287520241185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8.1566592711675894E-17</v>
      </c>
      <c r="CN156" s="24">
        <f t="shared" si="172"/>
        <v>8.6469287520241185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6.3550942286383367E-14</v>
      </c>
      <c r="CV156" s="14">
        <f t="shared" si="173"/>
        <v>1.0064464192543978E-12</v>
      </c>
      <c r="CW156" s="22">
        <f t="shared" si="174"/>
        <v>1.8635787380168604E-12</v>
      </c>
      <c r="CX156" s="62">
        <f t="shared" si="122"/>
        <v>293.33333333333519</v>
      </c>
      <c r="CY156" s="62">
        <f ca="1">AVERAGE(OFFSET($CX$3,0,0,'Données projet'!$E$13+1,1))-AVERAGE(OFFSET($H$3,0,0,'Données projet'!$E$13+1,1))</f>
        <v>321.56347025977988</v>
      </c>
      <c r="CZ156" s="62">
        <f t="shared" si="150"/>
        <v>285.79375360040717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1.7384235683074243</v>
      </c>
      <c r="DG156" s="23">
        <f>EXP(-LN(2)/25)*DG155+(1-EXP(-LN(2)/25))/(LN(2)/25)*Calculateur!DB156*Calculateur!DD156*VLOOKUP('Données projet'!$B$13,Paramètres!$A$1:$I$89,3,0)*0.475*44/12</f>
        <v>0.37423228380915624</v>
      </c>
      <c r="DH156" s="23">
        <f>EXP(-LN(2)/2)*DH155+(1-EXP(-LN(2)/2))/(LN(2)/2)*DB156*DE156*VLOOKUP('Données projet'!$B$13,Paramètres!$A$1:$I$89,3,0)*0.475*44/12</f>
        <v>2.1899387628035936E-18</v>
      </c>
      <c r="DI156" s="24">
        <f t="shared" si="175"/>
        <v>2.1126558521165806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287.69656598881124</v>
      </c>
      <c r="DU156" s="62">
        <f t="shared" si="152"/>
        <v>221.9773436301067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7.891054735530998E-18</v>
      </c>
      <c r="ED156" s="24">
        <f t="shared" si="178"/>
        <v>7.891054735530998E-18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344.36303707479811</v>
      </c>
      <c r="T157" s="62">
        <f t="shared" si="142"/>
        <v>207.92972431357452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553.99999999999966</v>
      </c>
      <c r="AJ157" s="14">
        <f>AI157*VLOOKUP('Données projet'!$B$10,Paramètres!$A$1:$I$89,3,0)*VLOOKUP('Données projet'!$B$10,Paramètres!$A$1:$I$89,5,0)</f>
        <v>259.27199999999988</v>
      </c>
      <c r="AK157" s="14">
        <f t="shared" si="164"/>
        <v>62.567172460757938</v>
      </c>
      <c r="AL157" s="22">
        <f t="shared" si="165"/>
        <v>560.53655870248656</v>
      </c>
      <c r="AM157" s="62">
        <f t="shared" si="113"/>
        <v>853.86989203581993</v>
      </c>
      <c r="AN157" s="62">
        <f ca="1">AVERAGE(OFFSET($AM$3,0,0,'Données projet'!$E$10+1,1))-AVERAGE(OFFSET($H$3,0,0,'Données projet'!$E$10+1,1))</f>
        <v>273.94989417245978</v>
      </c>
      <c r="AO157" s="62">
        <f t="shared" si="144"/>
        <v>244.91615281423549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247.81726778334098</v>
      </c>
      <c r="BJ157" s="62">
        <f t="shared" si="146"/>
        <v>278.55937893537259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4.2035007638079609E-18</v>
      </c>
      <c r="BS157" s="24">
        <f t="shared" si="169"/>
        <v>4.2035007638079609E-18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156.11420010556668</v>
      </c>
      <c r="CE157" s="62">
        <f t="shared" si="148"/>
        <v>318.01952986326501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8.4773677533026888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5.7676290824707248E-17</v>
      </c>
      <c r="CN157" s="24">
        <f t="shared" si="172"/>
        <v>8.4773677533026888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6.3550942286383367E-14</v>
      </c>
      <c r="CV157" s="14">
        <f t="shared" si="173"/>
        <v>1.0064464192543978E-12</v>
      </c>
      <c r="CW157" s="22">
        <f t="shared" si="174"/>
        <v>1.8635787380168604E-12</v>
      </c>
      <c r="CX157" s="62">
        <f t="shared" si="122"/>
        <v>293.33333333333519</v>
      </c>
      <c r="CY157" s="62">
        <f ca="1">AVERAGE(OFFSET($CX$3,0,0,'Données projet'!$E$13+1,1))-AVERAGE(OFFSET($H$3,0,0,'Données projet'!$E$13+1,1))</f>
        <v>321.56347025977988</v>
      </c>
      <c r="CZ157" s="62">
        <f t="shared" si="150"/>
        <v>285.79375360040717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1.7043341424665932</v>
      </c>
      <c r="DG157" s="23">
        <f>EXP(-LN(2)/25)*DG156+(1-EXP(-LN(2)/25))/(LN(2)/25)*Calculateur!DB157*Calculateur!DD157*VLOOKUP('Données projet'!$B$13,Paramètres!$A$1:$I$89,3,0)*0.475*44/12</f>
        <v>0.36399888232837435</v>
      </c>
      <c r="DH157" s="23">
        <f>EXP(-LN(2)/2)*DH156+(1-EXP(-LN(2)/2))/(LN(2)/2)*DB157*DE157*VLOOKUP('Données projet'!$B$13,Paramètres!$A$1:$I$89,3,0)*0.475*44/12</f>
        <v>1.5485205495616993E-18</v>
      </c>
      <c r="DI157" s="24">
        <f t="shared" si="175"/>
        <v>2.0683330247949674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287.69656598881124</v>
      </c>
      <c r="DU157" s="62">
        <f t="shared" si="152"/>
        <v>221.9773436301067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5.5798183142081872E-18</v>
      </c>
      <c r="ED157" s="24">
        <f t="shared" si="178"/>
        <v>5.5798183142081872E-18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344.36303707479811</v>
      </c>
      <c r="T158" s="62">
        <f t="shared" si="142"/>
        <v>207.92972431357452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553.99999999999966</v>
      </c>
      <c r="AJ158" s="14">
        <f>AI158*VLOOKUP('Données projet'!$B$10,Paramètres!$A$1:$I$89,3,0)*VLOOKUP('Données projet'!$B$10,Paramètres!$A$1:$I$89,5,0)</f>
        <v>259.27199999999988</v>
      </c>
      <c r="AK158" s="14">
        <f t="shared" si="164"/>
        <v>62.567172460757938</v>
      </c>
      <c r="AL158" s="22">
        <f t="shared" si="165"/>
        <v>560.53655870248656</v>
      </c>
      <c r="AM158" s="62">
        <f t="shared" si="113"/>
        <v>853.86989203581993</v>
      </c>
      <c r="AN158" s="62">
        <f ca="1">AVERAGE(OFFSET($AM$3,0,0,'Données projet'!$E$10+1,1))-AVERAGE(OFFSET($H$3,0,0,'Données projet'!$E$10+1,1))</f>
        <v>273.94989417245978</v>
      </c>
      <c r="AO158" s="62">
        <f t="shared" si="144"/>
        <v>244.91615281423549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247.81726778334098</v>
      </c>
      <c r="BJ158" s="62">
        <f t="shared" si="146"/>
        <v>278.55937893537259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2.9723238948114413E-18</v>
      </c>
      <c r="BS158" s="24">
        <f t="shared" si="169"/>
        <v>2.9723238948114413E-18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156.11420010556668</v>
      </c>
      <c r="CE158" s="62">
        <f t="shared" si="148"/>
        <v>318.01952986326501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8.3111317423441893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4.0783296355837947E-17</v>
      </c>
      <c r="CN158" s="24">
        <f t="shared" si="172"/>
        <v>8.3111317423441893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6.3550942286383367E-14</v>
      </c>
      <c r="CV158" s="14">
        <f t="shared" si="173"/>
        <v>1.0064464192543978E-12</v>
      </c>
      <c r="CW158" s="22">
        <f t="shared" si="174"/>
        <v>1.8635787380168604E-12</v>
      </c>
      <c r="CX158" s="62">
        <f t="shared" si="122"/>
        <v>293.33333333333519</v>
      </c>
      <c r="CY158" s="62">
        <f ca="1">AVERAGE(OFFSET($CX$3,0,0,'Données projet'!$E$13+1,1))-AVERAGE(OFFSET($H$3,0,0,'Données projet'!$E$13+1,1))</f>
        <v>321.56347025977988</v>
      </c>
      <c r="CZ158" s="62">
        <f t="shared" si="150"/>
        <v>285.79375360040717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1.6709131894740041</v>
      </c>
      <c r="DG158" s="23">
        <f>EXP(-LN(2)/25)*DG157+(1-EXP(-LN(2)/25))/(LN(2)/25)*Calculateur!DB158*Calculateur!DD158*VLOOKUP('Données projet'!$B$13,Paramètres!$A$1:$I$89,3,0)*0.475*44/12</f>
        <v>0.35404531374923565</v>
      </c>
      <c r="DH158" s="23">
        <f>EXP(-LN(2)/2)*DH157+(1-EXP(-LN(2)/2))/(LN(2)/2)*DB158*DE158*VLOOKUP('Données projet'!$B$13,Paramètres!$A$1:$I$89,3,0)*0.475*44/12</f>
        <v>1.0949693814017968E-18</v>
      </c>
      <c r="DI158" s="24">
        <f t="shared" si="175"/>
        <v>2.0249585032232398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287.69656598881124</v>
      </c>
      <c r="DU158" s="62">
        <f t="shared" si="152"/>
        <v>221.9773436301067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3.945527367765499E-18</v>
      </c>
      <c r="ED158" s="24">
        <f t="shared" si="178"/>
        <v>3.945527367765499E-18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344.36303707479811</v>
      </c>
      <c r="T159" s="62">
        <f t="shared" si="142"/>
        <v>207.92972431357452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553.99999999999966</v>
      </c>
      <c r="AJ159" s="14">
        <f>AI159*VLOOKUP('Données projet'!$B$10,Paramètres!$A$1:$I$89,3,0)*VLOOKUP('Données projet'!$B$10,Paramètres!$A$1:$I$89,5,0)</f>
        <v>259.27199999999988</v>
      </c>
      <c r="AK159" s="14">
        <f t="shared" si="164"/>
        <v>62.567172460757938</v>
      </c>
      <c r="AL159" s="22">
        <f t="shared" si="165"/>
        <v>560.53655870248656</v>
      </c>
      <c r="AM159" s="62">
        <f t="shared" si="113"/>
        <v>853.86989203581993</v>
      </c>
      <c r="AN159" s="62">
        <f ca="1">AVERAGE(OFFSET($AM$3,0,0,'Données projet'!$E$10+1,1))-AVERAGE(OFFSET($H$3,0,0,'Données projet'!$E$10+1,1))</f>
        <v>273.94989417245978</v>
      </c>
      <c r="AO159" s="62">
        <f t="shared" si="144"/>
        <v>244.91615281423549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247.81726778334098</v>
      </c>
      <c r="BJ159" s="62">
        <f t="shared" si="146"/>
        <v>278.55937893537259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2.1017503819039805E-18</v>
      </c>
      <c r="BS159" s="24">
        <f t="shared" si="169"/>
        <v>2.1017503819039805E-18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156.11420010556668</v>
      </c>
      <c r="CE159" s="62">
        <f t="shared" si="148"/>
        <v>318.01952986326501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8.1481555181666323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2.8838145412353624E-17</v>
      </c>
      <c r="CN159" s="24">
        <f t="shared" si="172"/>
        <v>8.1481555181666323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6.3550942286383367E-14</v>
      </c>
      <c r="CV159" s="14">
        <f t="shared" si="173"/>
        <v>1.0064464192543978E-12</v>
      </c>
      <c r="CW159" s="22">
        <f t="shared" si="174"/>
        <v>1.8635787380168604E-12</v>
      </c>
      <c r="CX159" s="62">
        <f t="shared" si="122"/>
        <v>293.33333333333519</v>
      </c>
      <c r="CY159" s="62">
        <f ca="1">AVERAGE(OFFSET($CX$3,0,0,'Données projet'!$E$13+1,1))-AVERAGE(OFFSET($H$3,0,0,'Données projet'!$E$13+1,1))</f>
        <v>321.56347025977988</v>
      </c>
      <c r="CZ159" s="62">
        <f t="shared" si="150"/>
        <v>285.79375360040717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1.6381476009848313</v>
      </c>
      <c r="DG159" s="23">
        <f>EXP(-LN(2)/25)*DG158+(1-EXP(-LN(2)/25))/(LN(2)/25)*Calculateur!DB159*Calculateur!DD159*VLOOKUP('Données projet'!$B$13,Paramètres!$A$1:$I$89,3,0)*0.475*44/12</f>
        <v>0.34436392602632893</v>
      </c>
      <c r="DH159" s="23">
        <f>EXP(-LN(2)/2)*DH158+(1-EXP(-LN(2)/2))/(LN(2)/2)*DB159*DE159*VLOOKUP('Données projet'!$B$13,Paramètres!$A$1:$I$89,3,0)*0.475*44/12</f>
        <v>7.7426027478084964E-19</v>
      </c>
      <c r="DI159" s="24">
        <f t="shared" si="175"/>
        <v>1.9825115270111602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287.69656598881124</v>
      </c>
      <c r="DU159" s="62">
        <f t="shared" si="152"/>
        <v>221.9773436301067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2.7899091571040936E-18</v>
      </c>
      <c r="ED159" s="24">
        <f t="shared" si="178"/>
        <v>2.7899091571040936E-18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344.36303707479811</v>
      </c>
      <c r="T160" s="62">
        <f t="shared" si="142"/>
        <v>207.92972431357452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553.99999999999966</v>
      </c>
      <c r="AJ160" s="14">
        <f>AI160*VLOOKUP('Données projet'!$B$10,Paramètres!$A$1:$I$89,3,0)*VLOOKUP('Données projet'!$B$10,Paramètres!$A$1:$I$89,5,0)</f>
        <v>259.27199999999988</v>
      </c>
      <c r="AK160" s="14">
        <f t="shared" si="164"/>
        <v>62.567172460757938</v>
      </c>
      <c r="AL160" s="22">
        <f t="shared" si="165"/>
        <v>560.53655870248656</v>
      </c>
      <c r="AM160" s="62">
        <f t="shared" si="113"/>
        <v>853.86989203581993</v>
      </c>
      <c r="AN160" s="62">
        <f ca="1">AVERAGE(OFFSET($AM$3,0,0,'Données projet'!$E$10+1,1))-AVERAGE(OFFSET($H$3,0,0,'Données projet'!$E$10+1,1))</f>
        <v>273.94989417245978</v>
      </c>
      <c r="AO160" s="62">
        <f t="shared" si="144"/>
        <v>244.91615281423549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247.81726778334098</v>
      </c>
      <c r="BJ160" s="62">
        <f t="shared" si="146"/>
        <v>278.55937893537259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1.4861619474057206E-18</v>
      </c>
      <c r="BS160" s="24">
        <f t="shared" si="169"/>
        <v>1.4861619474057206E-18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156.11420010556668</v>
      </c>
      <c r="CE160" s="62">
        <f t="shared" si="148"/>
        <v>318.01952986326501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7.9883751583395153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2.0391648177918974E-17</v>
      </c>
      <c r="CN160" s="24">
        <f t="shared" si="172"/>
        <v>7.9883751583395153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6.3550942286383367E-14</v>
      </c>
      <c r="CV160" s="14">
        <f t="shared" si="173"/>
        <v>1.0064464192543978E-12</v>
      </c>
      <c r="CW160" s="22">
        <f t="shared" si="174"/>
        <v>1.8635787380168604E-12</v>
      </c>
      <c r="CX160" s="62">
        <f t="shared" si="122"/>
        <v>293.33333333333519</v>
      </c>
      <c r="CY160" s="62">
        <f ca="1">AVERAGE(OFFSET($CX$3,0,0,'Données projet'!$E$13+1,1))-AVERAGE(OFFSET($H$3,0,0,'Données projet'!$E$13+1,1))</f>
        <v>321.56347025977988</v>
      </c>
      <c r="CZ160" s="62">
        <f t="shared" si="150"/>
        <v>285.79375360040717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1.6060245257008954</v>
      </c>
      <c r="DG160" s="23">
        <f>EXP(-LN(2)/25)*DG159+(1-EXP(-LN(2)/25))/(LN(2)/25)*Calculateur!DB160*Calculateur!DD160*VLOOKUP('Données projet'!$B$13,Paramètres!$A$1:$I$89,3,0)*0.475*44/12</f>
        <v>0.33494727635982713</v>
      </c>
      <c r="DH160" s="23">
        <f>EXP(-LN(2)/2)*DH159+(1-EXP(-LN(2)/2))/(LN(2)/2)*DB160*DE160*VLOOKUP('Données projet'!$B$13,Paramètres!$A$1:$I$89,3,0)*0.475*44/12</f>
        <v>5.474846907008984E-19</v>
      </c>
      <c r="DI160" s="24">
        <f t="shared" si="175"/>
        <v>1.9409718020607225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287.69656598881124</v>
      </c>
      <c r="DU160" s="62">
        <f t="shared" si="152"/>
        <v>221.9773436301067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1.9727636838827495E-18</v>
      </c>
      <c r="ED160" s="24">
        <f t="shared" si="178"/>
        <v>1.9727636838827495E-18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344.36303707479811</v>
      </c>
      <c r="T161" s="62">
        <f t="shared" si="142"/>
        <v>207.92972431357452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553.99999999999966</v>
      </c>
      <c r="AJ161" s="14">
        <f>AI161*VLOOKUP('Données projet'!$B$10,Paramètres!$A$1:$I$89,3,0)*VLOOKUP('Données projet'!$B$10,Paramètres!$A$1:$I$89,5,0)</f>
        <v>259.27199999999988</v>
      </c>
      <c r="AK161" s="14">
        <f t="shared" si="164"/>
        <v>62.567172460757938</v>
      </c>
      <c r="AL161" s="22">
        <f t="shared" si="165"/>
        <v>560.53655870248656</v>
      </c>
      <c r="AM161" s="62">
        <f t="shared" si="113"/>
        <v>853.86989203581993</v>
      </c>
      <c r="AN161" s="62">
        <f ca="1">AVERAGE(OFFSET($AM$3,0,0,'Données projet'!$E$10+1,1))-AVERAGE(OFFSET($H$3,0,0,'Données projet'!$E$10+1,1))</f>
        <v>273.94989417245978</v>
      </c>
      <c r="AO161" s="62">
        <f t="shared" si="144"/>
        <v>244.91615281423549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247.81726778334098</v>
      </c>
      <c r="BJ161" s="62">
        <f t="shared" si="146"/>
        <v>278.55937893537259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1.0508751909519902E-18</v>
      </c>
      <c r="BS161" s="24">
        <f t="shared" si="169"/>
        <v>1.0508751909519902E-18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156.11420010556668</v>
      </c>
      <c r="CE161" s="62">
        <f t="shared" si="148"/>
        <v>318.01952986326501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7.831727993912212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1.4419072706176812E-17</v>
      </c>
      <c r="CN161" s="24">
        <f t="shared" si="172"/>
        <v>7.831727993912212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6.3550942286383367E-14</v>
      </c>
      <c r="CV161" s="14">
        <f t="shared" si="173"/>
        <v>1.0064464192543978E-12</v>
      </c>
      <c r="CW161" s="22">
        <f t="shared" si="174"/>
        <v>1.8635787380168604E-12</v>
      </c>
      <c r="CX161" s="62">
        <f t="shared" si="122"/>
        <v>293.33333333333519</v>
      </c>
      <c r="CY161" s="62">
        <f ca="1">AVERAGE(OFFSET($CX$3,0,0,'Données projet'!$E$13+1,1))-AVERAGE(OFFSET($H$3,0,0,'Données projet'!$E$13+1,1))</f>
        <v>321.56347025977988</v>
      </c>
      <c r="CZ161" s="62">
        <f t="shared" si="150"/>
        <v>285.79375360040717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1.5745313643301362</v>
      </c>
      <c r="DG161" s="23">
        <f>EXP(-LN(2)/25)*DG160+(1-EXP(-LN(2)/25))/(LN(2)/25)*Calculateur!DB161*Calculateur!DD161*VLOOKUP('Données projet'!$B$13,Paramètres!$A$1:$I$89,3,0)*0.475*44/12</f>
        <v>0.32578812547365593</v>
      </c>
      <c r="DH161" s="23">
        <f>EXP(-LN(2)/2)*DH160+(1-EXP(-LN(2)/2))/(LN(2)/2)*DB161*DE161*VLOOKUP('Données projet'!$B$13,Paramètres!$A$1:$I$89,3,0)*0.475*44/12</f>
        <v>3.8713013739042482E-19</v>
      </c>
      <c r="DI161" s="24">
        <f t="shared" si="175"/>
        <v>1.9003194898037921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287.69656598881124</v>
      </c>
      <c r="DU161" s="62">
        <f t="shared" si="152"/>
        <v>221.9773436301067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1.3949545785520468E-18</v>
      </c>
      <c r="ED161" s="24">
        <f t="shared" si="178"/>
        <v>1.3949545785520468E-18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344.36303707479811</v>
      </c>
      <c r="T162" s="62">
        <f t="shared" si="142"/>
        <v>207.92972431357452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553.99999999999966</v>
      </c>
      <c r="AJ162" s="14">
        <f>AI162*VLOOKUP('Données projet'!$B$10,Paramètres!$A$1:$I$89,3,0)*VLOOKUP('Données projet'!$B$10,Paramètres!$A$1:$I$89,5,0)</f>
        <v>259.27199999999988</v>
      </c>
      <c r="AK162" s="14">
        <f t="shared" si="164"/>
        <v>62.567172460757938</v>
      </c>
      <c r="AL162" s="22">
        <f t="shared" si="165"/>
        <v>560.53655870248656</v>
      </c>
      <c r="AM162" s="62">
        <f t="shared" si="113"/>
        <v>853.86989203581993</v>
      </c>
      <c r="AN162" s="62">
        <f ca="1">AVERAGE(OFFSET($AM$3,0,0,'Données projet'!$E$10+1,1))-AVERAGE(OFFSET($H$3,0,0,'Données projet'!$E$10+1,1))</f>
        <v>273.94989417245978</v>
      </c>
      <c r="AO162" s="62">
        <f t="shared" si="144"/>
        <v>244.91615281423549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247.81726778334098</v>
      </c>
      <c r="BJ162" s="62">
        <f t="shared" si="146"/>
        <v>278.55937893537259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7.4308097370286032E-19</v>
      </c>
      <c r="BS162" s="24">
        <f t="shared" si="169"/>
        <v>7.4308097370286032E-19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156.11420010556668</v>
      </c>
      <c r="CE162" s="62">
        <f t="shared" si="148"/>
        <v>318.01952986326501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7.6781525848339918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1.0195824088959487E-17</v>
      </c>
      <c r="CN162" s="24">
        <f t="shared" si="172"/>
        <v>7.6781525848339918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6.3550942286383367E-14</v>
      </c>
      <c r="CV162" s="14">
        <f t="shared" si="173"/>
        <v>1.0064464192543978E-12</v>
      </c>
      <c r="CW162" s="22">
        <f t="shared" si="174"/>
        <v>1.8635787380168604E-12</v>
      </c>
      <c r="CX162" s="62">
        <f t="shared" si="122"/>
        <v>293.33333333333519</v>
      </c>
      <c r="CY162" s="62">
        <f ca="1">AVERAGE(OFFSET($CX$3,0,0,'Données projet'!$E$13+1,1))-AVERAGE(OFFSET($H$3,0,0,'Données projet'!$E$13+1,1))</f>
        <v>321.56347025977988</v>
      </c>
      <c r="CZ162" s="62">
        <f t="shared" si="150"/>
        <v>285.79375360040717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1.5436557646449258</v>
      </c>
      <c r="DG162" s="23">
        <f>EXP(-LN(2)/25)*DG161+(1-EXP(-LN(2)/25))/(LN(2)/25)*Calculateur!DB162*Calculateur!DD162*VLOOKUP('Données projet'!$B$13,Paramètres!$A$1:$I$89,3,0)*0.475*44/12</f>
        <v>0.31687943205012586</v>
      </c>
      <c r="DH162" s="23">
        <f>EXP(-LN(2)/2)*DH161+(1-EXP(-LN(2)/2))/(LN(2)/2)*DB162*DE162*VLOOKUP('Données projet'!$B$13,Paramètres!$A$1:$I$89,3,0)*0.475*44/12</f>
        <v>2.737423453504492E-19</v>
      </c>
      <c r="DI162" s="24">
        <f t="shared" si="175"/>
        <v>1.8605351966950516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287.69656598881124</v>
      </c>
      <c r="DU162" s="62">
        <f t="shared" si="152"/>
        <v>221.9773436301067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9.8638184194137475E-19</v>
      </c>
      <c r="ED162" s="24">
        <f t="shared" si="178"/>
        <v>9.8638184194137475E-19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344.36303707479811</v>
      </c>
      <c r="T163" s="62">
        <f t="shared" si="142"/>
        <v>207.92972431357452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553.99999999999966</v>
      </c>
      <c r="AJ163" s="14">
        <f>AI163*VLOOKUP('Données projet'!$B$10,Paramètres!$A$1:$I$89,3,0)*VLOOKUP('Données projet'!$B$10,Paramètres!$A$1:$I$89,5,0)</f>
        <v>259.27199999999988</v>
      </c>
      <c r="AK163" s="14">
        <f t="shared" si="164"/>
        <v>62.567172460757938</v>
      </c>
      <c r="AL163" s="22">
        <f t="shared" si="165"/>
        <v>560.53655870248656</v>
      </c>
      <c r="AM163" s="62">
        <f t="shared" si="113"/>
        <v>853.86989203581993</v>
      </c>
      <c r="AN163" s="62">
        <f ca="1">AVERAGE(OFFSET($AM$3,0,0,'Données projet'!$E$10+1,1))-AVERAGE(OFFSET($H$3,0,0,'Données projet'!$E$10+1,1))</f>
        <v>273.94989417245978</v>
      </c>
      <c r="AO163" s="62">
        <f t="shared" si="144"/>
        <v>244.91615281423549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247.81726778334098</v>
      </c>
      <c r="BJ163" s="62">
        <f t="shared" si="146"/>
        <v>278.55937893537259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5.2543759547599512E-19</v>
      </c>
      <c r="BS163" s="24">
        <f t="shared" si="169"/>
        <v>5.2543759547599512E-19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156.11420010556668</v>
      </c>
      <c r="CE163" s="62">
        <f t="shared" si="148"/>
        <v>318.01952986326501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7.5275886958560454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7.2095363530884059E-18</v>
      </c>
      <c r="CN163" s="24">
        <f t="shared" si="172"/>
        <v>7.5275886958560454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6.3550942286383367E-14</v>
      </c>
      <c r="CV163" s="14">
        <f t="shared" si="173"/>
        <v>1.0064464192543978E-12</v>
      </c>
      <c r="CW163" s="22">
        <f t="shared" si="174"/>
        <v>1.8635787380168604E-12</v>
      </c>
      <c r="CX163" s="62">
        <f t="shared" si="122"/>
        <v>293.33333333333519</v>
      </c>
      <c r="CY163" s="62">
        <f ca="1">AVERAGE(OFFSET($CX$3,0,0,'Données projet'!$E$13+1,1))-AVERAGE(OFFSET($H$3,0,0,'Données projet'!$E$13+1,1))</f>
        <v>321.56347025977988</v>
      </c>
      <c r="CZ163" s="62">
        <f t="shared" si="150"/>
        <v>285.79375360040717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1.5133856166372861</v>
      </c>
      <c r="DG163" s="23">
        <f>EXP(-LN(2)/25)*DG162+(1-EXP(-LN(2)/25))/(LN(2)/25)*Calculateur!DB163*Calculateur!DD163*VLOOKUP('Données projet'!$B$13,Paramètres!$A$1:$I$89,3,0)*0.475*44/12</f>
        <v>0.30821434731675007</v>
      </c>
      <c r="DH163" s="23">
        <f>EXP(-LN(2)/2)*DH162+(1-EXP(-LN(2)/2))/(LN(2)/2)*DB163*DE163*VLOOKUP('Données projet'!$B$13,Paramètres!$A$1:$I$89,3,0)*0.475*44/12</f>
        <v>1.9356506869521241E-19</v>
      </c>
      <c r="DI163" s="24">
        <f t="shared" si="175"/>
        <v>1.8215999639540361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287.69656598881124</v>
      </c>
      <c r="DU163" s="62">
        <f t="shared" si="152"/>
        <v>221.9773436301067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6.974772892760234E-19</v>
      </c>
      <c r="ED163" s="24">
        <f t="shared" si="178"/>
        <v>6.974772892760234E-19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344.36303707479811</v>
      </c>
      <c r="T164" s="62">
        <f t="shared" si="142"/>
        <v>207.92972431357452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553.99999999999966</v>
      </c>
      <c r="AJ164" s="14">
        <f>AI164*VLOOKUP('Données projet'!$B$10,Paramètres!$A$1:$I$89,3,0)*VLOOKUP('Données projet'!$B$10,Paramètres!$A$1:$I$89,5,0)</f>
        <v>259.27199999999988</v>
      </c>
      <c r="AK164" s="14">
        <f t="shared" si="164"/>
        <v>62.567172460757938</v>
      </c>
      <c r="AL164" s="22">
        <f t="shared" si="165"/>
        <v>560.53655870248656</v>
      </c>
      <c r="AM164" s="62">
        <f t="shared" si="113"/>
        <v>853.86989203581993</v>
      </c>
      <c r="AN164" s="62">
        <f ca="1">AVERAGE(OFFSET($AM$3,0,0,'Données projet'!$E$10+1,1))-AVERAGE(OFFSET($H$3,0,0,'Données projet'!$E$10+1,1))</f>
        <v>273.94989417245978</v>
      </c>
      <c r="AO164" s="62">
        <f t="shared" si="144"/>
        <v>244.91615281423549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247.81726778334098</v>
      </c>
      <c r="BJ164" s="62">
        <f t="shared" si="146"/>
        <v>278.55937893537259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3.7154048685143016E-19</v>
      </c>
      <c r="BS164" s="24">
        <f t="shared" si="169"/>
        <v>3.7154048685143016E-19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156.11420010556668</v>
      </c>
      <c r="CE164" s="62">
        <f t="shared" si="148"/>
        <v>318.01952986326501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7.3799772729060518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5.0979120444797434E-18</v>
      </c>
      <c r="CN164" s="24">
        <f t="shared" si="172"/>
        <v>7.3799772729060518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6.3550942286383367E-14</v>
      </c>
      <c r="CV164" s="14">
        <f t="shared" si="173"/>
        <v>1.0064464192543978E-12</v>
      </c>
      <c r="CW164" s="22">
        <f t="shared" si="174"/>
        <v>1.8635787380168604E-12</v>
      </c>
      <c r="CX164" s="62">
        <f t="shared" si="122"/>
        <v>293.33333333333519</v>
      </c>
      <c r="CY164" s="62">
        <f ca="1">AVERAGE(OFFSET($CX$3,0,0,'Données projet'!$E$13+1,1))-AVERAGE(OFFSET($H$3,0,0,'Données projet'!$E$13+1,1))</f>
        <v>321.56347025977988</v>
      </c>
      <c r="CZ164" s="62">
        <f t="shared" si="150"/>
        <v>285.79375360040717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1.4837090477691091</v>
      </c>
      <c r="DG164" s="23">
        <f>EXP(-LN(2)/25)*DG163+(1-EXP(-LN(2)/25))/(LN(2)/25)*Calculateur!DB164*Calculateur!DD164*VLOOKUP('Données projet'!$B$13,Paramètres!$A$1:$I$89,3,0)*0.475*44/12</f>
        <v>0.29978620978108544</v>
      </c>
      <c r="DH164" s="23">
        <f>EXP(-LN(2)/2)*DH163+(1-EXP(-LN(2)/2))/(LN(2)/2)*DB164*DE164*VLOOKUP('Données projet'!$B$13,Paramètres!$A$1:$I$89,3,0)*0.475*44/12</f>
        <v>1.368711726752246E-19</v>
      </c>
      <c r="DI164" s="24">
        <f t="shared" si="175"/>
        <v>1.7834952575501946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287.69656598881124</v>
      </c>
      <c r="DU164" s="62">
        <f t="shared" si="152"/>
        <v>221.9773436301067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4.9319092097068738E-19</v>
      </c>
      <c r="ED164" s="24">
        <f t="shared" si="178"/>
        <v>4.9319092097068738E-19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344.36303707479811</v>
      </c>
      <c r="T165" s="62">
        <f t="shared" si="142"/>
        <v>207.92972431357452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553.99999999999966</v>
      </c>
      <c r="AJ165" s="14">
        <f>AI165*VLOOKUP('Données projet'!$B$10,Paramètres!$A$1:$I$89,3,0)*VLOOKUP('Données projet'!$B$10,Paramètres!$A$1:$I$89,5,0)</f>
        <v>259.27199999999988</v>
      </c>
      <c r="AK165" s="14">
        <f t="shared" si="164"/>
        <v>62.567172460757938</v>
      </c>
      <c r="AL165" s="22">
        <f t="shared" si="165"/>
        <v>560.53655870248656</v>
      </c>
      <c r="AM165" s="62">
        <f t="shared" si="113"/>
        <v>853.86989203581993</v>
      </c>
      <c r="AN165" s="62">
        <f ca="1">AVERAGE(OFFSET($AM$3,0,0,'Données projet'!$E$10+1,1))-AVERAGE(OFFSET($H$3,0,0,'Données projet'!$E$10+1,1))</f>
        <v>273.94989417245978</v>
      </c>
      <c r="AO165" s="62">
        <f t="shared" si="144"/>
        <v>244.91615281423549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247.81726778334098</v>
      </c>
      <c r="BJ165" s="62">
        <f t="shared" si="146"/>
        <v>278.55937893537259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2.6271879773799756E-19</v>
      </c>
      <c r="BS165" s="24">
        <f t="shared" si="169"/>
        <v>2.6271879773799756E-19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156.11420010556668</v>
      </c>
      <c r="CE165" s="62">
        <f t="shared" si="148"/>
        <v>318.01952986326501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7.2352604199260302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3.604768176544203E-18</v>
      </c>
      <c r="CN165" s="24">
        <f t="shared" si="172"/>
        <v>7.2352604199260302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6.3550942286383367E-14</v>
      </c>
      <c r="CV165" s="14">
        <f t="shared" si="173"/>
        <v>1.0064464192543978E-12</v>
      </c>
      <c r="CW165" s="22">
        <f t="shared" si="174"/>
        <v>1.8635787380168604E-12</v>
      </c>
      <c r="CX165" s="62">
        <f t="shared" si="122"/>
        <v>293.33333333333519</v>
      </c>
      <c r="CY165" s="62">
        <f ca="1">AVERAGE(OFFSET($CX$3,0,0,'Données projet'!$E$13+1,1))-AVERAGE(OFFSET($H$3,0,0,'Données projet'!$E$13+1,1))</f>
        <v>321.56347025977988</v>
      </c>
      <c r="CZ165" s="62">
        <f t="shared" si="150"/>
        <v>285.79375360040717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1.4546144183155172</v>
      </c>
      <c r="DG165" s="23">
        <f>EXP(-LN(2)/25)*DG164+(1-EXP(-LN(2)/25))/(LN(2)/25)*Calculateur!DB165*Calculateur!DD165*VLOOKUP('Données projet'!$B$13,Paramètres!$A$1:$I$89,3,0)*0.475*44/12</f>
        <v>0.29158854010955004</v>
      </c>
      <c r="DH165" s="23">
        <f>EXP(-LN(2)/2)*DH164+(1-EXP(-LN(2)/2))/(LN(2)/2)*DB165*DE165*VLOOKUP('Données projet'!$B$13,Paramètres!$A$1:$I$89,3,0)*0.475*44/12</f>
        <v>9.6782534347606205E-20</v>
      </c>
      <c r="DI165" s="24">
        <f t="shared" si="175"/>
        <v>1.7462029584250671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287.69656598881124</v>
      </c>
      <c r="DU165" s="62">
        <f t="shared" si="152"/>
        <v>221.9773436301067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3.487386446380117E-19</v>
      </c>
      <c r="ED165" s="24">
        <f t="shared" si="178"/>
        <v>3.487386446380117E-19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344.36303707479811</v>
      </c>
      <c r="T166" s="62">
        <f t="shared" si="142"/>
        <v>207.92972431357452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553.99999999999966</v>
      </c>
      <c r="AJ166" s="14">
        <f>AI166*VLOOKUP('Données projet'!$B$10,Paramètres!$A$1:$I$89,3,0)*VLOOKUP('Données projet'!$B$10,Paramètres!$A$1:$I$89,5,0)</f>
        <v>259.27199999999988</v>
      </c>
      <c r="AK166" s="14">
        <f t="shared" si="164"/>
        <v>62.567172460757938</v>
      </c>
      <c r="AL166" s="22">
        <f t="shared" si="165"/>
        <v>560.53655870248656</v>
      </c>
      <c r="AM166" s="62">
        <f t="shared" si="113"/>
        <v>853.86989203581993</v>
      </c>
      <c r="AN166" s="62">
        <f ca="1">AVERAGE(OFFSET($AM$3,0,0,'Données projet'!$E$10+1,1))-AVERAGE(OFFSET($H$3,0,0,'Données projet'!$E$10+1,1))</f>
        <v>273.94989417245978</v>
      </c>
      <c r="AO166" s="62">
        <f t="shared" si="144"/>
        <v>244.91615281423549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247.81726778334098</v>
      </c>
      <c r="BJ166" s="62">
        <f t="shared" si="146"/>
        <v>278.55937893537259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1.8577024342571508E-19</v>
      </c>
      <c r="BS166" s="24">
        <f t="shared" si="169"/>
        <v>1.8577024342571508E-19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156.11420010556668</v>
      </c>
      <c r="CE166" s="62">
        <f t="shared" si="148"/>
        <v>318.01952986326501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7.0933813761643822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2.5489560222398717E-18</v>
      </c>
      <c r="CN166" s="24">
        <f t="shared" si="172"/>
        <v>7.0933813761643822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6.3550942286383367E-14</v>
      </c>
      <c r="CV166" s="14">
        <f t="shared" si="173"/>
        <v>1.0064464192543978E-12</v>
      </c>
      <c r="CW166" s="22">
        <f t="shared" si="174"/>
        <v>1.8635787380168604E-12</v>
      </c>
      <c r="CX166" s="62">
        <f t="shared" si="122"/>
        <v>293.33333333333519</v>
      </c>
      <c r="CY166" s="62">
        <f ca="1">AVERAGE(OFFSET($CX$3,0,0,'Données projet'!$E$13+1,1))-AVERAGE(OFFSET($H$3,0,0,'Données projet'!$E$13+1,1))</f>
        <v>321.56347025977988</v>
      </c>
      <c r="CZ166" s="62">
        <f t="shared" si="150"/>
        <v>285.79375360040717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1.4260903167995387</v>
      </c>
      <c r="DG166" s="23">
        <f>EXP(-LN(2)/25)*DG165+(1-EXP(-LN(2)/25))/(LN(2)/25)*Calculateur!DB166*Calculateur!DD166*VLOOKUP('Données projet'!$B$13,Paramètres!$A$1:$I$89,3,0)*0.475*44/12</f>
        <v>0.28361503614627953</v>
      </c>
      <c r="DH166" s="23">
        <f>EXP(-LN(2)/2)*DH165+(1-EXP(-LN(2)/2))/(LN(2)/2)*DB166*DE166*VLOOKUP('Données projet'!$B$13,Paramètres!$A$1:$I$89,3,0)*0.475*44/12</f>
        <v>6.84355863376123E-20</v>
      </c>
      <c r="DI166" s="24">
        <f t="shared" si="175"/>
        <v>1.7097053529458182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287.69656598881124</v>
      </c>
      <c r="DU166" s="62">
        <f t="shared" si="152"/>
        <v>221.9773436301067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2.4659546048534369E-19</v>
      </c>
      <c r="ED166" s="24">
        <f t="shared" si="178"/>
        <v>2.4659546048534369E-19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344.36303707479811</v>
      </c>
      <c r="T167" s="62">
        <f t="shared" si="142"/>
        <v>207.92972431357452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553.99999999999966</v>
      </c>
      <c r="AJ167" s="14">
        <f>AI167*VLOOKUP('Données projet'!$B$10,Paramètres!$A$1:$I$89,3,0)*VLOOKUP('Données projet'!$B$10,Paramètres!$A$1:$I$89,5,0)</f>
        <v>259.27199999999988</v>
      </c>
      <c r="AK167" s="14">
        <f t="shared" si="164"/>
        <v>62.567172460757938</v>
      </c>
      <c r="AL167" s="22">
        <f t="shared" si="165"/>
        <v>560.53655870248656</v>
      </c>
      <c r="AM167" s="62">
        <f t="shared" si="113"/>
        <v>853.86989203581993</v>
      </c>
      <c r="AN167" s="62">
        <f ca="1">AVERAGE(OFFSET($AM$3,0,0,'Données projet'!$E$10+1,1))-AVERAGE(OFFSET($H$3,0,0,'Données projet'!$E$10+1,1))</f>
        <v>273.94989417245978</v>
      </c>
      <c r="AO167" s="62">
        <f t="shared" si="144"/>
        <v>244.91615281423549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247.81726778334098</v>
      </c>
      <c r="BJ167" s="62">
        <f t="shared" si="146"/>
        <v>278.55937893537259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1.3135939886899878E-19</v>
      </c>
      <c r="BS167" s="24">
        <f t="shared" si="169"/>
        <v>1.3135939886899878E-19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156.11420010556668</v>
      </c>
      <c r="CE167" s="62">
        <f t="shared" si="148"/>
        <v>318.01952986326501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6.954284493913228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1.8023840882721015E-18</v>
      </c>
      <c r="CN167" s="24">
        <f t="shared" si="172"/>
        <v>6.954284493913228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6.3550942286383367E-14</v>
      </c>
      <c r="CV167" s="14">
        <f t="shared" si="173"/>
        <v>1.0064464192543978E-12</v>
      </c>
      <c r="CW167" s="22">
        <f t="shared" si="174"/>
        <v>1.8635787380168604E-12</v>
      </c>
      <c r="CX167" s="62">
        <f t="shared" si="122"/>
        <v>293.33333333333519</v>
      </c>
      <c r="CY167" s="62">
        <f ca="1">AVERAGE(OFFSET($CX$3,0,0,'Données projet'!$E$13+1,1))-AVERAGE(OFFSET($H$3,0,0,'Données projet'!$E$13+1,1))</f>
        <v>321.56347025977988</v>
      </c>
      <c r="CZ167" s="62">
        <f t="shared" si="150"/>
        <v>285.79375360040717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1.3981255555163046</v>
      </c>
      <c r="DG167" s="23">
        <f>EXP(-LN(2)/25)*DG166+(1-EXP(-LN(2)/25))/(LN(2)/25)*Calculateur!DB167*Calculateur!DD167*VLOOKUP('Données projet'!$B$13,Paramètres!$A$1:$I$89,3,0)*0.475*44/12</f>
        <v>0.27585956806819295</v>
      </c>
      <c r="DH167" s="23">
        <f>EXP(-LN(2)/2)*DH166+(1-EXP(-LN(2)/2))/(LN(2)/2)*DB167*DE167*VLOOKUP('Données projet'!$B$13,Paramètres!$A$1:$I$89,3,0)*0.475*44/12</f>
        <v>4.8391267173803102E-20</v>
      </c>
      <c r="DI167" s="24">
        <f t="shared" si="175"/>
        <v>1.6739851235844976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287.69656598881124</v>
      </c>
      <c r="DU167" s="62">
        <f t="shared" si="152"/>
        <v>221.9773436301067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1.7436932231900585E-19</v>
      </c>
      <c r="ED167" s="24">
        <f t="shared" si="178"/>
        <v>1.7436932231900585E-19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344.36303707479811</v>
      </c>
      <c r="T168" s="62">
        <f t="shared" si="142"/>
        <v>207.92972431357452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553.99999999999966</v>
      </c>
      <c r="AJ168" s="14">
        <f>AI168*VLOOKUP('Données projet'!$B$10,Paramètres!$A$1:$I$89,3,0)*VLOOKUP('Données projet'!$B$10,Paramètres!$A$1:$I$89,5,0)</f>
        <v>259.27199999999988</v>
      </c>
      <c r="AK168" s="14">
        <f t="shared" si="164"/>
        <v>62.567172460757938</v>
      </c>
      <c r="AL168" s="22">
        <f t="shared" si="165"/>
        <v>560.53655870248656</v>
      </c>
      <c r="AM168" s="62">
        <f t="shared" si="113"/>
        <v>853.86989203581993</v>
      </c>
      <c r="AN168" s="62">
        <f ca="1">AVERAGE(OFFSET($AM$3,0,0,'Données projet'!$E$10+1,1))-AVERAGE(OFFSET($H$3,0,0,'Données projet'!$E$10+1,1))</f>
        <v>273.94989417245978</v>
      </c>
      <c r="AO168" s="62">
        <f t="shared" si="144"/>
        <v>244.91615281423549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247.81726778334098</v>
      </c>
      <c r="BJ168" s="62">
        <f t="shared" si="146"/>
        <v>278.55937893537259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9.288512171285754E-20</v>
      </c>
      <c r="BS168" s="24">
        <f t="shared" si="169"/>
        <v>9.288512171285754E-20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156.11420010556668</v>
      </c>
      <c r="CE168" s="62">
        <f t="shared" si="148"/>
        <v>318.01952986326501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6.8179152166822981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1.2744780111199358E-18</v>
      </c>
      <c r="CN168" s="24">
        <f t="shared" si="172"/>
        <v>6.8179152166822981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6.3550942286383367E-14</v>
      </c>
      <c r="CV168" s="14">
        <f t="shared" si="173"/>
        <v>1.0064464192543978E-12</v>
      </c>
      <c r="CW168" s="22">
        <f t="shared" si="174"/>
        <v>1.8635787380168604E-12</v>
      </c>
      <c r="CX168" s="62">
        <f t="shared" si="122"/>
        <v>293.33333333333519</v>
      </c>
      <c r="CY168" s="62">
        <f ca="1">AVERAGE(OFFSET($CX$3,0,0,'Données projet'!$E$13+1,1))-AVERAGE(OFFSET($H$3,0,0,'Données projet'!$E$13+1,1))</f>
        <v>321.56347025977988</v>
      </c>
      <c r="CZ168" s="62">
        <f t="shared" si="150"/>
        <v>285.79375360040717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1.3707091661450144</v>
      </c>
      <c r="DG168" s="23">
        <f>EXP(-LN(2)/25)*DG167+(1-EXP(-LN(2)/25))/(LN(2)/25)*Calculateur!DB168*Calculateur!DD168*VLOOKUP('Données projet'!$B$13,Paramètres!$A$1:$I$89,3,0)*0.475*44/12</f>
        <v>0.26831617367254401</v>
      </c>
      <c r="DH168" s="23">
        <f>EXP(-LN(2)/2)*DH167+(1-EXP(-LN(2)/2))/(LN(2)/2)*DB168*DE168*VLOOKUP('Données projet'!$B$13,Paramètres!$A$1:$I$89,3,0)*0.475*44/12</f>
        <v>3.421779316880615E-20</v>
      </c>
      <c r="DI168" s="24">
        <f t="shared" si="175"/>
        <v>1.6390253398175583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287.69656598881124</v>
      </c>
      <c r="DU168" s="62">
        <f t="shared" si="152"/>
        <v>221.9773436301067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1.2329773024267184E-19</v>
      </c>
      <c r="ED168" s="24">
        <f t="shared" si="178"/>
        <v>1.2329773024267184E-19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344.36303707479811</v>
      </c>
      <c r="T169" s="62">
        <f t="shared" si="142"/>
        <v>207.92972431357452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553.99999999999966</v>
      </c>
      <c r="AJ169" s="14">
        <f>AI169*VLOOKUP('Données projet'!$B$10,Paramètres!$A$1:$I$89,3,0)*VLOOKUP('Données projet'!$B$10,Paramètres!$A$1:$I$89,5,0)</f>
        <v>259.27199999999988</v>
      </c>
      <c r="AK169" s="14">
        <f t="shared" si="164"/>
        <v>62.567172460757938</v>
      </c>
      <c r="AL169" s="22">
        <f t="shared" si="165"/>
        <v>560.53655870248656</v>
      </c>
      <c r="AM169" s="62">
        <f t="shared" si="113"/>
        <v>853.86989203581993</v>
      </c>
      <c r="AN169" s="62">
        <f ca="1">AVERAGE(OFFSET($AM$3,0,0,'Données projet'!$E$10+1,1))-AVERAGE(OFFSET($H$3,0,0,'Données projet'!$E$10+1,1))</f>
        <v>273.94989417245978</v>
      </c>
      <c r="AO169" s="62">
        <f t="shared" si="144"/>
        <v>244.91615281423549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247.81726778334098</v>
      </c>
      <c r="BJ169" s="62">
        <f t="shared" si="146"/>
        <v>278.55937893537259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6.567969943449939E-20</v>
      </c>
      <c r="BS169" s="24">
        <f t="shared" si="169"/>
        <v>6.567969943449939E-20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156.11420010556668</v>
      </c>
      <c r="CE169" s="62">
        <f t="shared" si="148"/>
        <v>318.01952986326501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6.6842200578008208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9.0119204413605074E-19</v>
      </c>
      <c r="CN169" s="24">
        <f t="shared" si="172"/>
        <v>6.6842200578008208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6.3550942286383367E-14</v>
      </c>
      <c r="CV169" s="14">
        <f t="shared" si="173"/>
        <v>1.0064464192543978E-12</v>
      </c>
      <c r="CW169" s="22">
        <f t="shared" si="174"/>
        <v>1.8635787380168604E-12</v>
      </c>
      <c r="CX169" s="62">
        <f t="shared" si="122"/>
        <v>293.33333333333519</v>
      </c>
      <c r="CY169" s="62">
        <f ca="1">AVERAGE(OFFSET($CX$3,0,0,'Données projet'!$E$13+1,1))-AVERAGE(OFFSET($H$3,0,0,'Données projet'!$E$13+1,1))</f>
        <v>321.56347025977988</v>
      </c>
      <c r="CZ169" s="62">
        <f t="shared" si="150"/>
        <v>285.79375360040717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1.3438303954469488</v>
      </c>
      <c r="DG169" s="23">
        <f>EXP(-LN(2)/25)*DG168+(1-EXP(-LN(2)/25))/(LN(2)/25)*Calculateur!DB169*Calculateur!DD169*VLOOKUP('Données projet'!$B$13,Paramètres!$A$1:$I$89,3,0)*0.475*44/12</f>
        <v>0.26097905379333397</v>
      </c>
      <c r="DH169" s="23">
        <f>EXP(-LN(2)/2)*DH168+(1-EXP(-LN(2)/2))/(LN(2)/2)*DB169*DE169*VLOOKUP('Données projet'!$B$13,Paramètres!$A$1:$I$89,3,0)*0.475*44/12</f>
        <v>2.4195633586901551E-20</v>
      </c>
      <c r="DI169" s="24">
        <f t="shared" si="175"/>
        <v>1.6048094492402827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287.69656598881124</v>
      </c>
      <c r="DU169" s="62">
        <f t="shared" si="152"/>
        <v>221.9773436301067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8.7184661159502925E-20</v>
      </c>
      <c r="ED169" s="24">
        <f t="shared" si="178"/>
        <v>8.7184661159502925E-20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344.36303707479811</v>
      </c>
      <c r="T170" s="62">
        <f t="shared" si="142"/>
        <v>207.92972431357452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553.99999999999966</v>
      </c>
      <c r="AJ170" s="14">
        <f>AI170*VLOOKUP('Données projet'!$B$10,Paramètres!$A$1:$I$89,3,0)*VLOOKUP('Données projet'!$B$10,Paramètres!$A$1:$I$89,5,0)</f>
        <v>259.27199999999988</v>
      </c>
      <c r="AK170" s="14">
        <f t="shared" si="164"/>
        <v>62.567172460757938</v>
      </c>
      <c r="AL170" s="22">
        <f t="shared" si="165"/>
        <v>560.53655870248656</v>
      </c>
      <c r="AM170" s="62">
        <f t="shared" si="113"/>
        <v>853.86989203581993</v>
      </c>
      <c r="AN170" s="62">
        <f ca="1">AVERAGE(OFFSET($AM$3,0,0,'Données projet'!$E$10+1,1))-AVERAGE(OFFSET($H$3,0,0,'Données projet'!$E$10+1,1))</f>
        <v>273.94989417245978</v>
      </c>
      <c r="AO170" s="62">
        <f t="shared" si="144"/>
        <v>244.91615281423549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247.81726778334098</v>
      </c>
      <c r="BJ170" s="62">
        <f t="shared" si="146"/>
        <v>278.55937893537259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4.644256085642877E-20</v>
      </c>
      <c r="BS170" s="24">
        <f t="shared" si="169"/>
        <v>4.644256085642877E-20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156.11420010556668</v>
      </c>
      <c r="CE170" s="62">
        <f t="shared" si="148"/>
        <v>318.01952986326501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6.5531465794390149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6.3723900555996792E-19</v>
      </c>
      <c r="CN170" s="24">
        <f t="shared" si="172"/>
        <v>6.5531465794390149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6.3550942286383367E-14</v>
      </c>
      <c r="CV170" s="14">
        <f t="shared" si="173"/>
        <v>1.0064464192543978E-12</v>
      </c>
      <c r="CW170" s="22">
        <f t="shared" si="174"/>
        <v>1.8635787380168604E-12</v>
      </c>
      <c r="CX170" s="62">
        <f t="shared" si="122"/>
        <v>293.33333333333519</v>
      </c>
      <c r="CY170" s="62">
        <f ca="1">AVERAGE(OFFSET($CX$3,0,0,'Données projet'!$E$13+1,1))-AVERAGE(OFFSET($H$3,0,0,'Données projet'!$E$13+1,1))</f>
        <v>321.56347025977988</v>
      </c>
      <c r="CZ170" s="62">
        <f t="shared" si="150"/>
        <v>285.79375360040717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1.317478701047841</v>
      </c>
      <c r="DG170" s="23">
        <f>EXP(-LN(2)/25)*DG169+(1-EXP(-LN(2)/25))/(LN(2)/25)*Calculateur!DB170*Calculateur!DD170*VLOOKUP('Données projet'!$B$13,Paramètres!$A$1:$I$89,3,0)*0.475*44/12</f>
        <v>0.2538425678430633</v>
      </c>
      <c r="DH170" s="23">
        <f>EXP(-LN(2)/2)*DH169+(1-EXP(-LN(2)/2))/(LN(2)/2)*DB170*DE170*VLOOKUP('Données projet'!$B$13,Paramètres!$A$1:$I$89,3,0)*0.475*44/12</f>
        <v>1.7108896584403075E-20</v>
      </c>
      <c r="DI170" s="24">
        <f t="shared" si="175"/>
        <v>1.5713212688909044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287.69656598881124</v>
      </c>
      <c r="DU170" s="62">
        <f t="shared" si="152"/>
        <v>221.9773436301067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6.1648865121335922E-20</v>
      </c>
      <c r="ED170" s="24">
        <f t="shared" si="178"/>
        <v>6.1648865121335922E-20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344.36303707479811</v>
      </c>
      <c r="T171" s="62">
        <f t="shared" si="142"/>
        <v>207.92972431357452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553.99999999999966</v>
      </c>
      <c r="AJ171" s="14">
        <f>AI171*VLOOKUP('Données projet'!$B$10,Paramètres!$A$1:$I$89,3,0)*VLOOKUP('Données projet'!$B$10,Paramètres!$A$1:$I$89,5,0)</f>
        <v>259.27199999999988</v>
      </c>
      <c r="AK171" s="14">
        <f t="shared" si="164"/>
        <v>62.567172460757938</v>
      </c>
      <c r="AL171" s="22">
        <f t="shared" si="165"/>
        <v>560.53655870248656</v>
      </c>
      <c r="AM171" s="62">
        <f t="shared" si="113"/>
        <v>853.86989203581993</v>
      </c>
      <c r="AN171" s="62">
        <f ca="1">AVERAGE(OFFSET($AM$3,0,0,'Données projet'!$E$10+1,1))-AVERAGE(OFFSET($H$3,0,0,'Données projet'!$E$10+1,1))</f>
        <v>273.94989417245978</v>
      </c>
      <c r="AO171" s="62">
        <f t="shared" si="144"/>
        <v>244.91615281423549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247.81726778334098</v>
      </c>
      <c r="BJ171" s="62">
        <f t="shared" si="146"/>
        <v>278.55937893537259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3.2839849717249695E-20</v>
      </c>
      <c r="BS171" s="24">
        <f t="shared" si="169"/>
        <v>3.2839849717249695E-20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156.11420010556668</v>
      </c>
      <c r="CE171" s="62">
        <f t="shared" si="148"/>
        <v>318.01952986326501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6.4246433720409559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4.5059602206802537E-19</v>
      </c>
      <c r="CN171" s="24">
        <f t="shared" si="172"/>
        <v>6.4246433720409559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6.3550942286383367E-14</v>
      </c>
      <c r="CV171" s="14">
        <f t="shared" si="173"/>
        <v>1.0064464192543978E-12</v>
      </c>
      <c r="CW171" s="22">
        <f t="shared" si="174"/>
        <v>1.8635787380168604E-12</v>
      </c>
      <c r="CX171" s="62">
        <f t="shared" si="122"/>
        <v>293.33333333333519</v>
      </c>
      <c r="CY171" s="62">
        <f ca="1">AVERAGE(OFFSET($CX$3,0,0,'Données projet'!$E$13+1,1))-AVERAGE(OFFSET($H$3,0,0,'Données projet'!$E$13+1,1))</f>
        <v>321.56347025977988</v>
      </c>
      <c r="CZ171" s="62">
        <f t="shared" si="150"/>
        <v>285.79375360040717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1.2916437473029534</v>
      </c>
      <c r="DG171" s="23">
        <f>EXP(-LN(2)/25)*DG170+(1-EXP(-LN(2)/25))/(LN(2)/25)*Calculateur!DB171*Calculateur!DD171*VLOOKUP('Données projet'!$B$13,Paramètres!$A$1:$I$89,3,0)*0.475*44/12</f>
        <v>0.24690122947639426</v>
      </c>
      <c r="DH171" s="23">
        <f>EXP(-LN(2)/2)*DH170+(1-EXP(-LN(2)/2))/(LN(2)/2)*DB171*DE171*VLOOKUP('Données projet'!$B$13,Paramètres!$A$1:$I$89,3,0)*0.475*44/12</f>
        <v>1.2097816793450776E-20</v>
      </c>
      <c r="DI171" s="24">
        <f t="shared" si="175"/>
        <v>1.5385449767793475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287.69656598881124</v>
      </c>
      <c r="DU171" s="62">
        <f t="shared" si="152"/>
        <v>221.9773436301067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4.3592330579751462E-20</v>
      </c>
      <c r="ED171" s="24">
        <f t="shared" si="178"/>
        <v>4.3592330579751462E-20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344.36303707479811</v>
      </c>
      <c r="T172" s="62">
        <f t="shared" si="142"/>
        <v>207.92972431357452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553.99999999999966</v>
      </c>
      <c r="AJ172" s="14">
        <f>AI172*VLOOKUP('Données projet'!$B$10,Paramètres!$A$1:$I$89,3,0)*VLOOKUP('Données projet'!$B$10,Paramètres!$A$1:$I$89,5,0)</f>
        <v>259.27199999999988</v>
      </c>
      <c r="AK172" s="14">
        <f t="shared" si="164"/>
        <v>62.567172460757938</v>
      </c>
      <c r="AL172" s="22">
        <f t="shared" si="165"/>
        <v>560.53655870248656</v>
      </c>
      <c r="AM172" s="62">
        <f t="shared" si="113"/>
        <v>853.86989203581993</v>
      </c>
      <c r="AN172" s="62">
        <f ca="1">AVERAGE(OFFSET($AM$3,0,0,'Données projet'!$E$10+1,1))-AVERAGE(OFFSET($H$3,0,0,'Données projet'!$E$10+1,1))</f>
        <v>273.94989417245978</v>
      </c>
      <c r="AO172" s="62">
        <f t="shared" si="144"/>
        <v>244.91615281423549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247.81726778334098</v>
      </c>
      <c r="BJ172" s="62">
        <f t="shared" si="146"/>
        <v>278.55937893537259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2.3221280428214385E-20</v>
      </c>
      <c r="BS172" s="24">
        <f t="shared" si="169"/>
        <v>2.3221280428214385E-20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156.11420010556668</v>
      </c>
      <c r="CE172" s="62">
        <f t="shared" si="148"/>
        <v>318.01952986326501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6.2986600341607559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3.1861950277998396E-19</v>
      </c>
      <c r="CN172" s="24">
        <f t="shared" si="172"/>
        <v>6.2986600341607559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6.3550942286383367E-14</v>
      </c>
      <c r="CV172" s="14">
        <f t="shared" si="173"/>
        <v>1.0064464192543978E-12</v>
      </c>
      <c r="CW172" s="22">
        <f t="shared" si="174"/>
        <v>1.8635787380168604E-12</v>
      </c>
      <c r="CX172" s="62">
        <f t="shared" si="122"/>
        <v>293.33333333333519</v>
      </c>
      <c r="CY172" s="62">
        <f ca="1">AVERAGE(OFFSET($CX$3,0,0,'Données projet'!$E$13+1,1))-AVERAGE(OFFSET($H$3,0,0,'Données projet'!$E$13+1,1))</f>
        <v>321.56347025977988</v>
      </c>
      <c r="CZ172" s="62">
        <f t="shared" si="150"/>
        <v>285.79375360040717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1.2663154012432372</v>
      </c>
      <c r="DG172" s="23">
        <f>EXP(-LN(2)/25)*DG171+(1-EXP(-LN(2)/25))/(LN(2)/25)*Calculateur!DB172*Calculateur!DD172*VLOOKUP('Données projet'!$B$13,Paramètres!$A$1:$I$89,3,0)*0.475*44/12</f>
        <v>0.24014970237239089</v>
      </c>
      <c r="DH172" s="23">
        <f>EXP(-LN(2)/2)*DH171+(1-EXP(-LN(2)/2))/(LN(2)/2)*DB172*DE172*VLOOKUP('Données projet'!$B$13,Paramètres!$A$1:$I$89,3,0)*0.475*44/12</f>
        <v>8.5544482922015374E-21</v>
      </c>
      <c r="DI172" s="24">
        <f t="shared" si="175"/>
        <v>1.506465103615628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287.69656598881124</v>
      </c>
      <c r="DU172" s="62">
        <f t="shared" si="152"/>
        <v>221.9773436301067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3.0824432560667961E-20</v>
      </c>
      <c r="ED172" s="24">
        <f t="shared" si="178"/>
        <v>3.0824432560667961E-20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344.36303707479811</v>
      </c>
      <c r="T173" s="62">
        <f t="shared" si="142"/>
        <v>207.92972431357452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553.99999999999966</v>
      </c>
      <c r="AJ173" s="14">
        <f>AI173*VLOOKUP('Données projet'!$B$10,Paramètres!$A$1:$I$89,3,0)*VLOOKUP('Données projet'!$B$10,Paramètres!$A$1:$I$89,5,0)</f>
        <v>259.27199999999988</v>
      </c>
      <c r="AK173" s="14">
        <f t="shared" si="164"/>
        <v>62.567172460757938</v>
      </c>
      <c r="AL173" s="22">
        <f t="shared" si="165"/>
        <v>560.53655870248656</v>
      </c>
      <c r="AM173" s="62">
        <f t="shared" si="113"/>
        <v>853.86989203581993</v>
      </c>
      <c r="AN173" s="62">
        <f ca="1">AVERAGE(OFFSET($AM$3,0,0,'Données projet'!$E$10+1,1))-AVERAGE(OFFSET($H$3,0,0,'Données projet'!$E$10+1,1))</f>
        <v>273.94989417245978</v>
      </c>
      <c r="AO173" s="62">
        <f t="shared" si="144"/>
        <v>244.91615281423549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247.81726778334098</v>
      </c>
      <c r="BJ173" s="62">
        <f t="shared" si="146"/>
        <v>278.55937893537259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1.6419924858624847E-20</v>
      </c>
      <c r="BS173" s="24">
        <f t="shared" si="169"/>
        <v>1.6419924858624847E-20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156.11420010556668</v>
      </c>
      <c r="CE173" s="62">
        <f t="shared" si="148"/>
        <v>318.01952986326501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6.1751471526941382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2.2529801103401269E-19</v>
      </c>
      <c r="CN173" s="24">
        <f t="shared" si="172"/>
        <v>6.1751471526941382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6.3550942286383367E-14</v>
      </c>
      <c r="CV173" s="14">
        <f t="shared" si="173"/>
        <v>1.0064464192543978E-12</v>
      </c>
      <c r="CW173" s="22">
        <f t="shared" si="174"/>
        <v>1.8635787380168604E-12</v>
      </c>
      <c r="CX173" s="62">
        <f t="shared" si="122"/>
        <v>293.33333333333519</v>
      </c>
      <c r="CY173" s="62">
        <f ca="1">AVERAGE(OFFSET($CX$3,0,0,'Données projet'!$E$13+1,1))-AVERAGE(OFFSET($H$3,0,0,'Données projet'!$E$13+1,1))</f>
        <v>321.56347025977988</v>
      </c>
      <c r="CZ173" s="62">
        <f t="shared" si="150"/>
        <v>285.79375360040717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1.2414837286009863</v>
      </c>
      <c r="DG173" s="23">
        <f>EXP(-LN(2)/25)*DG172+(1-EXP(-LN(2)/25))/(LN(2)/25)*Calculateur!DB173*Calculateur!DD173*VLOOKUP('Données projet'!$B$13,Paramètres!$A$1:$I$89,3,0)*0.475*44/12</f>
        <v>0.23358279613209387</v>
      </c>
      <c r="DH173" s="23">
        <f>EXP(-LN(2)/2)*DH172+(1-EXP(-LN(2)/2))/(LN(2)/2)*DB173*DE173*VLOOKUP('Données projet'!$B$13,Paramètres!$A$1:$I$89,3,0)*0.475*44/12</f>
        <v>6.0489083967253878E-21</v>
      </c>
      <c r="DI173" s="24">
        <f t="shared" si="175"/>
        <v>1.4750665247330801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287.69656598881124</v>
      </c>
      <c r="DU173" s="62">
        <f t="shared" si="152"/>
        <v>221.9773436301067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2.1796165289875731E-20</v>
      </c>
      <c r="ED173" s="24">
        <f t="shared" si="178"/>
        <v>2.1796165289875731E-20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344.36303707479811</v>
      </c>
      <c r="T174" s="62">
        <f t="shared" si="142"/>
        <v>207.92972431357452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553.99999999999966</v>
      </c>
      <c r="AJ174" s="14">
        <f>AI174*VLOOKUP('Données projet'!$B$10,Paramètres!$A$1:$I$89,3,0)*VLOOKUP('Données projet'!$B$10,Paramètres!$A$1:$I$89,5,0)</f>
        <v>259.27199999999988</v>
      </c>
      <c r="AK174" s="14">
        <f t="shared" si="164"/>
        <v>62.567172460757938</v>
      </c>
      <c r="AL174" s="22">
        <f t="shared" si="165"/>
        <v>560.53655870248656</v>
      </c>
      <c r="AM174" s="62">
        <f t="shared" si="113"/>
        <v>853.86989203581993</v>
      </c>
      <c r="AN174" s="62">
        <f ca="1">AVERAGE(OFFSET($AM$3,0,0,'Données projet'!$E$10+1,1))-AVERAGE(OFFSET($H$3,0,0,'Données projet'!$E$10+1,1))</f>
        <v>273.94989417245978</v>
      </c>
      <c r="AO174" s="62">
        <f t="shared" si="144"/>
        <v>244.91615281423549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247.81726778334098</v>
      </c>
      <c r="BJ174" s="62">
        <f t="shared" si="146"/>
        <v>278.55937893537259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1.1610640214107192E-20</v>
      </c>
      <c r="BS174" s="24">
        <f t="shared" si="169"/>
        <v>1.1610640214107192E-20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156.11420010556668</v>
      </c>
      <c r="CE174" s="62">
        <f t="shared" si="148"/>
        <v>318.01952986326501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6.054056283497661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1.5930975138999198E-19</v>
      </c>
      <c r="CN174" s="24">
        <f t="shared" si="172"/>
        <v>6.054056283497661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6.3550942286383367E-14</v>
      </c>
      <c r="CV174" s="14">
        <f t="shared" si="173"/>
        <v>1.0064464192543978E-12</v>
      </c>
      <c r="CW174" s="22">
        <f t="shared" si="174"/>
        <v>1.8635787380168604E-12</v>
      </c>
      <c r="CX174" s="62">
        <f t="shared" si="122"/>
        <v>293.33333333333519</v>
      </c>
      <c r="CY174" s="62">
        <f ca="1">AVERAGE(OFFSET($CX$3,0,0,'Données projet'!$E$13+1,1))-AVERAGE(OFFSET($H$3,0,0,'Données projet'!$E$13+1,1))</f>
        <v>321.56347025977988</v>
      </c>
      <c r="CZ174" s="62">
        <f t="shared" si="150"/>
        <v>285.79375360040717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1.2171389899134251</v>
      </c>
      <c r="DG174" s="23">
        <f>EXP(-LN(2)/25)*DG173+(1-EXP(-LN(2)/25))/(LN(2)/25)*Calculateur!DB174*Calculateur!DD174*VLOOKUP('Données projet'!$B$13,Paramètres!$A$1:$I$89,3,0)*0.475*44/12</f>
        <v>0.22719546228827639</v>
      </c>
      <c r="DH174" s="23">
        <f>EXP(-LN(2)/2)*DH173+(1-EXP(-LN(2)/2))/(LN(2)/2)*DB174*DE174*VLOOKUP('Données projet'!$B$13,Paramètres!$A$1:$I$89,3,0)*0.475*44/12</f>
        <v>4.2772241461007687E-21</v>
      </c>
      <c r="DI174" s="24">
        <f t="shared" si="175"/>
        <v>1.4443344522017014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287.69656598881124</v>
      </c>
      <c r="DU174" s="62">
        <f t="shared" si="152"/>
        <v>221.9773436301067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1.541221628033398E-20</v>
      </c>
      <c r="ED174" s="24">
        <f t="shared" si="178"/>
        <v>1.541221628033398E-20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344.36303707479811</v>
      </c>
      <c r="T175" s="62">
        <f t="shared" si="142"/>
        <v>207.92972431357452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553.99999999999966</v>
      </c>
      <c r="AJ175" s="14">
        <f>AI175*VLOOKUP('Données projet'!$B$10,Paramètres!$A$1:$I$89,3,0)*VLOOKUP('Données projet'!$B$10,Paramètres!$A$1:$I$89,5,0)</f>
        <v>259.27199999999988</v>
      </c>
      <c r="AK175" s="14">
        <f t="shared" si="164"/>
        <v>62.567172460757938</v>
      </c>
      <c r="AL175" s="22">
        <f t="shared" si="165"/>
        <v>560.53655870248656</v>
      </c>
      <c r="AM175" s="62">
        <f t="shared" si="113"/>
        <v>853.86989203581993</v>
      </c>
      <c r="AN175" s="62">
        <f ca="1">AVERAGE(OFFSET($AM$3,0,0,'Données projet'!$E$10+1,1))-AVERAGE(OFFSET($H$3,0,0,'Données projet'!$E$10+1,1))</f>
        <v>273.94989417245978</v>
      </c>
      <c r="AO175" s="62">
        <f t="shared" si="144"/>
        <v>244.91615281423549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247.81726778334098</v>
      </c>
      <c r="BJ175" s="62">
        <f t="shared" si="146"/>
        <v>278.55937893537259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8.2099624293124237E-21</v>
      </c>
      <c r="BS175" s="24">
        <f t="shared" si="169"/>
        <v>8.2099624293124237E-21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156.11420010556668</v>
      </c>
      <c r="CE175" s="62">
        <f t="shared" si="148"/>
        <v>318.01952986326501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5.9353399323879898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1.1264900551700634E-19</v>
      </c>
      <c r="CN175" s="24">
        <f t="shared" si="172"/>
        <v>5.9353399323879898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6.3550942286383367E-14</v>
      </c>
      <c r="CV175" s="14">
        <f t="shared" si="173"/>
        <v>1.0064464192543978E-12</v>
      </c>
      <c r="CW175" s="22">
        <f t="shared" si="174"/>
        <v>1.8635787380168604E-12</v>
      </c>
      <c r="CX175" s="62">
        <f t="shared" si="122"/>
        <v>293.33333333333519</v>
      </c>
      <c r="CY175" s="62">
        <f ca="1">AVERAGE(OFFSET($CX$3,0,0,'Données projet'!$E$13+1,1))-AVERAGE(OFFSET($H$3,0,0,'Données projet'!$E$13+1,1))</f>
        <v>321.56347025977988</v>
      </c>
      <c r="CZ175" s="62">
        <f t="shared" si="150"/>
        <v>285.79375360040717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1.1932716367027025</v>
      </c>
      <c r="DG175" s="23">
        <f>EXP(-LN(2)/25)*DG174+(1-EXP(-LN(2)/25))/(LN(2)/25)*Calculateur!DB175*Calculateur!DD175*VLOOKUP('Données projet'!$B$13,Paramètres!$A$1:$I$89,3,0)*0.475*44/12</f>
        <v>0.22098279042431337</v>
      </c>
      <c r="DH175" s="23">
        <f>EXP(-LN(2)/2)*DH174+(1-EXP(-LN(2)/2))/(LN(2)/2)*DB175*DE175*VLOOKUP('Données projet'!$B$13,Paramètres!$A$1:$I$89,3,0)*0.475*44/12</f>
        <v>3.0244541983626939E-21</v>
      </c>
      <c r="DI175" s="24">
        <f t="shared" si="175"/>
        <v>1.4142544271270159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287.69656598881124</v>
      </c>
      <c r="DU175" s="62">
        <f t="shared" si="152"/>
        <v>221.9773436301067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1.0898082644937866E-20</v>
      </c>
      <c r="ED175" s="24">
        <f t="shared" si="178"/>
        <v>1.0898082644937866E-20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344.36303707479811</v>
      </c>
      <c r="T176" s="62">
        <f t="shared" si="142"/>
        <v>207.92972431357452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553.99999999999966</v>
      </c>
      <c r="AJ176" s="14">
        <f>AI176*VLOOKUP('Données projet'!$B$10,Paramètres!$A$1:$I$89,3,0)*VLOOKUP('Données projet'!$B$10,Paramètres!$A$1:$I$89,5,0)</f>
        <v>259.27199999999988</v>
      </c>
      <c r="AK176" s="14">
        <f t="shared" si="164"/>
        <v>62.567172460757938</v>
      </c>
      <c r="AL176" s="22">
        <f t="shared" si="165"/>
        <v>560.53655870248656</v>
      </c>
      <c r="AM176" s="62">
        <f t="shared" si="113"/>
        <v>853.86989203581993</v>
      </c>
      <c r="AN176" s="62">
        <f ca="1">AVERAGE(OFFSET($AM$3,0,0,'Données projet'!$E$10+1,1))-AVERAGE(OFFSET($H$3,0,0,'Données projet'!$E$10+1,1))</f>
        <v>273.94989417245978</v>
      </c>
      <c r="AO176" s="62">
        <f t="shared" si="144"/>
        <v>244.91615281423549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247.81726778334098</v>
      </c>
      <c r="BJ176" s="62">
        <f t="shared" si="146"/>
        <v>278.55937893537259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5.8053201070535962E-21</v>
      </c>
      <c r="BS176" s="24">
        <f t="shared" si="169"/>
        <v>5.8053201070535962E-21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156.11420010556668</v>
      </c>
      <c r="CE176" s="62">
        <f t="shared" si="148"/>
        <v>318.01952986326501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5.8189515365137554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7.965487569499599E-20</v>
      </c>
      <c r="CN176" s="24">
        <f t="shared" si="172"/>
        <v>5.8189515365137554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6.3550942286383367E-14</v>
      </c>
      <c r="CV176" s="14">
        <f t="shared" si="173"/>
        <v>1.0064464192543978E-12</v>
      </c>
      <c r="CW176" s="22">
        <f t="shared" si="174"/>
        <v>1.8635787380168604E-12</v>
      </c>
      <c r="CX176" s="62">
        <f t="shared" si="122"/>
        <v>293.33333333333519</v>
      </c>
      <c r="CY176" s="62">
        <f ca="1">AVERAGE(OFFSET($CX$3,0,0,'Données projet'!$E$13+1,1))-AVERAGE(OFFSET($H$3,0,0,'Données projet'!$E$13+1,1))</f>
        <v>321.56347025977988</v>
      </c>
      <c r="CZ176" s="62">
        <f t="shared" si="150"/>
        <v>285.79375360040717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1.1698723077307942</v>
      </c>
      <c r="DG176" s="23">
        <f>EXP(-LN(2)/25)*DG175+(1-EXP(-LN(2)/25))/(LN(2)/25)*Calculateur!DB176*Calculateur!DD176*VLOOKUP('Données projet'!$B$13,Paramètres!$A$1:$I$89,3,0)*0.475*44/12</f>
        <v>0.21494000439918065</v>
      </c>
      <c r="DH176" s="23">
        <f>EXP(-LN(2)/2)*DH175+(1-EXP(-LN(2)/2))/(LN(2)/2)*DB176*DE176*VLOOKUP('Données projet'!$B$13,Paramètres!$A$1:$I$89,3,0)*0.475*44/12</f>
        <v>2.1386120730503844E-21</v>
      </c>
      <c r="DI176" s="24">
        <f t="shared" si="175"/>
        <v>1.3848123121299749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287.69656598881124</v>
      </c>
      <c r="DU176" s="62">
        <f t="shared" si="152"/>
        <v>221.9773436301067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7.7061081401669902E-21</v>
      </c>
      <c r="ED176" s="24">
        <f t="shared" si="178"/>
        <v>7.7061081401669902E-21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344.36303707479811</v>
      </c>
      <c r="T177" s="62">
        <f t="shared" si="142"/>
        <v>207.92972431357452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553.99999999999966</v>
      </c>
      <c r="AJ177" s="14">
        <f>AI177*VLOOKUP('Données projet'!$B$10,Paramètres!$A$1:$I$89,3,0)*VLOOKUP('Données projet'!$B$10,Paramètres!$A$1:$I$89,5,0)</f>
        <v>259.27199999999988</v>
      </c>
      <c r="AK177" s="14">
        <f t="shared" si="164"/>
        <v>62.567172460757938</v>
      </c>
      <c r="AL177" s="22">
        <f t="shared" si="165"/>
        <v>560.53655870248656</v>
      </c>
      <c r="AM177" s="62">
        <f t="shared" si="113"/>
        <v>853.86989203581993</v>
      </c>
      <c r="AN177" s="62">
        <f ca="1">AVERAGE(OFFSET($AM$3,0,0,'Données projet'!$E$10+1,1))-AVERAGE(OFFSET($H$3,0,0,'Données projet'!$E$10+1,1))</f>
        <v>273.94989417245978</v>
      </c>
      <c r="AO177" s="62">
        <f t="shared" si="144"/>
        <v>244.91615281423549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247.81726778334098</v>
      </c>
      <c r="BJ177" s="62">
        <f t="shared" si="146"/>
        <v>278.55937893537259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4.1049812146562118E-21</v>
      </c>
      <c r="BS177" s="24">
        <f t="shared" si="169"/>
        <v>4.1049812146562118E-21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156.11420010556668</v>
      </c>
      <c r="CE177" s="62">
        <f t="shared" si="148"/>
        <v>318.01952986326501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5.7048454460927029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5.6324502758503171E-20</v>
      </c>
      <c r="CN177" s="24">
        <f t="shared" si="172"/>
        <v>5.7048454460927029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6.3550942286383367E-14</v>
      </c>
      <c r="CV177" s="14">
        <f t="shared" si="173"/>
        <v>1.0064464192543978E-12</v>
      </c>
      <c r="CW177" s="22">
        <f t="shared" si="174"/>
        <v>1.8635787380168604E-12</v>
      </c>
      <c r="CX177" s="62">
        <f t="shared" si="122"/>
        <v>293.33333333333519</v>
      </c>
      <c r="CY177" s="62">
        <f ca="1">AVERAGE(OFFSET($CX$3,0,0,'Données projet'!$E$13+1,1))-AVERAGE(OFFSET($H$3,0,0,'Données projet'!$E$13+1,1))</f>
        <v>321.56347025977988</v>
      </c>
      <c r="CZ177" s="62">
        <f t="shared" si="150"/>
        <v>285.79375360040717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1.1469318253278438</v>
      </c>
      <c r="DG177" s="23">
        <f>EXP(-LN(2)/25)*DG176+(1-EXP(-LN(2)/25))/(LN(2)/25)*Calculateur!DB177*Calculateur!DD177*VLOOKUP('Données projet'!$B$13,Paramètres!$A$1:$I$89,3,0)*0.475*44/12</f>
        <v>0.20906245867568149</v>
      </c>
      <c r="DH177" s="23">
        <f>EXP(-LN(2)/2)*DH176+(1-EXP(-LN(2)/2))/(LN(2)/2)*DB177*DE177*VLOOKUP('Données projet'!$B$13,Paramètres!$A$1:$I$89,3,0)*0.475*44/12</f>
        <v>1.5122270991813469E-21</v>
      </c>
      <c r="DI177" s="24">
        <f t="shared" si="175"/>
        <v>1.3559942840035253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287.69656598881124</v>
      </c>
      <c r="DU177" s="62">
        <f t="shared" si="152"/>
        <v>221.9773436301067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5.4490413224689328E-21</v>
      </c>
      <c r="ED177" s="24">
        <f t="shared" si="178"/>
        <v>5.4490413224689328E-21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344.36303707479811</v>
      </c>
      <c r="T178" s="62">
        <f t="shared" si="142"/>
        <v>207.92972431357452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553.99999999999966</v>
      </c>
      <c r="AJ178" s="14">
        <f>AI178*VLOOKUP('Données projet'!$B$10,Paramètres!$A$1:$I$89,3,0)*VLOOKUP('Données projet'!$B$10,Paramètres!$A$1:$I$89,5,0)</f>
        <v>259.27199999999988</v>
      </c>
      <c r="AK178" s="14">
        <f t="shared" si="164"/>
        <v>62.567172460757938</v>
      </c>
      <c r="AL178" s="22">
        <f t="shared" si="165"/>
        <v>560.53655870248656</v>
      </c>
      <c r="AM178" s="62">
        <f t="shared" si="113"/>
        <v>853.86989203581993</v>
      </c>
      <c r="AN178" s="62">
        <f ca="1">AVERAGE(OFFSET($AM$3,0,0,'Données projet'!$E$10+1,1))-AVERAGE(OFFSET($H$3,0,0,'Données projet'!$E$10+1,1))</f>
        <v>273.94989417245978</v>
      </c>
      <c r="AO178" s="62">
        <f t="shared" si="144"/>
        <v>244.91615281423549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247.81726778334098</v>
      </c>
      <c r="BJ178" s="62">
        <f t="shared" si="146"/>
        <v>278.55937893537259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2.9026600535267981E-21</v>
      </c>
      <c r="BS178" s="24">
        <f t="shared" si="169"/>
        <v>2.9026600535267981E-21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156.11420010556668</v>
      </c>
      <c r="CE178" s="62">
        <f t="shared" si="148"/>
        <v>318.01952986326501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5.5929769065069639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3.9827437847497995E-20</v>
      </c>
      <c r="CN178" s="24">
        <f t="shared" si="172"/>
        <v>5.5929769065069639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6.3550942286383367E-14</v>
      </c>
      <c r="CV178" s="14">
        <f t="shared" si="173"/>
        <v>1.0064464192543978E-12</v>
      </c>
      <c r="CW178" s="22">
        <f t="shared" si="174"/>
        <v>1.8635787380168604E-12</v>
      </c>
      <c r="CX178" s="62">
        <f t="shared" si="122"/>
        <v>293.33333333333519</v>
      </c>
      <c r="CY178" s="62">
        <f ca="1">AVERAGE(OFFSET($CX$3,0,0,'Données projet'!$E$13+1,1))-AVERAGE(OFFSET($H$3,0,0,'Données projet'!$E$13+1,1))</f>
        <v>321.56347025977988</v>
      </c>
      <c r="CZ178" s="62">
        <f t="shared" si="150"/>
        <v>285.79375360040717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1.1244411917925023</v>
      </c>
      <c r="DG178" s="23">
        <f>EXP(-LN(2)/25)*DG177+(1-EXP(-LN(2)/25))/(LN(2)/25)*Calculateur!DB178*Calculateur!DD178*VLOOKUP('Données projet'!$B$13,Paramètres!$A$1:$I$89,3,0)*0.475*44/12</f>
        <v>0.2033456347490781</v>
      </c>
      <c r="DH178" s="23">
        <f>EXP(-LN(2)/2)*DH177+(1-EXP(-LN(2)/2))/(LN(2)/2)*DB178*DE178*VLOOKUP('Données projet'!$B$13,Paramètres!$A$1:$I$89,3,0)*0.475*44/12</f>
        <v>1.0693060365251922E-21</v>
      </c>
      <c r="DI178" s="24">
        <f t="shared" si="175"/>
        <v>1.3277868265415804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287.69656598881124</v>
      </c>
      <c r="DU178" s="62">
        <f t="shared" si="152"/>
        <v>221.9773436301067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3.8530540700834951E-21</v>
      </c>
      <c r="ED178" s="24">
        <f t="shared" si="178"/>
        <v>3.8530540700834951E-21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344.36303707479811</v>
      </c>
      <c r="T179" s="62">
        <f t="shared" si="142"/>
        <v>207.92972431357452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553.99999999999966</v>
      </c>
      <c r="AJ179" s="14">
        <f>AI179*VLOOKUP('Données projet'!$B$10,Paramètres!$A$1:$I$89,3,0)*VLOOKUP('Données projet'!$B$10,Paramètres!$A$1:$I$89,5,0)</f>
        <v>259.27199999999988</v>
      </c>
      <c r="AK179" s="14">
        <f t="shared" si="164"/>
        <v>62.567172460757938</v>
      </c>
      <c r="AL179" s="22">
        <f t="shared" si="165"/>
        <v>560.53655870248656</v>
      </c>
      <c r="AM179" s="62">
        <f t="shared" si="113"/>
        <v>853.86989203581993</v>
      </c>
      <c r="AN179" s="62">
        <f ca="1">AVERAGE(OFFSET($AM$3,0,0,'Données projet'!$E$10+1,1))-AVERAGE(OFFSET($H$3,0,0,'Données projet'!$E$10+1,1))</f>
        <v>273.94989417245978</v>
      </c>
      <c r="AO179" s="62">
        <f t="shared" si="144"/>
        <v>244.91615281423549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247.81726778334098</v>
      </c>
      <c r="BJ179" s="62">
        <f t="shared" si="146"/>
        <v>278.55937893537259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2.0524906073281059E-21</v>
      </c>
      <c r="BS179" s="24">
        <f t="shared" si="169"/>
        <v>2.0524906073281059E-21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156.11420010556668</v>
      </c>
      <c r="CE179" s="62">
        <f t="shared" si="148"/>
        <v>318.01952986326501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5.4833020407494297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2.8162251379251586E-20</v>
      </c>
      <c r="CN179" s="24">
        <f t="shared" si="172"/>
        <v>5.4833020407494297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6.3550942286383367E-14</v>
      </c>
      <c r="CV179" s="14">
        <f t="shared" si="173"/>
        <v>1.0064464192543978E-12</v>
      </c>
      <c r="CW179" s="22">
        <f t="shared" si="174"/>
        <v>1.8635787380168604E-12</v>
      </c>
      <c r="CX179" s="62">
        <f t="shared" si="122"/>
        <v>293.33333333333519</v>
      </c>
      <c r="CY179" s="62">
        <f ca="1">AVERAGE(OFFSET($CX$3,0,0,'Données projet'!$E$13+1,1))-AVERAGE(OFFSET($H$3,0,0,'Données projet'!$E$13+1,1))</f>
        <v>321.56347025977988</v>
      </c>
      <c r="CZ179" s="62">
        <f t="shared" si="150"/>
        <v>285.79375360040717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1.1023915858628572</v>
      </c>
      <c r="DG179" s="23">
        <f>EXP(-LN(2)/25)*DG178+(1-EXP(-LN(2)/25))/(LN(2)/25)*Calculateur!DB179*Calculateur!DD179*VLOOKUP('Données projet'!$B$13,Paramètres!$A$1:$I$89,3,0)*0.475*44/12</f>
        <v>0.19778513767338238</v>
      </c>
      <c r="DH179" s="23">
        <f>EXP(-LN(2)/2)*DH178+(1-EXP(-LN(2)/2))/(LN(2)/2)*DB179*DE179*VLOOKUP('Données projet'!$B$13,Paramètres!$A$1:$I$89,3,0)*0.475*44/12</f>
        <v>7.5611354959067347E-22</v>
      </c>
      <c r="DI179" s="24">
        <f t="shared" si="175"/>
        <v>1.3001767235362396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287.69656598881124</v>
      </c>
      <c r="DU179" s="62">
        <f t="shared" si="152"/>
        <v>221.9773436301067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2.7245206612344664E-21</v>
      </c>
      <c r="ED179" s="24">
        <f t="shared" si="178"/>
        <v>2.7245206612344664E-21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344.36303707479811</v>
      </c>
      <c r="T180" s="62">
        <f t="shared" si="142"/>
        <v>207.92972431357452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553.99999999999966</v>
      </c>
      <c r="AJ180" s="14">
        <f>AI180*VLOOKUP('Données projet'!$B$10,Paramètres!$A$1:$I$89,3,0)*VLOOKUP('Données projet'!$B$10,Paramètres!$A$1:$I$89,5,0)</f>
        <v>259.27199999999988</v>
      </c>
      <c r="AK180" s="14">
        <f t="shared" si="164"/>
        <v>62.567172460757938</v>
      </c>
      <c r="AL180" s="22">
        <f t="shared" si="165"/>
        <v>560.53655870248656</v>
      </c>
      <c r="AM180" s="62">
        <f t="shared" si="113"/>
        <v>853.86989203581993</v>
      </c>
      <c r="AN180" s="62">
        <f ca="1">AVERAGE(OFFSET($AM$3,0,0,'Données projet'!$E$10+1,1))-AVERAGE(OFFSET($H$3,0,0,'Données projet'!$E$10+1,1))</f>
        <v>273.94989417245978</v>
      </c>
      <c r="AO180" s="62">
        <f t="shared" si="144"/>
        <v>244.91615281423549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247.81726778334098</v>
      </c>
      <c r="BJ180" s="62">
        <f t="shared" si="146"/>
        <v>278.55937893537259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1.4513300267633991E-21</v>
      </c>
      <c r="BS180" s="24">
        <f t="shared" si="169"/>
        <v>1.4513300267633991E-21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156.11420010556668</v>
      </c>
      <c r="CE180" s="62">
        <f t="shared" si="148"/>
        <v>318.01952986326501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5.3757778322143377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1.9913718923748998E-20</v>
      </c>
      <c r="CN180" s="24">
        <f t="shared" si="172"/>
        <v>5.3757778322143377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6.3550942286383367E-14</v>
      </c>
      <c r="CV180" s="14">
        <f t="shared" si="173"/>
        <v>1.0064464192543978E-12</v>
      </c>
      <c r="CW180" s="22">
        <f t="shared" si="174"/>
        <v>1.8635787380168604E-12</v>
      </c>
      <c r="CX180" s="62">
        <f t="shared" si="122"/>
        <v>293.33333333333519</v>
      </c>
      <c r="CY180" s="62">
        <f ca="1">AVERAGE(OFFSET($CX$3,0,0,'Données projet'!$E$13+1,1))-AVERAGE(OFFSET($H$3,0,0,'Données projet'!$E$13+1,1))</f>
        <v>321.56347025977988</v>
      </c>
      <c r="CZ180" s="62">
        <f t="shared" si="150"/>
        <v>285.79375360040717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1.0807743592565608</v>
      </c>
      <c r="DG180" s="23">
        <f>EXP(-LN(2)/25)*DG179+(1-EXP(-LN(2)/25))/(LN(2)/25)*Calculateur!DB180*Calculateur!DD180*VLOOKUP('Données projet'!$B$13,Paramètres!$A$1:$I$89,3,0)*0.475*44/12</f>
        <v>0.19237669268263538</v>
      </c>
      <c r="DH180" s="23">
        <f>EXP(-LN(2)/2)*DH179+(1-EXP(-LN(2)/2))/(LN(2)/2)*DB180*DE180*VLOOKUP('Données projet'!$B$13,Paramètres!$A$1:$I$89,3,0)*0.475*44/12</f>
        <v>5.3465301826259609E-22</v>
      </c>
      <c r="DI180" s="24">
        <f t="shared" si="175"/>
        <v>1.2731510519391962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287.69656598881124</v>
      </c>
      <c r="DU180" s="62">
        <f t="shared" si="152"/>
        <v>221.9773436301067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1.9265270350417476E-21</v>
      </c>
      <c r="ED180" s="24">
        <f t="shared" si="178"/>
        <v>1.9265270350417476E-21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344.36303707479811</v>
      </c>
      <c r="T181" s="62">
        <f t="shared" si="142"/>
        <v>207.92972431357452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553.99999999999966</v>
      </c>
      <c r="AJ181" s="14">
        <f>AI181*VLOOKUP('Données projet'!$B$10,Paramètres!$A$1:$I$89,3,0)*VLOOKUP('Données projet'!$B$10,Paramètres!$A$1:$I$89,5,0)</f>
        <v>259.27199999999988</v>
      </c>
      <c r="AK181" s="14">
        <f t="shared" si="164"/>
        <v>62.567172460757938</v>
      </c>
      <c r="AL181" s="22">
        <f t="shared" si="165"/>
        <v>560.53655870248656</v>
      </c>
      <c r="AM181" s="62">
        <f t="shared" si="113"/>
        <v>853.86989203581993</v>
      </c>
      <c r="AN181" s="62">
        <f ca="1">AVERAGE(OFFSET($AM$3,0,0,'Données projet'!$E$10+1,1))-AVERAGE(OFFSET($H$3,0,0,'Données projet'!$E$10+1,1))</f>
        <v>273.94989417245978</v>
      </c>
      <c r="AO181" s="62">
        <f t="shared" si="144"/>
        <v>244.91615281423549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247.81726778334098</v>
      </c>
      <c r="BJ181" s="62">
        <f t="shared" si="146"/>
        <v>278.55937893537259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1.026245303664053E-21</v>
      </c>
      <c r="BS181" s="24">
        <f t="shared" si="169"/>
        <v>1.026245303664053E-21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156.11420010556668</v>
      </c>
      <c r="CE181" s="62">
        <f t="shared" si="148"/>
        <v>318.01952986326501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5.2703621078253278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1.4081125689625793E-20</v>
      </c>
      <c r="CN181" s="24">
        <f t="shared" si="172"/>
        <v>5.2703621078253278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6.3550942286383367E-14</v>
      </c>
      <c r="CV181" s="14">
        <f t="shared" si="173"/>
        <v>1.0064464192543978E-12</v>
      </c>
      <c r="CW181" s="22">
        <f t="shared" si="174"/>
        <v>1.8635787380168604E-12</v>
      </c>
      <c r="CX181" s="62">
        <f t="shared" si="122"/>
        <v>293.33333333333519</v>
      </c>
      <c r="CY181" s="62">
        <f ca="1">AVERAGE(OFFSET($CX$3,0,0,'Données projet'!$E$13+1,1))-AVERAGE(OFFSET($H$3,0,0,'Données projet'!$E$13+1,1))</f>
        <v>321.56347025977988</v>
      </c>
      <c r="CZ181" s="62">
        <f t="shared" si="150"/>
        <v>285.79375360040717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1.0595810332788076</v>
      </c>
      <c r="DG181" s="23">
        <f>EXP(-LN(2)/25)*DG180+(1-EXP(-LN(2)/25))/(LN(2)/25)*Calculateur!DB181*Calculateur!DD181*VLOOKUP('Données projet'!$B$13,Paramètres!$A$1:$I$89,3,0)*0.475*44/12</f>
        <v>0.18711614190457812</v>
      </c>
      <c r="DH181" s="23">
        <f>EXP(-LN(2)/2)*DH180+(1-EXP(-LN(2)/2))/(LN(2)/2)*DB181*DE181*VLOOKUP('Données projet'!$B$13,Paramètres!$A$1:$I$89,3,0)*0.475*44/12</f>
        <v>3.7805677479533674E-22</v>
      </c>
      <c r="DI181" s="24">
        <f t="shared" si="175"/>
        <v>1.2466971751833857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287.69656598881124</v>
      </c>
      <c r="DU181" s="62">
        <f t="shared" si="152"/>
        <v>221.9773436301067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1.3622603306172332E-21</v>
      </c>
      <c r="ED181" s="24">
        <f t="shared" si="178"/>
        <v>1.3622603306172332E-21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344.36303707479811</v>
      </c>
      <c r="T182" s="62">
        <f t="shared" si="142"/>
        <v>207.92972431357452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553.99999999999966</v>
      </c>
      <c r="AJ182" s="14">
        <f>AI182*VLOOKUP('Données projet'!$B$10,Paramètres!$A$1:$I$89,3,0)*VLOOKUP('Données projet'!$B$10,Paramètres!$A$1:$I$89,5,0)</f>
        <v>259.27199999999988</v>
      </c>
      <c r="AK182" s="14">
        <f t="shared" si="164"/>
        <v>62.567172460757938</v>
      </c>
      <c r="AL182" s="22">
        <f t="shared" si="165"/>
        <v>560.53655870248656</v>
      </c>
      <c r="AM182" s="62">
        <f t="shared" si="113"/>
        <v>853.86989203581993</v>
      </c>
      <c r="AN182" s="62">
        <f ca="1">AVERAGE(OFFSET($AM$3,0,0,'Données projet'!$E$10+1,1))-AVERAGE(OFFSET($H$3,0,0,'Données projet'!$E$10+1,1))</f>
        <v>273.94989417245978</v>
      </c>
      <c r="AO182" s="62">
        <f t="shared" si="144"/>
        <v>244.91615281423549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247.81726778334098</v>
      </c>
      <c r="BJ182" s="62">
        <f t="shared" si="146"/>
        <v>278.55937893537259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7.2566501338169953E-22</v>
      </c>
      <c r="BS182" s="24">
        <f t="shared" si="169"/>
        <v>7.2566501338169953E-22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156.11420010556668</v>
      </c>
      <c r="CE182" s="62">
        <f t="shared" si="148"/>
        <v>318.01952986326501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5.1670135214943436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9.9568594618744988E-21</v>
      </c>
      <c r="CN182" s="24">
        <f t="shared" si="172"/>
        <v>5.1670135214943436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6.3550942286383367E-14</v>
      </c>
      <c r="CV182" s="14">
        <f t="shared" si="173"/>
        <v>1.0064464192543978E-12</v>
      </c>
      <c r="CW182" s="22">
        <f t="shared" si="174"/>
        <v>1.8635787380168604E-12</v>
      </c>
      <c r="CX182" s="62">
        <f t="shared" si="122"/>
        <v>293.33333333333519</v>
      </c>
      <c r="CY182" s="62">
        <f ca="1">AVERAGE(OFFSET($CX$3,0,0,'Données projet'!$E$13+1,1))-AVERAGE(OFFSET($H$3,0,0,'Données projet'!$E$13+1,1))</f>
        <v>321.56347025977988</v>
      </c>
      <c r="CZ182" s="62">
        <f t="shared" si="150"/>
        <v>285.79375360040717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1.0388032954968256</v>
      </c>
      <c r="DG182" s="23">
        <f>EXP(-LN(2)/25)*DG181+(1-EXP(-LN(2)/25))/(LN(2)/25)*Calculateur!DB182*Calculateur!DD182*VLOOKUP('Données projet'!$B$13,Paramètres!$A$1:$I$89,3,0)*0.475*44/12</f>
        <v>0.18199944116418718</v>
      </c>
      <c r="DH182" s="23">
        <f>EXP(-LN(2)/2)*DH181+(1-EXP(-LN(2)/2))/(LN(2)/2)*DB182*DE182*VLOOKUP('Données projet'!$B$13,Paramètres!$A$1:$I$89,3,0)*0.475*44/12</f>
        <v>2.6732650913129805E-22</v>
      </c>
      <c r="DI182" s="24">
        <f t="shared" si="175"/>
        <v>1.2208027366610128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287.69656598881124</v>
      </c>
      <c r="DU182" s="62">
        <f t="shared" si="152"/>
        <v>221.9773436301067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9.6326351752087378E-22</v>
      </c>
      <c r="ED182" s="24">
        <f t="shared" si="178"/>
        <v>9.6326351752087378E-22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344.36303707479811</v>
      </c>
      <c r="T183" s="62">
        <f t="shared" si="142"/>
        <v>207.92972431357452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553.99999999999966</v>
      </c>
      <c r="AJ183" s="14">
        <f>AI183*VLOOKUP('Données projet'!$B$10,Paramètres!$A$1:$I$89,3,0)*VLOOKUP('Données projet'!$B$10,Paramètres!$A$1:$I$89,5,0)</f>
        <v>259.27199999999988</v>
      </c>
      <c r="AK183" s="14">
        <f t="shared" si="164"/>
        <v>62.567172460757938</v>
      </c>
      <c r="AL183" s="22">
        <f t="shared" si="165"/>
        <v>560.53655870248656</v>
      </c>
      <c r="AM183" s="62">
        <f t="shared" si="113"/>
        <v>853.86989203581993</v>
      </c>
      <c r="AN183" s="62">
        <f ca="1">AVERAGE(OFFSET($AM$3,0,0,'Données projet'!$E$10+1,1))-AVERAGE(OFFSET($H$3,0,0,'Données projet'!$E$10+1,1))</f>
        <v>273.94989417245978</v>
      </c>
      <c r="AO183" s="62">
        <f t="shared" si="144"/>
        <v>244.91615281423549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247.81726778334098</v>
      </c>
      <c r="BJ183" s="62">
        <f t="shared" si="146"/>
        <v>278.55937893537259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5.1312265183202648E-22</v>
      </c>
      <c r="BS183" s="24">
        <f t="shared" si="169"/>
        <v>5.1312265183202648E-22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156.11420010556668</v>
      </c>
      <c r="CE183" s="62">
        <f t="shared" si="148"/>
        <v>318.01952986326501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5.0656915379048959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7.0405628448128964E-21</v>
      </c>
      <c r="CN183" s="24">
        <f t="shared" si="172"/>
        <v>5.0656915379048959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6.3550942286383367E-14</v>
      </c>
      <c r="CV183" s="14">
        <f t="shared" si="173"/>
        <v>1.0064464192543978E-12</v>
      </c>
      <c r="CW183" s="22">
        <f t="shared" si="174"/>
        <v>1.8635787380168604E-12</v>
      </c>
      <c r="CX183" s="62">
        <f t="shared" si="122"/>
        <v>293.33333333333519</v>
      </c>
      <c r="CY183" s="62">
        <f ca="1">AVERAGE(OFFSET($CX$3,0,0,'Données projet'!$E$13+1,1))-AVERAGE(OFFSET($H$3,0,0,'Données projet'!$E$13+1,1))</f>
        <v>321.56347025977988</v>
      </c>
      <c r="CZ183" s="62">
        <f t="shared" si="150"/>
        <v>285.79375360040717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1.0184329964795795</v>
      </c>
      <c r="DG183" s="23">
        <f>EXP(-LN(2)/25)*DG182+(1-EXP(-LN(2)/25))/(LN(2)/25)*Calculateur!DB183*Calculateur!DD183*VLOOKUP('Données projet'!$B$13,Paramètres!$A$1:$I$89,3,0)*0.475*44/12</f>
        <v>0.17702265687461782</v>
      </c>
      <c r="DH183" s="23">
        <f>EXP(-LN(2)/2)*DH182+(1-EXP(-LN(2)/2))/(LN(2)/2)*DB183*DE183*VLOOKUP('Données projet'!$B$13,Paramètres!$A$1:$I$89,3,0)*0.475*44/12</f>
        <v>1.8902838739766837E-22</v>
      </c>
      <c r="DI183" s="24">
        <f t="shared" si="175"/>
        <v>1.1954556533541973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287.69656598881124</v>
      </c>
      <c r="DU183" s="62">
        <f t="shared" si="152"/>
        <v>221.9773436301067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6.811301653086166E-22</v>
      </c>
      <c r="ED183" s="24">
        <f t="shared" si="178"/>
        <v>6.811301653086166E-22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344.36303707479811</v>
      </c>
      <c r="T184" s="62">
        <f t="shared" si="142"/>
        <v>207.92972431357452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553.99999999999966</v>
      </c>
      <c r="AJ184" s="14">
        <f>AI184*VLOOKUP('Données projet'!$B$10,Paramètres!$A$1:$I$89,3,0)*VLOOKUP('Données projet'!$B$10,Paramètres!$A$1:$I$89,5,0)</f>
        <v>259.27199999999988</v>
      </c>
      <c r="AK184" s="14">
        <f t="shared" si="164"/>
        <v>62.567172460757938</v>
      </c>
      <c r="AL184" s="22">
        <f t="shared" si="165"/>
        <v>560.53655870248656</v>
      </c>
      <c r="AM184" s="62">
        <f t="shared" si="113"/>
        <v>853.86989203581993</v>
      </c>
      <c r="AN184" s="62">
        <f ca="1">AVERAGE(OFFSET($AM$3,0,0,'Données projet'!$E$10+1,1))-AVERAGE(OFFSET($H$3,0,0,'Données projet'!$E$10+1,1))</f>
        <v>273.94989417245978</v>
      </c>
      <c r="AO184" s="62">
        <f t="shared" si="144"/>
        <v>244.91615281423549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247.81726778334098</v>
      </c>
      <c r="BJ184" s="62">
        <f t="shared" si="146"/>
        <v>278.55937893537259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3.6283250669084977E-22</v>
      </c>
      <c r="BS184" s="24">
        <f t="shared" si="169"/>
        <v>3.6283250669084977E-22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156.11420010556668</v>
      </c>
      <c r="CE184" s="62">
        <f t="shared" si="148"/>
        <v>318.01952986326501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4.9663564166133298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4.9784297309372494E-21</v>
      </c>
      <c r="CN184" s="24">
        <f t="shared" si="172"/>
        <v>4.9663564166133298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6.3550942286383367E-14</v>
      </c>
      <c r="CV184" s="14">
        <f t="shared" si="173"/>
        <v>1.0064464192543978E-12</v>
      </c>
      <c r="CW184" s="22">
        <f t="shared" si="174"/>
        <v>1.8635787380168604E-12</v>
      </c>
      <c r="CX184" s="62">
        <f t="shared" si="122"/>
        <v>293.33333333333519</v>
      </c>
      <c r="CY184" s="62">
        <f ca="1">AVERAGE(OFFSET($CX$3,0,0,'Données projet'!$E$13+1,1))-AVERAGE(OFFSET($H$3,0,0,'Données projet'!$E$13+1,1))</f>
        <v>321.56347025977988</v>
      </c>
      <c r="CZ184" s="62">
        <f t="shared" si="150"/>
        <v>285.79375360040717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0.99846214660140609</v>
      </c>
      <c r="DG184" s="23">
        <f>EXP(-LN(2)/25)*DG183+(1-EXP(-LN(2)/25))/(LN(2)/25)*Calculateur!DB184*Calculateur!DD184*VLOOKUP('Données projet'!$B$13,Paramètres!$A$1:$I$89,3,0)*0.475*44/12</f>
        <v>0.17218196301316446</v>
      </c>
      <c r="DH184" s="23">
        <f>EXP(-LN(2)/2)*DH183+(1-EXP(-LN(2)/2))/(LN(2)/2)*DB184*DE184*VLOOKUP('Données projet'!$B$13,Paramètres!$A$1:$I$89,3,0)*0.475*44/12</f>
        <v>1.3366325456564902E-22</v>
      </c>
      <c r="DI184" s="24">
        <f t="shared" si="175"/>
        <v>1.1706441096145705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287.69656598881124</v>
      </c>
      <c r="DU184" s="62">
        <f t="shared" si="152"/>
        <v>221.9773436301067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4.8163175876043689E-22</v>
      </c>
      <c r="ED184" s="24">
        <f t="shared" si="178"/>
        <v>4.8163175876043689E-22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344.36303707479811</v>
      </c>
      <c r="T185" s="62">
        <f t="shared" si="142"/>
        <v>207.92972431357452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553.99999999999966</v>
      </c>
      <c r="AJ185" s="14">
        <f>AI185*VLOOKUP('Données projet'!$B$10,Paramètres!$A$1:$I$89,3,0)*VLOOKUP('Données projet'!$B$10,Paramètres!$A$1:$I$89,5,0)</f>
        <v>259.27199999999988</v>
      </c>
      <c r="AK185" s="14">
        <f t="shared" si="164"/>
        <v>62.567172460757938</v>
      </c>
      <c r="AL185" s="22">
        <f t="shared" si="165"/>
        <v>560.53655870248656</v>
      </c>
      <c r="AM185" s="62">
        <f t="shared" si="113"/>
        <v>853.86989203581993</v>
      </c>
      <c r="AN185" s="62">
        <f ca="1">AVERAGE(OFFSET($AM$3,0,0,'Données projet'!$E$10+1,1))-AVERAGE(OFFSET($H$3,0,0,'Données projet'!$E$10+1,1))</f>
        <v>273.94989417245978</v>
      </c>
      <c r="AO185" s="62">
        <f t="shared" si="144"/>
        <v>244.91615281423549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247.81726778334098</v>
      </c>
      <c r="BJ185" s="62">
        <f t="shared" si="146"/>
        <v>278.55937893537259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2.5656132591601324E-22</v>
      </c>
      <c r="BS185" s="24">
        <f t="shared" si="169"/>
        <v>2.5656132591601324E-22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156.11420010556668</v>
      </c>
      <c r="CE185" s="62">
        <f t="shared" si="148"/>
        <v>318.01952986326501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4.8689691964618502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3.5202814224064482E-21</v>
      </c>
      <c r="CN185" s="24">
        <f t="shared" si="172"/>
        <v>4.8689691964618502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6.3550942286383367E-14</v>
      </c>
      <c r="CV185" s="14">
        <f t="shared" si="173"/>
        <v>1.0064464192543978E-12</v>
      </c>
      <c r="CW185" s="22">
        <f t="shared" si="174"/>
        <v>1.8635787380168604E-12</v>
      </c>
      <c r="CX185" s="62">
        <f t="shared" si="122"/>
        <v>293.33333333333519</v>
      </c>
      <c r="CY185" s="62">
        <f ca="1">AVERAGE(OFFSET($CX$3,0,0,'Données projet'!$E$13+1,1))-AVERAGE(OFFSET($H$3,0,0,'Données projet'!$E$13+1,1))</f>
        <v>321.56347025977988</v>
      </c>
      <c r="CZ185" s="62">
        <f t="shared" si="150"/>
        <v>285.79375360040717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0.97888291290832796</v>
      </c>
      <c r="DG185" s="23">
        <f>EXP(-LN(2)/25)*DG184+(1-EXP(-LN(2)/25))/(LN(2)/25)*Calculateur!DB185*Calculateur!DD185*VLOOKUP('Données projet'!$B$13,Paramètres!$A$1:$I$89,3,0)*0.475*44/12</f>
        <v>0.16747363817991356</v>
      </c>
      <c r="DH185" s="23">
        <f>EXP(-LN(2)/2)*DH184+(1-EXP(-LN(2)/2))/(LN(2)/2)*DB185*DE185*VLOOKUP('Données projet'!$B$13,Paramètres!$A$1:$I$89,3,0)*0.475*44/12</f>
        <v>9.4514193698834184E-23</v>
      </c>
      <c r="DI185" s="24">
        <f t="shared" si="175"/>
        <v>1.1463565510882416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287.69656598881124</v>
      </c>
      <c r="DU185" s="62">
        <f t="shared" si="152"/>
        <v>221.9773436301067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3.405650826543083E-22</v>
      </c>
      <c r="ED185" s="24">
        <f t="shared" si="178"/>
        <v>3.405650826543083E-22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344.36303707479811</v>
      </c>
      <c r="T186" s="62">
        <f t="shared" si="142"/>
        <v>207.92972431357452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553.99999999999966</v>
      </c>
      <c r="AJ186" s="14">
        <f>AI186*VLOOKUP('Données projet'!$B$10,Paramètres!$A$1:$I$89,3,0)*VLOOKUP('Données projet'!$B$10,Paramètres!$A$1:$I$89,5,0)</f>
        <v>259.27199999999988</v>
      </c>
      <c r="AK186" s="14">
        <f t="shared" si="164"/>
        <v>62.567172460757938</v>
      </c>
      <c r="AL186" s="22">
        <f t="shared" si="165"/>
        <v>560.53655870248656</v>
      </c>
      <c r="AM186" s="62">
        <f t="shared" si="113"/>
        <v>853.86989203581993</v>
      </c>
      <c r="AN186" s="62">
        <f ca="1">AVERAGE(OFFSET($AM$3,0,0,'Données projet'!$E$10+1,1))-AVERAGE(OFFSET($H$3,0,0,'Données projet'!$E$10+1,1))</f>
        <v>273.94989417245978</v>
      </c>
      <c r="AO186" s="62">
        <f t="shared" si="144"/>
        <v>244.91615281423549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247.81726778334098</v>
      </c>
      <c r="BJ186" s="62">
        <f t="shared" si="146"/>
        <v>278.55937893537259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1.8141625334542488E-22</v>
      </c>
      <c r="BS186" s="24">
        <f t="shared" si="169"/>
        <v>1.8141625334542488E-22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156.11420010556668</v>
      </c>
      <c r="CE186" s="62">
        <f t="shared" si="148"/>
        <v>318.01952986326501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4.7734916802972016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2.4892148654686247E-21</v>
      </c>
      <c r="CN186" s="24">
        <f t="shared" si="172"/>
        <v>4.7734916802972016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6.3550942286383367E-14</v>
      </c>
      <c r="CV186" s="14">
        <f t="shared" si="173"/>
        <v>1.0064464192543978E-12</v>
      </c>
      <c r="CW186" s="22">
        <f t="shared" si="174"/>
        <v>1.8635787380168604E-12</v>
      </c>
      <c r="CX186" s="62">
        <f t="shared" si="122"/>
        <v>293.33333333333519</v>
      </c>
      <c r="CY186" s="62">
        <f ca="1">AVERAGE(OFFSET($CX$3,0,0,'Données projet'!$E$13+1,1))-AVERAGE(OFFSET($H$3,0,0,'Données projet'!$E$13+1,1))</f>
        <v>321.56347025977988</v>
      </c>
      <c r="CZ186" s="62">
        <f t="shared" si="150"/>
        <v>285.79375360040717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0.95968761604581776</v>
      </c>
      <c r="DG186" s="23">
        <f>EXP(-LN(2)/25)*DG185+(1-EXP(-LN(2)/25))/(LN(2)/25)*Calculateur!DB186*Calculateur!DD186*VLOOKUP('Données projet'!$B$13,Paramètres!$A$1:$I$89,3,0)*0.475*44/12</f>
        <v>0.16289406273682797</v>
      </c>
      <c r="DH186" s="23">
        <f>EXP(-LN(2)/2)*DH185+(1-EXP(-LN(2)/2))/(LN(2)/2)*DB186*DE186*VLOOKUP('Données projet'!$B$13,Paramètres!$A$1:$I$89,3,0)*0.475*44/12</f>
        <v>6.6831627282824511E-23</v>
      </c>
      <c r="DI186" s="24">
        <f t="shared" si="175"/>
        <v>1.1225816787826457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287.69656598881124</v>
      </c>
      <c r="DU186" s="62">
        <f t="shared" si="152"/>
        <v>221.9773436301067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2.4081587938021845E-22</v>
      </c>
      <c r="ED186" s="24">
        <f t="shared" si="178"/>
        <v>2.4081587938021845E-22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344.36303707479811</v>
      </c>
      <c r="T187" s="62">
        <f t="shared" si="142"/>
        <v>207.92972431357452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553.99999999999966</v>
      </c>
      <c r="AJ187" s="14">
        <f>AI187*VLOOKUP('Données projet'!$B$10,Paramètres!$A$1:$I$89,3,0)*VLOOKUP('Données projet'!$B$10,Paramètres!$A$1:$I$89,5,0)</f>
        <v>259.27199999999988</v>
      </c>
      <c r="AK187" s="14">
        <f t="shared" si="164"/>
        <v>62.567172460757938</v>
      </c>
      <c r="AL187" s="22">
        <f t="shared" si="165"/>
        <v>560.53655870248656</v>
      </c>
      <c r="AM187" s="62">
        <f t="shared" si="113"/>
        <v>853.86989203581993</v>
      </c>
      <c r="AN187" s="62">
        <f ca="1">AVERAGE(OFFSET($AM$3,0,0,'Données projet'!$E$10+1,1))-AVERAGE(OFFSET($H$3,0,0,'Données projet'!$E$10+1,1))</f>
        <v>273.94989417245978</v>
      </c>
      <c r="AO187" s="62">
        <f t="shared" si="144"/>
        <v>244.91615281423549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247.81726778334098</v>
      </c>
      <c r="BJ187" s="62">
        <f t="shared" si="146"/>
        <v>278.55937893537259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1.2828066295800662E-22</v>
      </c>
      <c r="BS187" s="24">
        <f t="shared" si="169"/>
        <v>1.2828066295800662E-22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156.11420010556668</v>
      </c>
      <c r="CE187" s="62">
        <f t="shared" si="148"/>
        <v>318.01952986326501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4.6798864199890078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1.7601407112032241E-21</v>
      </c>
      <c r="CN187" s="24">
        <f t="shared" si="172"/>
        <v>4.6798864199890078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6.3550942286383367E-14</v>
      </c>
      <c r="CV187" s="14">
        <f t="shared" si="173"/>
        <v>1.0064464192543978E-12</v>
      </c>
      <c r="CW187" s="22">
        <f t="shared" si="174"/>
        <v>1.8635787380168604E-12</v>
      </c>
      <c r="CX187" s="62">
        <f t="shared" si="122"/>
        <v>293.33333333333519</v>
      </c>
      <c r="CY187" s="62">
        <f ca="1">AVERAGE(OFFSET($CX$3,0,0,'Données projet'!$E$13+1,1))-AVERAGE(OFFSET($H$3,0,0,'Données projet'!$E$13+1,1))</f>
        <v>321.56347025977988</v>
      </c>
      <c r="CZ187" s="62">
        <f t="shared" si="150"/>
        <v>285.79375360040717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0.94086872724680637</v>
      </c>
      <c r="DG187" s="23">
        <f>EXP(-LN(2)/25)*DG186+(1-EXP(-LN(2)/25))/(LN(2)/25)*Calculateur!DB187*Calculateur!DD187*VLOOKUP('Données projet'!$B$13,Paramètres!$A$1:$I$89,3,0)*0.475*44/12</f>
        <v>0.15843971602506293</v>
      </c>
      <c r="DH187" s="23">
        <f>EXP(-LN(2)/2)*DH186+(1-EXP(-LN(2)/2))/(LN(2)/2)*DB187*DE187*VLOOKUP('Données projet'!$B$13,Paramètres!$A$1:$I$89,3,0)*0.475*44/12</f>
        <v>4.7257096849417092E-23</v>
      </c>
      <c r="DI187" s="24">
        <f t="shared" si="175"/>
        <v>1.0993084432718694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287.69656598881124</v>
      </c>
      <c r="DU187" s="62">
        <f t="shared" si="152"/>
        <v>221.9773436301067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1.7028254132715415E-22</v>
      </c>
      <c r="ED187" s="24">
        <f t="shared" si="178"/>
        <v>1.7028254132715415E-22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344.36303707479811</v>
      </c>
      <c r="T188" s="62">
        <f t="shared" si="142"/>
        <v>207.92972431357452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553.99999999999966</v>
      </c>
      <c r="AJ188" s="14">
        <f>AI188*VLOOKUP('Données projet'!$B$10,Paramètres!$A$1:$I$89,3,0)*VLOOKUP('Données projet'!$B$10,Paramètres!$A$1:$I$89,5,0)</f>
        <v>259.27199999999988</v>
      </c>
      <c r="AK188" s="14">
        <f t="shared" si="164"/>
        <v>62.567172460757938</v>
      </c>
      <c r="AL188" s="22">
        <f t="shared" si="165"/>
        <v>560.53655870248656</v>
      </c>
      <c r="AM188" s="62">
        <f t="shared" si="113"/>
        <v>853.86989203581993</v>
      </c>
      <c r="AN188" s="62">
        <f ca="1">AVERAGE(OFFSET($AM$3,0,0,'Données projet'!$E$10+1,1))-AVERAGE(OFFSET($H$3,0,0,'Données projet'!$E$10+1,1))</f>
        <v>273.94989417245978</v>
      </c>
      <c r="AO188" s="62">
        <f t="shared" si="144"/>
        <v>244.91615281423549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247.81726778334098</v>
      </c>
      <c r="BJ188" s="62">
        <f t="shared" si="146"/>
        <v>278.55937893537259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9.0708126672712441E-23</v>
      </c>
      <c r="BS188" s="24">
        <f t="shared" si="169"/>
        <v>9.0708126672712441E-23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156.11420010556668</v>
      </c>
      <c r="CE188" s="62">
        <f t="shared" si="148"/>
        <v>318.01952986326501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4.5881167017418862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1.2446074327343123E-21</v>
      </c>
      <c r="CN188" s="24">
        <f t="shared" si="172"/>
        <v>4.5881167017418862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6.3550942286383367E-14</v>
      </c>
      <c r="CV188" s="14">
        <f t="shared" si="173"/>
        <v>1.0064464192543978E-12</v>
      </c>
      <c r="CW188" s="22">
        <f t="shared" si="174"/>
        <v>1.8635787380168604E-12</v>
      </c>
      <c r="CX188" s="62">
        <f t="shared" si="122"/>
        <v>293.33333333333519</v>
      </c>
      <c r="CY188" s="62">
        <f ca="1">AVERAGE(OFFSET($CX$3,0,0,'Données projet'!$E$13+1,1))-AVERAGE(OFFSET($H$3,0,0,'Données projet'!$E$13+1,1))</f>
        <v>321.56347025977988</v>
      </c>
      <c r="CZ188" s="62">
        <f t="shared" si="150"/>
        <v>285.79375360040717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0.92241886537875484</v>
      </c>
      <c r="DG188" s="23">
        <f>EXP(-LN(2)/25)*DG187+(1-EXP(-LN(2)/25))/(LN(2)/25)*Calculateur!DB188*Calculateur!DD188*VLOOKUP('Données projet'!$B$13,Paramètres!$A$1:$I$89,3,0)*0.475*44/12</f>
        <v>0.15410717365837504</v>
      </c>
      <c r="DH188" s="23">
        <f>EXP(-LN(2)/2)*DH187+(1-EXP(-LN(2)/2))/(LN(2)/2)*DB188*DE188*VLOOKUP('Données projet'!$B$13,Paramètres!$A$1:$I$89,3,0)*0.475*44/12</f>
        <v>3.3415813641412256E-23</v>
      </c>
      <c r="DI188" s="24">
        <f t="shared" si="175"/>
        <v>1.0765260390371298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287.69656598881124</v>
      </c>
      <c r="DU188" s="62">
        <f t="shared" si="152"/>
        <v>221.9773436301067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1.2040793969010922E-22</v>
      </c>
      <c r="ED188" s="24">
        <f t="shared" si="178"/>
        <v>1.2040793969010922E-22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344.36303707479811</v>
      </c>
      <c r="T189" s="62">
        <f t="shared" si="142"/>
        <v>207.92972431357452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553.99999999999966</v>
      </c>
      <c r="AJ189" s="14">
        <f>AI189*VLOOKUP('Données projet'!$B$10,Paramètres!$A$1:$I$89,3,0)*VLOOKUP('Données projet'!$B$10,Paramètres!$A$1:$I$89,5,0)</f>
        <v>259.27199999999988</v>
      </c>
      <c r="AK189" s="14">
        <f t="shared" si="164"/>
        <v>62.567172460757938</v>
      </c>
      <c r="AL189" s="22">
        <f t="shared" si="165"/>
        <v>560.53655870248656</v>
      </c>
      <c r="AM189" s="62">
        <f t="shared" si="113"/>
        <v>853.86989203581993</v>
      </c>
      <c r="AN189" s="62">
        <f ca="1">AVERAGE(OFFSET($AM$3,0,0,'Données projet'!$E$10+1,1))-AVERAGE(OFFSET($H$3,0,0,'Données projet'!$E$10+1,1))</f>
        <v>273.94989417245978</v>
      </c>
      <c r="AO189" s="62">
        <f t="shared" si="144"/>
        <v>244.91615281423549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247.81726778334098</v>
      </c>
      <c r="BJ189" s="62">
        <f t="shared" si="146"/>
        <v>278.55937893537259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6.414033147900331E-23</v>
      </c>
      <c r="BS189" s="24">
        <f t="shared" si="169"/>
        <v>6.414033147900331E-23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156.11420010556668</v>
      </c>
      <c r="CE189" s="62">
        <f t="shared" si="148"/>
        <v>318.01952986326501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4.4981465316955891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8.8007035560161205E-22</v>
      </c>
      <c r="CN189" s="24">
        <f t="shared" si="172"/>
        <v>4.4981465316955891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6.3550942286383367E-14</v>
      </c>
      <c r="CV189" s="14">
        <f t="shared" si="173"/>
        <v>1.0064464192543978E-12</v>
      </c>
      <c r="CW189" s="22">
        <f t="shared" si="174"/>
        <v>1.8635787380168604E-12</v>
      </c>
      <c r="CX189" s="62">
        <f t="shared" si="122"/>
        <v>293.33333333333519</v>
      </c>
      <c r="CY189" s="62">
        <f ca="1">AVERAGE(OFFSET($CX$3,0,0,'Données projet'!$E$13+1,1))-AVERAGE(OFFSET($H$3,0,0,'Données projet'!$E$13+1,1))</f>
        <v>321.56347025977988</v>
      </c>
      <c r="CZ189" s="62">
        <f t="shared" si="150"/>
        <v>285.79375360040717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0.90433079404863126</v>
      </c>
      <c r="DG189" s="23">
        <f>EXP(-LN(2)/25)*DG188+(1-EXP(-LN(2)/25))/(LN(2)/25)*Calculateur!DB189*Calculateur!DD189*VLOOKUP('Données projet'!$B$13,Paramètres!$A$1:$I$89,3,0)*0.475*44/12</f>
        <v>0.14989310489054272</v>
      </c>
      <c r="DH189" s="23">
        <f>EXP(-LN(2)/2)*DH188+(1-EXP(-LN(2)/2))/(LN(2)/2)*DB189*DE189*VLOOKUP('Données projet'!$B$13,Paramètres!$A$1:$I$89,3,0)*0.475*44/12</f>
        <v>2.3628548424708546E-23</v>
      </c>
      <c r="DI189" s="24">
        <f t="shared" si="175"/>
        <v>1.0542238989391739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287.69656598881124</v>
      </c>
      <c r="DU189" s="62">
        <f t="shared" si="152"/>
        <v>221.9773436301067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8.5141270663577075E-23</v>
      </c>
      <c r="ED189" s="24">
        <f t="shared" si="178"/>
        <v>8.5141270663577075E-23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344.36303707479811</v>
      </c>
      <c r="T190" s="62">
        <f t="shared" si="142"/>
        <v>207.92972431357452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553.99999999999966</v>
      </c>
      <c r="AJ190" s="14">
        <f>AI190*VLOOKUP('Données projet'!$B$10,Paramètres!$A$1:$I$89,3,0)*VLOOKUP('Données projet'!$B$10,Paramètres!$A$1:$I$89,5,0)</f>
        <v>259.27199999999988</v>
      </c>
      <c r="AK190" s="14">
        <f t="shared" si="164"/>
        <v>62.567172460757938</v>
      </c>
      <c r="AL190" s="22">
        <f t="shared" si="165"/>
        <v>560.53655870248656</v>
      </c>
      <c r="AM190" s="62">
        <f t="shared" si="113"/>
        <v>853.86989203581993</v>
      </c>
      <c r="AN190" s="62">
        <f ca="1">AVERAGE(OFFSET($AM$3,0,0,'Données projet'!$E$10+1,1))-AVERAGE(OFFSET($H$3,0,0,'Données projet'!$E$10+1,1))</f>
        <v>273.94989417245978</v>
      </c>
      <c r="AO190" s="62">
        <f t="shared" si="144"/>
        <v>244.91615281423549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247.81726778334098</v>
      </c>
      <c r="BJ190" s="62">
        <f t="shared" si="146"/>
        <v>278.55937893537259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4.5354063336356221E-23</v>
      </c>
      <c r="BS190" s="24">
        <f t="shared" si="169"/>
        <v>4.5354063336356221E-23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156.11420010556668</v>
      </c>
      <c r="CE190" s="62">
        <f t="shared" si="148"/>
        <v>318.01952986326501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4.4099406218075154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6.2230371636715617E-22</v>
      </c>
      <c r="CN190" s="24">
        <f t="shared" si="172"/>
        <v>4.4099406218075154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6.3550942286383367E-14</v>
      </c>
      <c r="CV190" s="14">
        <f t="shared" si="173"/>
        <v>1.0064464192543978E-12</v>
      </c>
      <c r="CW190" s="22">
        <f t="shared" si="174"/>
        <v>1.8635787380168604E-12</v>
      </c>
      <c r="CX190" s="62">
        <f t="shared" si="122"/>
        <v>293.33333333333519</v>
      </c>
      <c r="CY190" s="62">
        <f ca="1">AVERAGE(OFFSET($CX$3,0,0,'Données projet'!$E$13+1,1))-AVERAGE(OFFSET($H$3,0,0,'Données projet'!$E$13+1,1))</f>
        <v>321.56347025977988</v>
      </c>
      <c r="CZ190" s="62">
        <f t="shared" si="150"/>
        <v>285.79375360040717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0.88659741876465725</v>
      </c>
      <c r="DG190" s="23">
        <f>EXP(-LN(2)/25)*DG189+(1-EXP(-LN(2)/25))/(LN(2)/25)*Calculateur!DB190*Calculateur!DD190*VLOOKUP('Données projet'!$B$13,Paramètres!$A$1:$I$89,3,0)*0.475*44/12</f>
        <v>0.14579427005477502</v>
      </c>
      <c r="DH190" s="23">
        <f>EXP(-LN(2)/2)*DH189+(1-EXP(-LN(2)/2))/(LN(2)/2)*DB190*DE190*VLOOKUP('Données projet'!$B$13,Paramètres!$A$1:$I$89,3,0)*0.475*44/12</f>
        <v>1.6707906820706128E-23</v>
      </c>
      <c r="DI190" s="24">
        <f t="shared" si="175"/>
        <v>1.0323916888194322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287.69656598881124</v>
      </c>
      <c r="DU190" s="62">
        <f t="shared" si="152"/>
        <v>221.9773436301067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6.0203969845054611E-23</v>
      </c>
      <c r="ED190" s="24">
        <f t="shared" si="178"/>
        <v>6.0203969845054611E-23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344.36303707479811</v>
      </c>
      <c r="T191" s="62">
        <f t="shared" si="142"/>
        <v>207.92972431357452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553.99999999999966</v>
      </c>
      <c r="AJ191" s="14">
        <f>AI191*VLOOKUP('Données projet'!$B$10,Paramètres!$A$1:$I$89,3,0)*VLOOKUP('Données projet'!$B$10,Paramètres!$A$1:$I$89,5,0)</f>
        <v>259.27199999999988</v>
      </c>
      <c r="AK191" s="14">
        <f t="shared" si="164"/>
        <v>62.567172460757938</v>
      </c>
      <c r="AL191" s="22">
        <f t="shared" si="165"/>
        <v>560.53655870248656</v>
      </c>
      <c r="AM191" s="62">
        <f t="shared" si="113"/>
        <v>853.86989203581993</v>
      </c>
      <c r="AN191" s="62">
        <f ca="1">AVERAGE(OFFSET($AM$3,0,0,'Données projet'!$E$10+1,1))-AVERAGE(OFFSET($H$3,0,0,'Données projet'!$E$10+1,1))</f>
        <v>273.94989417245978</v>
      </c>
      <c r="AO191" s="62">
        <f t="shared" si="144"/>
        <v>244.91615281423549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247.81726778334098</v>
      </c>
      <c r="BJ191" s="62">
        <f t="shared" si="146"/>
        <v>278.55937893537259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3.2070165739501655E-23</v>
      </c>
      <c r="BS191" s="24">
        <f t="shared" si="169"/>
        <v>3.2070165739501655E-23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156.11420010556668</v>
      </c>
      <c r="CE191" s="62">
        <f t="shared" si="148"/>
        <v>318.01952986326501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4.3234643760120539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4.4003517780080603E-22</v>
      </c>
      <c r="CN191" s="24">
        <f t="shared" si="172"/>
        <v>4.3234643760120539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6.3550942286383367E-14</v>
      </c>
      <c r="CV191" s="14">
        <f t="shared" si="173"/>
        <v>1.0064464192543978E-12</v>
      </c>
      <c r="CW191" s="22">
        <f t="shared" si="174"/>
        <v>1.8635787380168604E-12</v>
      </c>
      <c r="CX191" s="62">
        <f t="shared" si="122"/>
        <v>293.33333333333519</v>
      </c>
      <c r="CY191" s="62">
        <f ca="1">AVERAGE(OFFSET($CX$3,0,0,'Données projet'!$E$13+1,1))-AVERAGE(OFFSET($H$3,0,0,'Données projet'!$E$13+1,1))</f>
        <v>321.56347025977988</v>
      </c>
      <c r="CZ191" s="62">
        <f t="shared" si="150"/>
        <v>285.79375360040717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0.86921178415371103</v>
      </c>
      <c r="DG191" s="23">
        <f>EXP(-LN(2)/25)*DG190+(1-EXP(-LN(2)/25))/(LN(2)/25)*Calculateur!DB191*Calculateur!DD191*VLOOKUP('Données projet'!$B$13,Paramètres!$A$1:$I$89,3,0)*0.475*44/12</f>
        <v>0.14180751807313977</v>
      </c>
      <c r="DH191" s="23">
        <f>EXP(-LN(2)/2)*DH190+(1-EXP(-LN(2)/2))/(LN(2)/2)*DB191*DE191*VLOOKUP('Données projet'!$B$13,Paramètres!$A$1:$I$89,3,0)*0.475*44/12</f>
        <v>1.1814274212354273E-23</v>
      </c>
      <c r="DI191" s="24">
        <f t="shared" si="175"/>
        <v>1.0110193022268508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287.69656598881124</v>
      </c>
      <c r="DU191" s="62">
        <f t="shared" si="152"/>
        <v>221.9773436301067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4.2570635331788537E-23</v>
      </c>
      <c r="ED191" s="24">
        <f t="shared" si="178"/>
        <v>4.2570635331788537E-23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344.36303707479811</v>
      </c>
      <c r="T192" s="62">
        <f t="shared" si="142"/>
        <v>207.92972431357452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553.99999999999966</v>
      </c>
      <c r="AJ192" s="14">
        <f>AI192*VLOOKUP('Données projet'!$B$10,Paramètres!$A$1:$I$89,3,0)*VLOOKUP('Données projet'!$B$10,Paramètres!$A$1:$I$89,5,0)</f>
        <v>259.27199999999988</v>
      </c>
      <c r="AK192" s="14">
        <f t="shared" si="164"/>
        <v>62.567172460757938</v>
      </c>
      <c r="AL192" s="22">
        <f t="shared" si="165"/>
        <v>560.53655870248656</v>
      </c>
      <c r="AM192" s="62">
        <f t="shared" si="113"/>
        <v>853.86989203581993</v>
      </c>
      <c r="AN192" s="62">
        <f ca="1">AVERAGE(OFFSET($AM$3,0,0,'Données projet'!$E$10+1,1))-AVERAGE(OFFSET($H$3,0,0,'Données projet'!$E$10+1,1))</f>
        <v>273.94989417245978</v>
      </c>
      <c r="AO192" s="62">
        <f t="shared" si="144"/>
        <v>244.91615281423549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247.81726778334098</v>
      </c>
      <c r="BJ192" s="62">
        <f t="shared" si="146"/>
        <v>278.55937893537259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2.267703166817811E-23</v>
      </c>
      <c r="BS192" s="24">
        <f t="shared" si="169"/>
        <v>2.267703166817811E-23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156.11420010556668</v>
      </c>
      <c r="CE192" s="62">
        <f t="shared" si="148"/>
        <v>318.01952986326501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4.2386838766513399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3.1115185818357809E-22</v>
      </c>
      <c r="CN192" s="24">
        <f t="shared" si="172"/>
        <v>4.2386838766513399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6.3550942286383367E-14</v>
      </c>
      <c r="CV192" s="14">
        <f t="shared" si="173"/>
        <v>1.0064464192543978E-12</v>
      </c>
      <c r="CW192" s="22">
        <f t="shared" si="174"/>
        <v>1.8635787380168604E-12</v>
      </c>
      <c r="CX192" s="62">
        <f t="shared" si="122"/>
        <v>293.33333333333519</v>
      </c>
      <c r="CY192" s="62">
        <f ca="1">AVERAGE(OFFSET($CX$3,0,0,'Données projet'!$E$13+1,1))-AVERAGE(OFFSET($H$3,0,0,'Données projet'!$E$13+1,1))</f>
        <v>321.56347025977988</v>
      </c>
      <c r="CZ192" s="62">
        <f t="shared" si="150"/>
        <v>285.79375360040717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0.85216707123329549</v>
      </c>
      <c r="DG192" s="23">
        <f>EXP(-LN(2)/25)*DG191+(1-EXP(-LN(2)/25))/(LN(2)/25)*Calculateur!DB192*Calculateur!DD192*VLOOKUP('Données projet'!$B$13,Paramètres!$A$1:$I$89,3,0)*0.475*44/12</f>
        <v>0.13792978403409648</v>
      </c>
      <c r="DH192" s="23">
        <f>EXP(-LN(2)/2)*DH191+(1-EXP(-LN(2)/2))/(LN(2)/2)*DB192*DE192*VLOOKUP('Données projet'!$B$13,Paramètres!$A$1:$I$89,3,0)*0.475*44/12</f>
        <v>8.3539534103530639E-24</v>
      </c>
      <c r="DI192" s="24">
        <f t="shared" si="175"/>
        <v>0.990096855267392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287.69656598881124</v>
      </c>
      <c r="DU192" s="62">
        <f t="shared" si="152"/>
        <v>221.9773436301067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3.0101984922527306E-23</v>
      </c>
      <c r="ED192" s="24">
        <f t="shared" si="178"/>
        <v>3.0101984922527306E-23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344.36303707479811</v>
      </c>
      <c r="T193" s="62">
        <f t="shared" si="142"/>
        <v>207.92972431357452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553.99999999999966</v>
      </c>
      <c r="AJ193" s="14">
        <f>AI193*VLOOKUP('Données projet'!$B$10,Paramètres!$A$1:$I$89,3,0)*VLOOKUP('Données projet'!$B$10,Paramètres!$A$1:$I$89,5,0)</f>
        <v>259.27199999999988</v>
      </c>
      <c r="AK193" s="14">
        <f t="shared" si="164"/>
        <v>62.567172460757938</v>
      </c>
      <c r="AL193" s="22">
        <f t="shared" si="165"/>
        <v>560.53655870248656</v>
      </c>
      <c r="AM193" s="62">
        <f t="shared" si="113"/>
        <v>853.86989203581993</v>
      </c>
      <c r="AN193" s="62">
        <f ca="1">AVERAGE(OFFSET($AM$3,0,0,'Données projet'!$E$10+1,1))-AVERAGE(OFFSET($H$3,0,0,'Données projet'!$E$10+1,1))</f>
        <v>273.94989417245978</v>
      </c>
      <c r="AO193" s="62">
        <f t="shared" si="144"/>
        <v>244.91615281423549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247.81726778334098</v>
      </c>
      <c r="BJ193" s="62">
        <f t="shared" si="146"/>
        <v>278.55937893537259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1.6035082869750828E-23</v>
      </c>
      <c r="BS193" s="24">
        <f t="shared" si="169"/>
        <v>1.6035082869750828E-23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156.11420010556668</v>
      </c>
      <c r="CE193" s="62">
        <f t="shared" si="148"/>
        <v>318.01952986326501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4.1555658711720902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2.2001758890040301E-22</v>
      </c>
      <c r="CN193" s="24">
        <f t="shared" si="172"/>
        <v>4.1555658711720902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6.3550942286383367E-14</v>
      </c>
      <c r="CV193" s="14">
        <f t="shared" si="173"/>
        <v>1.0064464192543978E-12</v>
      </c>
      <c r="CW193" s="22">
        <f t="shared" si="174"/>
        <v>1.8635787380168604E-12</v>
      </c>
      <c r="CX193" s="62">
        <f t="shared" si="122"/>
        <v>293.33333333333519</v>
      </c>
      <c r="CY193" s="62">
        <f ca="1">AVERAGE(OFFSET($CX$3,0,0,'Données projet'!$E$13+1,1))-AVERAGE(OFFSET($H$3,0,0,'Données projet'!$E$13+1,1))</f>
        <v>321.56347025977988</v>
      </c>
      <c r="CZ193" s="62">
        <f t="shared" si="150"/>
        <v>285.79375360040717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0.83545659473700096</v>
      </c>
      <c r="DG193" s="23">
        <f>EXP(-LN(2)/25)*DG192+(1-EXP(-LN(2)/25))/(LN(2)/25)*Calculateur!DB193*Calculateur!DD193*VLOOKUP('Données projet'!$B$13,Paramètres!$A$1:$I$89,3,0)*0.475*44/12</f>
        <v>0.13415808683627201</v>
      </c>
      <c r="DH193" s="23">
        <f>EXP(-LN(2)/2)*DH192+(1-EXP(-LN(2)/2))/(LN(2)/2)*DB193*DE193*VLOOKUP('Données projet'!$B$13,Paramètres!$A$1:$I$89,3,0)*0.475*44/12</f>
        <v>5.9071371061771365E-24</v>
      </c>
      <c r="DI193" s="24">
        <f t="shared" si="175"/>
        <v>0.96961468157327291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287.69656598881124</v>
      </c>
      <c r="DU193" s="62">
        <f t="shared" si="152"/>
        <v>221.9773436301067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2.1285317665894269E-23</v>
      </c>
      <c r="ED193" s="24">
        <f t="shared" si="178"/>
        <v>2.1285317665894269E-23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344.36303707479811</v>
      </c>
      <c r="T194" s="62">
        <f t="shared" si="142"/>
        <v>207.92972431357452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553.99999999999966</v>
      </c>
      <c r="AJ194" s="14">
        <f>AI194*VLOOKUP('Données projet'!$B$10,Paramètres!$A$1:$I$89,3,0)*VLOOKUP('Données projet'!$B$10,Paramètres!$A$1:$I$89,5,0)</f>
        <v>259.27199999999988</v>
      </c>
      <c r="AK194" s="14">
        <f t="shared" si="164"/>
        <v>62.567172460757938</v>
      </c>
      <c r="AL194" s="22">
        <f t="shared" si="165"/>
        <v>560.53655870248656</v>
      </c>
      <c r="AM194" s="62">
        <f t="shared" si="113"/>
        <v>853.86989203581993</v>
      </c>
      <c r="AN194" s="62">
        <f ca="1">AVERAGE(OFFSET($AM$3,0,0,'Données projet'!$E$10+1,1))-AVERAGE(OFFSET($H$3,0,0,'Données projet'!$E$10+1,1))</f>
        <v>273.94989417245978</v>
      </c>
      <c r="AO194" s="62">
        <f t="shared" si="144"/>
        <v>244.91615281423549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247.81726778334098</v>
      </c>
      <c r="BJ194" s="62">
        <f t="shared" si="146"/>
        <v>278.55937893537259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1.1338515834089055E-23</v>
      </c>
      <c r="BS194" s="24">
        <f t="shared" si="169"/>
        <v>1.1338515834089055E-23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156.11420010556668</v>
      </c>
      <c r="CE194" s="62">
        <f t="shared" si="148"/>
        <v>318.01952986326501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4.0740777590833117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1.5557592909178904E-22</v>
      </c>
      <c r="CN194" s="24">
        <f t="shared" si="172"/>
        <v>4.0740777590833117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6.3550942286383367E-14</v>
      </c>
      <c r="CV194" s="14">
        <f t="shared" si="173"/>
        <v>1.0064464192543978E-12</v>
      </c>
      <c r="CW194" s="22">
        <f t="shared" si="174"/>
        <v>1.8635787380168604E-12</v>
      </c>
      <c r="CX194" s="62">
        <f t="shared" si="122"/>
        <v>293.33333333333519</v>
      </c>
      <c r="CY194" s="62">
        <f ca="1">AVERAGE(OFFSET($CX$3,0,0,'Données projet'!$E$13+1,1))-AVERAGE(OFFSET($H$3,0,0,'Données projet'!$E$13+1,1))</f>
        <v>321.56347025977988</v>
      </c>
      <c r="CZ194" s="62">
        <f t="shared" si="150"/>
        <v>285.79375360040717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0.81907380049241452</v>
      </c>
      <c r="DG194" s="23">
        <f>EXP(-LN(2)/25)*DG193+(1-EXP(-LN(2)/25))/(LN(2)/25)*Calculateur!DB194*Calculateur!DD194*VLOOKUP('Données projet'!$B$13,Paramètres!$A$1:$I$89,3,0)*0.475*44/12</f>
        <v>0.13048952689666699</v>
      </c>
      <c r="DH194" s="23">
        <f>EXP(-LN(2)/2)*DH193+(1-EXP(-LN(2)/2))/(LN(2)/2)*DB194*DE194*VLOOKUP('Données projet'!$B$13,Paramètres!$A$1:$I$89,3,0)*0.475*44/12</f>
        <v>4.176976705176532E-24</v>
      </c>
      <c r="DI194" s="24">
        <f t="shared" si="175"/>
        <v>0.94956332738908156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287.69656598881124</v>
      </c>
      <c r="DU194" s="62">
        <f t="shared" si="152"/>
        <v>221.9773436301067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1.5050992461263653E-23</v>
      </c>
      <c r="ED194" s="24">
        <f t="shared" si="178"/>
        <v>1.5050992461263653E-23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344.36303707479811</v>
      </c>
      <c r="T195" s="62">
        <f t="shared" si="142"/>
        <v>207.92972431357452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553.99999999999966</v>
      </c>
      <c r="AJ195" s="14">
        <f>AI195*VLOOKUP('Données projet'!$B$10,Paramètres!$A$1:$I$89,3,0)*VLOOKUP('Données projet'!$B$10,Paramètres!$A$1:$I$89,5,0)</f>
        <v>259.27199999999988</v>
      </c>
      <c r="AK195" s="14">
        <f t="shared" si="164"/>
        <v>62.567172460757938</v>
      </c>
      <c r="AL195" s="22">
        <f t="shared" si="165"/>
        <v>560.53655870248656</v>
      </c>
      <c r="AM195" s="62">
        <f t="shared" si="113"/>
        <v>853.86989203581993</v>
      </c>
      <c r="AN195" s="62">
        <f ca="1">AVERAGE(OFFSET($AM$3,0,0,'Données projet'!$E$10+1,1))-AVERAGE(OFFSET($H$3,0,0,'Données projet'!$E$10+1,1))</f>
        <v>273.94989417245978</v>
      </c>
      <c r="AO195" s="62">
        <f t="shared" si="144"/>
        <v>244.91615281423549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247.81726778334098</v>
      </c>
      <c r="BJ195" s="62">
        <f t="shared" si="146"/>
        <v>278.55937893537259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8.0175414348754138E-24</v>
      </c>
      <c r="BS195" s="24">
        <f t="shared" si="169"/>
        <v>8.0175414348754138E-24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156.11420010556668</v>
      </c>
      <c r="CE195" s="62">
        <f t="shared" si="148"/>
        <v>318.01952986326501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3.9941875791697532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1.1000879445020151E-22</v>
      </c>
      <c r="CN195" s="24">
        <f t="shared" si="172"/>
        <v>3.9941875791697532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6.3550942286383367E-14</v>
      </c>
      <c r="CV195" s="14">
        <f t="shared" si="173"/>
        <v>1.0064464192543978E-12</v>
      </c>
      <c r="CW195" s="22">
        <f t="shared" si="174"/>
        <v>1.8635787380168604E-12</v>
      </c>
      <c r="CX195" s="62">
        <f t="shared" si="122"/>
        <v>293.33333333333519</v>
      </c>
      <c r="CY195" s="62">
        <f ca="1">AVERAGE(OFFSET($CX$3,0,0,'Données projet'!$E$13+1,1))-AVERAGE(OFFSET($H$3,0,0,'Données projet'!$E$13+1,1))</f>
        <v>321.56347025977988</v>
      </c>
      <c r="CZ195" s="62">
        <f t="shared" si="150"/>
        <v>285.79375360040717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0.80301226285044658</v>
      </c>
      <c r="DG195" s="23">
        <f>EXP(-LN(2)/25)*DG194+(1-EXP(-LN(2)/25))/(LN(2)/25)*Calculateur!DB195*Calculateur!DD195*VLOOKUP('Données projet'!$B$13,Paramètres!$A$1:$I$89,3,0)*0.475*44/12</f>
        <v>0.12692128392153165</v>
      </c>
      <c r="DH195" s="23">
        <f>EXP(-LN(2)/2)*DH194+(1-EXP(-LN(2)/2))/(LN(2)/2)*DB195*DE195*VLOOKUP('Données projet'!$B$13,Paramètres!$A$1:$I$89,3,0)*0.475*44/12</f>
        <v>2.9535685530885683E-24</v>
      </c>
      <c r="DI195" s="24">
        <f t="shared" si="175"/>
        <v>0.92993354677197826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287.69656598881124</v>
      </c>
      <c r="DU195" s="62">
        <f t="shared" si="152"/>
        <v>221.9773436301067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1.0642658832947134E-23</v>
      </c>
      <c r="ED195" s="24">
        <f t="shared" si="178"/>
        <v>1.0642658832947134E-23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344.36303707479811</v>
      </c>
      <c r="T196" s="62">
        <f t="shared" si="142"/>
        <v>207.92972431357452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553.99999999999966</v>
      </c>
      <c r="AJ196" s="14">
        <f>AI196*VLOOKUP('Données projet'!$B$10,Paramètres!$A$1:$I$89,3,0)*VLOOKUP('Données projet'!$B$10,Paramètres!$A$1:$I$89,5,0)</f>
        <v>259.27199999999988</v>
      </c>
      <c r="AK196" s="14">
        <f t="shared" si="164"/>
        <v>62.567172460757938</v>
      </c>
      <c r="AL196" s="22">
        <f t="shared" si="165"/>
        <v>560.53655870248656</v>
      </c>
      <c r="AM196" s="62">
        <f t="shared" ref="AM196:AM203" si="193">AL196+(AD196+AE196)*44/12</f>
        <v>853.86989203581993</v>
      </c>
      <c r="AN196" s="62">
        <f ca="1">AVERAGE(OFFSET($AM$3,0,0,'Données projet'!$E$10+1,1))-AVERAGE(OFFSET($H$3,0,0,'Données projet'!$E$10+1,1))</f>
        <v>273.94989417245978</v>
      </c>
      <c r="AO196" s="62">
        <f t="shared" si="144"/>
        <v>244.91615281423549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247.81726778334098</v>
      </c>
      <c r="BJ196" s="62">
        <f t="shared" si="146"/>
        <v>278.55937893537259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5.6692579170445276E-24</v>
      </c>
      <c r="BS196" s="24">
        <f t="shared" si="169"/>
        <v>5.6692579170445276E-24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156.11420010556668</v>
      </c>
      <c r="CE196" s="62">
        <f t="shared" si="148"/>
        <v>318.01952986326501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3.9158639969561015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7.7787964545894522E-23</v>
      </c>
      <c r="CN196" s="24">
        <f t="shared" si="172"/>
        <v>3.9158639969561015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6.3550942286383367E-14</v>
      </c>
      <c r="CV196" s="14">
        <f t="shared" si="173"/>
        <v>1.0064464192543978E-12</v>
      </c>
      <c r="CW196" s="22">
        <f t="shared" si="174"/>
        <v>1.8635787380168604E-12</v>
      </c>
      <c r="CX196" s="62">
        <f t="shared" ref="CX196:CX203" si="196">CW196+(CO196+CP196)*44/12</f>
        <v>293.33333333333519</v>
      </c>
      <c r="CY196" s="62">
        <f ca="1">AVERAGE(OFFSET($CX$3,0,0,'Données projet'!$E$13+1,1))-AVERAGE(OFFSET($H$3,0,0,'Données projet'!$E$13+1,1))</f>
        <v>321.56347025977988</v>
      </c>
      <c r="CZ196" s="62">
        <f t="shared" si="150"/>
        <v>285.79375360040717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0.78726568216506698</v>
      </c>
      <c r="DG196" s="23">
        <f>EXP(-LN(2)/25)*DG195+(1-EXP(-LN(2)/25))/(LN(2)/25)*Calculateur!DB196*Calculateur!DD196*VLOOKUP('Données projet'!$B$13,Paramètres!$A$1:$I$89,3,0)*0.475*44/12</f>
        <v>0.12345061473819713</v>
      </c>
      <c r="DH196" s="23">
        <f>EXP(-LN(2)/2)*DH195+(1-EXP(-LN(2)/2))/(LN(2)/2)*DB196*DE196*VLOOKUP('Données projet'!$B$13,Paramètres!$A$1:$I$89,3,0)*0.475*44/12</f>
        <v>2.088488352588266E-24</v>
      </c>
      <c r="DI196" s="24">
        <f t="shared" si="175"/>
        <v>0.91071629690326406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287.69656598881124</v>
      </c>
      <c r="DU196" s="62">
        <f t="shared" si="152"/>
        <v>221.9773436301067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7.5254962306318264E-24</v>
      </c>
      <c r="ED196" s="24">
        <f t="shared" si="178"/>
        <v>7.5254962306318264E-24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344.36303707479811</v>
      </c>
      <c r="T197" s="62">
        <f t="shared" ref="T197:T203" si="204">$T$3</f>
        <v>207.92972431357452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553.99999999999966</v>
      </c>
      <c r="AJ197" s="14">
        <f>AI197*VLOOKUP('Données projet'!$B$10,Paramètres!$A$1:$I$89,3,0)*VLOOKUP('Données projet'!$B$10,Paramètres!$A$1:$I$89,5,0)</f>
        <v>259.27199999999988</v>
      </c>
      <c r="AK197" s="14">
        <f t="shared" si="164"/>
        <v>62.567172460757938</v>
      </c>
      <c r="AL197" s="22">
        <f t="shared" si="165"/>
        <v>560.53655870248656</v>
      </c>
      <c r="AM197" s="62">
        <f t="shared" si="193"/>
        <v>853.86989203581993</v>
      </c>
      <c r="AN197" s="62">
        <f ca="1">AVERAGE(OFFSET($AM$3,0,0,'Données projet'!$E$10+1,1))-AVERAGE(OFFSET($H$3,0,0,'Données projet'!$E$10+1,1))</f>
        <v>273.94989417245978</v>
      </c>
      <c r="AO197" s="62">
        <f t="shared" ref="AO197:AO203" si="205">$AO$3</f>
        <v>244.91615281423549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247.81726778334098</v>
      </c>
      <c r="BJ197" s="62">
        <f t="shared" ref="BJ197:BJ203" si="206">$BJ$3</f>
        <v>278.55937893537259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4.0087707174377069E-24</v>
      </c>
      <c r="BS197" s="24">
        <f t="shared" si="169"/>
        <v>4.0087707174377069E-24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156.11420010556668</v>
      </c>
      <c r="CE197" s="62">
        <f t="shared" ref="CE197:CE203" si="207">$CE$3</f>
        <v>318.01952986326501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3.8390762924169914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5.5004397225100753E-23</v>
      </c>
      <c r="CN197" s="24">
        <f t="shared" si="172"/>
        <v>3.8390762924169914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6.3550942286383367E-14</v>
      </c>
      <c r="CV197" s="14">
        <f t="shared" si="173"/>
        <v>1.0064464192543978E-12</v>
      </c>
      <c r="CW197" s="22">
        <f t="shared" si="174"/>
        <v>1.8635787380168604E-12</v>
      </c>
      <c r="CX197" s="62">
        <f t="shared" si="196"/>
        <v>293.33333333333519</v>
      </c>
      <c r="CY197" s="62">
        <f ca="1">AVERAGE(OFFSET($CX$3,0,0,'Données projet'!$E$13+1,1))-AVERAGE(OFFSET($H$3,0,0,'Données projet'!$E$13+1,1))</f>
        <v>321.56347025977988</v>
      </c>
      <c r="CZ197" s="62">
        <f t="shared" ref="CZ197:CZ203" si="208">$CZ$3</f>
        <v>285.79375360040717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0.7718278823224618</v>
      </c>
      <c r="DG197" s="23">
        <f>EXP(-LN(2)/25)*DG196+(1-EXP(-LN(2)/25))/(LN(2)/25)*Calculateur!DB197*Calculateur!DD197*VLOOKUP('Données projet'!$B$13,Paramètres!$A$1:$I$89,3,0)*0.475*44/12</f>
        <v>0.12007485118619544</v>
      </c>
      <c r="DH197" s="23">
        <f>EXP(-LN(2)/2)*DH196+(1-EXP(-LN(2)/2))/(LN(2)/2)*DB197*DE197*VLOOKUP('Données projet'!$B$13,Paramètres!$A$1:$I$89,3,0)*0.475*44/12</f>
        <v>1.4767842765442841E-24</v>
      </c>
      <c r="DI197" s="24">
        <f t="shared" si="175"/>
        <v>0.89190273350865723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287.69656598881124</v>
      </c>
      <c r="DU197" s="62">
        <f t="shared" ref="DU197:DU203" si="209">$DU$3</f>
        <v>221.9773436301067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5.3213294164735672E-24</v>
      </c>
      <c r="ED197" s="24">
        <f t="shared" si="178"/>
        <v>5.3213294164735672E-24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344.36303707479811</v>
      </c>
      <c r="T198" s="62">
        <f t="shared" si="204"/>
        <v>207.92972431357452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553.99999999999966</v>
      </c>
      <c r="AJ198" s="14">
        <f>AI198*VLOOKUP('Données projet'!$B$10,Paramètres!$A$1:$I$89,3,0)*VLOOKUP('Données projet'!$B$10,Paramètres!$A$1:$I$89,5,0)</f>
        <v>259.27199999999988</v>
      </c>
      <c r="AK198" s="14">
        <f t="shared" si="164"/>
        <v>62.567172460757938</v>
      </c>
      <c r="AL198" s="22">
        <f t="shared" si="165"/>
        <v>560.53655870248656</v>
      </c>
      <c r="AM198" s="62">
        <f t="shared" si="193"/>
        <v>853.86989203581993</v>
      </c>
      <c r="AN198" s="62">
        <f ca="1">AVERAGE(OFFSET($AM$3,0,0,'Données projet'!$E$10+1,1))-AVERAGE(OFFSET($H$3,0,0,'Données projet'!$E$10+1,1))</f>
        <v>273.94989417245978</v>
      </c>
      <c r="AO198" s="62">
        <f t="shared" si="205"/>
        <v>244.91615281423549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247.81726778334098</v>
      </c>
      <c r="BJ198" s="62">
        <f t="shared" si="206"/>
        <v>278.55937893537259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2.8346289585222638E-24</v>
      </c>
      <c r="BS198" s="24">
        <f t="shared" si="169"/>
        <v>2.8346289585222638E-24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156.11420010556668</v>
      </c>
      <c r="CE198" s="62">
        <f t="shared" si="207"/>
        <v>318.01952986326501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3.7637943479280183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3.8893982272947261E-23</v>
      </c>
      <c r="CN198" s="24">
        <f t="shared" si="172"/>
        <v>3.7637943479280183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6.3550942286383367E-14</v>
      </c>
      <c r="CV198" s="14">
        <f t="shared" si="173"/>
        <v>1.0064464192543978E-12</v>
      </c>
      <c r="CW198" s="22">
        <f t="shared" si="174"/>
        <v>1.8635787380168604E-12</v>
      </c>
      <c r="CX198" s="62">
        <f t="shared" si="196"/>
        <v>293.33333333333519</v>
      </c>
      <c r="CY198" s="62">
        <f ca="1">AVERAGE(OFFSET($CX$3,0,0,'Données projet'!$E$13+1,1))-AVERAGE(OFFSET($H$3,0,0,'Données projet'!$E$13+1,1))</f>
        <v>321.56347025977988</v>
      </c>
      <c r="CZ198" s="62">
        <f t="shared" si="208"/>
        <v>285.79375360040717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0.75669280831864205</v>
      </c>
      <c r="DG198" s="23">
        <f>EXP(-LN(2)/25)*DG197+(1-EXP(-LN(2)/25))/(LN(2)/25)*Calculateur!DB198*Calculateur!DD198*VLOOKUP('Données projet'!$B$13,Paramètres!$A$1:$I$89,3,0)*0.475*44/12</f>
        <v>0.11679139806604694</v>
      </c>
      <c r="DH198" s="23">
        <f>EXP(-LN(2)/2)*DH197+(1-EXP(-LN(2)/2))/(LN(2)/2)*DB198*DE198*VLOOKUP('Données projet'!$B$13,Paramètres!$A$1:$I$89,3,0)*0.475*44/12</f>
        <v>1.044244176294133E-24</v>
      </c>
      <c r="DI198" s="24">
        <f t="shared" si="175"/>
        <v>0.87348420638468904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287.69656598881124</v>
      </c>
      <c r="DU198" s="62">
        <f t="shared" si="209"/>
        <v>221.9773436301067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3.7627481153159132E-24</v>
      </c>
      <c r="ED198" s="24">
        <f t="shared" si="178"/>
        <v>3.7627481153159132E-24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344.36303707479811</v>
      </c>
      <c r="T199" s="62">
        <f t="shared" si="204"/>
        <v>207.92972431357452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553.99999999999966</v>
      </c>
      <c r="AJ199" s="14">
        <f>AI199*VLOOKUP('Données projet'!$B$10,Paramètres!$A$1:$I$89,3,0)*VLOOKUP('Données projet'!$B$10,Paramètres!$A$1:$I$89,5,0)</f>
        <v>259.27199999999988</v>
      </c>
      <c r="AK199" s="14">
        <f t="shared" si="164"/>
        <v>62.567172460757938</v>
      </c>
      <c r="AL199" s="22">
        <f t="shared" si="165"/>
        <v>560.53655870248656</v>
      </c>
      <c r="AM199" s="62">
        <f t="shared" si="193"/>
        <v>853.86989203581993</v>
      </c>
      <c r="AN199" s="62">
        <f ca="1">AVERAGE(OFFSET($AM$3,0,0,'Données projet'!$E$10+1,1))-AVERAGE(OFFSET($H$3,0,0,'Données projet'!$E$10+1,1))</f>
        <v>273.94989417245978</v>
      </c>
      <c r="AO199" s="62">
        <f t="shared" si="205"/>
        <v>244.91615281423549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247.81726778334098</v>
      </c>
      <c r="BJ199" s="62">
        <f t="shared" si="206"/>
        <v>278.55937893537259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2.0043853587188534E-24</v>
      </c>
      <c r="BS199" s="24">
        <f t="shared" si="169"/>
        <v>2.0043853587188534E-24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156.11420010556668</v>
      </c>
      <c r="CE199" s="62">
        <f t="shared" si="207"/>
        <v>318.01952986326501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3.6899886364530219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2.7502198612550377E-23</v>
      </c>
      <c r="CN199" s="24">
        <f t="shared" si="172"/>
        <v>3.6899886364530219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6.3550942286383367E-14</v>
      </c>
      <c r="CV199" s="14">
        <f t="shared" si="173"/>
        <v>1.0064464192543978E-12</v>
      </c>
      <c r="CW199" s="22">
        <f t="shared" si="174"/>
        <v>1.8635787380168604E-12</v>
      </c>
      <c r="CX199" s="62">
        <f t="shared" si="196"/>
        <v>293.33333333333519</v>
      </c>
      <c r="CY199" s="62">
        <f ca="1">AVERAGE(OFFSET($CX$3,0,0,'Données projet'!$E$13+1,1))-AVERAGE(OFFSET($H$3,0,0,'Données projet'!$E$13+1,1))</f>
        <v>321.56347025977988</v>
      </c>
      <c r="CZ199" s="62">
        <f t="shared" si="208"/>
        <v>285.79375360040717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0.74185452388455353</v>
      </c>
      <c r="DG199" s="23">
        <f>EXP(-LN(2)/25)*DG198+(1-EXP(-LN(2)/25))/(LN(2)/25)*Calculateur!DB199*Calculateur!DD199*VLOOKUP('Données projet'!$B$13,Paramètres!$A$1:$I$89,3,0)*0.475*44/12</f>
        <v>0.11359773114413819</v>
      </c>
      <c r="DH199" s="23">
        <f>EXP(-LN(2)/2)*DH198+(1-EXP(-LN(2)/2))/(LN(2)/2)*DB199*DE199*VLOOKUP('Données projet'!$B$13,Paramètres!$A$1:$I$89,3,0)*0.475*44/12</f>
        <v>7.3839213827214206E-25</v>
      </c>
      <c r="DI199" s="24">
        <f t="shared" si="175"/>
        <v>0.85545225502869171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287.69656598881124</v>
      </c>
      <c r="DU199" s="62">
        <f t="shared" si="209"/>
        <v>221.9773436301067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2.6606647082367836E-24</v>
      </c>
      <c r="ED199" s="24">
        <f t="shared" si="178"/>
        <v>2.6606647082367836E-24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344.36303707479811</v>
      </c>
      <c r="T200" s="62">
        <f t="shared" si="204"/>
        <v>207.92972431357452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553.99999999999966</v>
      </c>
      <c r="AJ200" s="14">
        <f>AI200*VLOOKUP('Données projet'!$B$10,Paramètres!$A$1:$I$89,3,0)*VLOOKUP('Données projet'!$B$10,Paramètres!$A$1:$I$89,5,0)</f>
        <v>259.27199999999988</v>
      </c>
      <c r="AK200" s="14">
        <f t="shared" si="164"/>
        <v>62.567172460757938</v>
      </c>
      <c r="AL200" s="22">
        <f t="shared" si="165"/>
        <v>560.53655870248656</v>
      </c>
      <c r="AM200" s="62">
        <f t="shared" si="193"/>
        <v>853.86989203581993</v>
      </c>
      <c r="AN200" s="62">
        <f ca="1">AVERAGE(OFFSET($AM$3,0,0,'Données projet'!$E$10+1,1))-AVERAGE(OFFSET($H$3,0,0,'Données projet'!$E$10+1,1))</f>
        <v>273.94989417245978</v>
      </c>
      <c r="AO200" s="62">
        <f t="shared" si="205"/>
        <v>244.91615281423549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247.81726778334098</v>
      </c>
      <c r="BJ200" s="62">
        <f t="shared" si="206"/>
        <v>278.55937893537259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1.4173144792611319E-24</v>
      </c>
      <c r="BS200" s="24">
        <f t="shared" si="169"/>
        <v>1.4173144792611319E-24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156.11420010556668</v>
      </c>
      <c r="CE200" s="62">
        <f t="shared" si="207"/>
        <v>318.01952986326501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3.6176302099630111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1.944699113647363E-23</v>
      </c>
      <c r="CN200" s="24">
        <f t="shared" si="172"/>
        <v>3.6176302099630111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6.3550942286383367E-14</v>
      </c>
      <c r="CV200" s="14">
        <f t="shared" si="173"/>
        <v>1.0064464192543978E-12</v>
      </c>
      <c r="CW200" s="22">
        <f t="shared" si="174"/>
        <v>1.8635787380168604E-12</v>
      </c>
      <c r="CX200" s="62">
        <f t="shared" si="196"/>
        <v>293.33333333333519</v>
      </c>
      <c r="CY200" s="62">
        <f ca="1">AVERAGE(OFFSET($CX$3,0,0,'Données projet'!$E$13+1,1))-AVERAGE(OFFSET($H$3,0,0,'Données projet'!$E$13+1,1))</f>
        <v>321.56347025977988</v>
      </c>
      <c r="CZ200" s="62">
        <f t="shared" si="208"/>
        <v>285.79375360040717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0.72730720915775771</v>
      </c>
      <c r="DG200" s="23">
        <f>EXP(-LN(2)/25)*DG199+(1-EXP(-LN(2)/25))/(LN(2)/25)*Calculateur!DB200*Calculateur!DD200*VLOOKUP('Données projet'!$B$13,Paramètres!$A$1:$I$89,3,0)*0.475*44/12</f>
        <v>0.11049139521215669</v>
      </c>
      <c r="DH200" s="23">
        <f>EXP(-LN(2)/2)*DH199+(1-EXP(-LN(2)/2))/(LN(2)/2)*DB200*DE200*VLOOKUP('Données projet'!$B$13,Paramètres!$A$1:$I$89,3,0)*0.475*44/12</f>
        <v>5.2212208814706649E-25</v>
      </c>
      <c r="DI200" s="24">
        <f t="shared" si="175"/>
        <v>0.83779860436991438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287.69656598881124</v>
      </c>
      <c r="DU200" s="62">
        <f t="shared" si="209"/>
        <v>221.9773436301067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1.8813740576579566E-24</v>
      </c>
      <c r="ED200" s="24">
        <f t="shared" si="178"/>
        <v>1.8813740576579566E-24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344.36303707479811</v>
      </c>
      <c r="T201" s="62">
        <f t="shared" si="204"/>
        <v>207.92972431357452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553.99999999999966</v>
      </c>
      <c r="AJ201" s="14">
        <f>AI201*VLOOKUP('Données projet'!$B$10,Paramètres!$A$1:$I$89,3,0)*VLOOKUP('Données projet'!$B$10,Paramètres!$A$1:$I$89,5,0)</f>
        <v>259.27199999999988</v>
      </c>
      <c r="AK201" s="14">
        <f t="shared" si="164"/>
        <v>62.567172460757938</v>
      </c>
      <c r="AL201" s="22">
        <f t="shared" si="165"/>
        <v>560.53655870248656</v>
      </c>
      <c r="AM201" s="62">
        <f t="shared" si="193"/>
        <v>853.86989203581993</v>
      </c>
      <c r="AN201" s="62">
        <f ca="1">AVERAGE(OFFSET($AM$3,0,0,'Données projet'!$E$10+1,1))-AVERAGE(OFFSET($H$3,0,0,'Données projet'!$E$10+1,1))</f>
        <v>273.94989417245978</v>
      </c>
      <c r="AO201" s="62">
        <f t="shared" si="205"/>
        <v>244.91615281423549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247.81726778334098</v>
      </c>
      <c r="BJ201" s="62">
        <f t="shared" si="206"/>
        <v>278.55937893537259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1.0021926793594267E-24</v>
      </c>
      <c r="BS201" s="24">
        <f t="shared" si="169"/>
        <v>1.0021926793594267E-24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156.11420010556668</v>
      </c>
      <c r="CE201" s="62">
        <f t="shared" si="207"/>
        <v>318.01952986326501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3.5466906880821871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1.3751099306275188E-23</v>
      </c>
      <c r="CN201" s="24">
        <f t="shared" si="172"/>
        <v>3.5466906880821871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6.3550942286383367E-14</v>
      </c>
      <c r="CV201" s="14">
        <f t="shared" si="173"/>
        <v>1.0064464192543978E-12</v>
      </c>
      <c r="CW201" s="22">
        <f t="shared" si="174"/>
        <v>1.8635787380168604E-12</v>
      </c>
      <c r="CX201" s="62">
        <f t="shared" si="196"/>
        <v>293.33333333333519</v>
      </c>
      <c r="CY201" s="62">
        <f ca="1">AVERAGE(OFFSET($CX$3,0,0,'Données projet'!$E$13+1,1))-AVERAGE(OFFSET($H$3,0,0,'Données projet'!$E$13+1,1))</f>
        <v>321.56347025977988</v>
      </c>
      <c r="CZ201" s="62">
        <f t="shared" si="208"/>
        <v>285.79375360040717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0.71304515839976845</v>
      </c>
      <c r="DG201" s="23">
        <f>EXP(-LN(2)/25)*DG200+(1-EXP(-LN(2)/25))/(LN(2)/25)*Calculateur!DB201*Calculateur!DD201*VLOOKUP('Données projet'!$B$13,Paramètres!$A$1:$I$89,3,0)*0.475*44/12</f>
        <v>0.10747000219959033</v>
      </c>
      <c r="DH201" s="23">
        <f>EXP(-LN(2)/2)*DH200+(1-EXP(-LN(2)/2))/(LN(2)/2)*DB201*DE201*VLOOKUP('Données projet'!$B$13,Paramètres!$A$1:$I$89,3,0)*0.475*44/12</f>
        <v>3.6919606913607103E-25</v>
      </c>
      <c r="DI201" s="24">
        <f t="shared" si="175"/>
        <v>0.82051516059935881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287.69656598881124</v>
      </c>
      <c r="DU201" s="62">
        <f t="shared" si="209"/>
        <v>221.9773436301067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1.3303323541183918E-24</v>
      </c>
      <c r="ED201" s="24">
        <f t="shared" si="178"/>
        <v>1.3303323541183918E-24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344.36303707479811</v>
      </c>
      <c r="T202" s="62">
        <f t="shared" si="204"/>
        <v>207.92972431357452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553.99999999999966</v>
      </c>
      <c r="AJ202" s="14">
        <f>AI202*VLOOKUP('Données projet'!$B$10,Paramètres!$A$1:$I$89,3,0)*VLOOKUP('Données projet'!$B$10,Paramètres!$A$1:$I$89,5,0)</f>
        <v>259.27199999999988</v>
      </c>
      <c r="AK202" s="14">
        <f t="shared" si="164"/>
        <v>62.567172460757938</v>
      </c>
      <c r="AL202" s="22">
        <f t="shared" si="165"/>
        <v>560.53655870248656</v>
      </c>
      <c r="AM202" s="62">
        <f t="shared" si="193"/>
        <v>853.86989203581993</v>
      </c>
      <c r="AN202" s="62">
        <f ca="1">AVERAGE(OFFSET($AM$3,0,0,'Données projet'!$E$10+1,1))-AVERAGE(OFFSET($H$3,0,0,'Données projet'!$E$10+1,1))</f>
        <v>273.94989417245978</v>
      </c>
      <c r="AO202" s="62">
        <f t="shared" si="205"/>
        <v>244.91615281423549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247.81726778334098</v>
      </c>
      <c r="BJ202" s="62">
        <f t="shared" si="206"/>
        <v>278.55937893537259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7.0865723963056595E-25</v>
      </c>
      <c r="BS202" s="24">
        <f t="shared" si="169"/>
        <v>7.0865723963056595E-25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156.11420010556668</v>
      </c>
      <c r="CE202" s="62">
        <f t="shared" si="207"/>
        <v>318.01952986326501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3.47714224695661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9.7234955682368152E-24</v>
      </c>
      <c r="CN202" s="24">
        <f t="shared" si="172"/>
        <v>3.47714224695661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6.3550942286383367E-14</v>
      </c>
      <c r="CV202" s="14">
        <f t="shared" si="173"/>
        <v>1.0064464192543978E-12</v>
      </c>
      <c r="CW202" s="22">
        <f t="shared" si="174"/>
        <v>1.8635787380168604E-12</v>
      </c>
      <c r="CX202" s="62">
        <f t="shared" si="196"/>
        <v>293.33333333333519</v>
      </c>
      <c r="CY202" s="62">
        <f ca="1">AVERAGE(OFFSET($CX$3,0,0,'Données projet'!$E$13+1,1))-AVERAGE(OFFSET($H$3,0,0,'Données projet'!$E$13+1,1))</f>
        <v>321.56347025977988</v>
      </c>
      <c r="CZ202" s="62">
        <f t="shared" si="208"/>
        <v>285.79375360040717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0.6990627777581514</v>
      </c>
      <c r="DG202" s="23">
        <f>EXP(-LN(2)/25)*DG201+(1-EXP(-LN(2)/25))/(LN(2)/25)*Calculateur!DB202*Calculateur!DD202*VLOOKUP('Données projet'!$B$13,Paramètres!$A$1:$I$89,3,0)*0.475*44/12</f>
        <v>0.10453122933784074</v>
      </c>
      <c r="DH202" s="23">
        <f>EXP(-LN(2)/2)*DH201+(1-EXP(-LN(2)/2))/(LN(2)/2)*DB202*DE202*VLOOKUP('Données projet'!$B$13,Paramètres!$A$1:$I$89,3,0)*0.475*44/12</f>
        <v>2.6106104407353325E-25</v>
      </c>
      <c r="DI202" s="24">
        <f t="shared" si="175"/>
        <v>0.80359400709599216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287.69656598881124</v>
      </c>
      <c r="DU202" s="62">
        <f t="shared" si="209"/>
        <v>221.9773436301067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9.406870288289783E-25</v>
      </c>
      <c r="ED202" s="24">
        <f t="shared" si="178"/>
        <v>9.406870288289783E-25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344.36303707479811</v>
      </c>
      <c r="T203" s="62">
        <f t="shared" si="204"/>
        <v>207.92972431357452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553.99999999999966</v>
      </c>
      <c r="AJ203" s="14">
        <f>AI203*VLOOKUP('Données projet'!$B$10,Paramètres!$A$1:$I$89,3,0)*VLOOKUP('Données projet'!$B$10,Paramètres!$A$1:$I$89,5,0)</f>
        <v>259.27199999999988</v>
      </c>
      <c r="AK203" s="14">
        <f t="shared" si="164"/>
        <v>62.567172460757938</v>
      </c>
      <c r="AL203" s="22">
        <f t="shared" si="165"/>
        <v>560.53655870248656</v>
      </c>
      <c r="AM203" s="62">
        <f t="shared" si="193"/>
        <v>853.86989203581993</v>
      </c>
      <c r="AN203" s="62">
        <f ca="1">AVERAGE(OFFSET($AM$3,0,0,'Données projet'!$E$10+1,1))-AVERAGE(OFFSET($H$3,0,0,'Données projet'!$E$10+1,1))</f>
        <v>273.94989417245978</v>
      </c>
      <c r="AO203" s="62">
        <f t="shared" si="205"/>
        <v>244.91615281423549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247.81726778334098</v>
      </c>
      <c r="BJ203" s="62">
        <f t="shared" si="206"/>
        <v>278.55937893537259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5.0109633967971336E-25</v>
      </c>
      <c r="BS203" s="24">
        <f t="shared" si="169"/>
        <v>5.0109633967971336E-25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156.11420010556668</v>
      </c>
      <c r="CE203" s="62">
        <f t="shared" si="207"/>
        <v>318.01952986326501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3.408957608341145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6.8755496531375942E-24</v>
      </c>
      <c r="CN203" s="24">
        <f t="shared" si="172"/>
        <v>3.408957608341145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6.3550942286383367E-14</v>
      </c>
      <c r="CV203" s="14">
        <f t="shared" si="173"/>
        <v>1.0064464192543978E-12</v>
      </c>
      <c r="CW203" s="22">
        <f t="shared" si="174"/>
        <v>1.8635787380168604E-12</v>
      </c>
      <c r="CX203" s="62">
        <f t="shared" si="196"/>
        <v>293.33333333333519</v>
      </c>
      <c r="CY203" s="62">
        <f ca="1">AVERAGE(OFFSET($CX$3,0,0,'Données projet'!$E$13+1,1))-AVERAGE(OFFSET($H$3,0,0,'Données projet'!$E$13+1,1))</f>
        <v>321.56347025977988</v>
      </c>
      <c r="CZ203" s="62">
        <f t="shared" si="208"/>
        <v>285.79375360040717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0.6853545830725063</v>
      </c>
      <c r="DG203" s="23">
        <f>EXP(-LN(2)/25)*DG202+(1-EXP(-LN(2)/25))/(LN(2)/25)*Calculateur!DB203*Calculateur!DD203*VLOOKUP('Données projet'!$B$13,Paramètres!$A$1:$I$89,3,0)*0.475*44/12</f>
        <v>0.10167281737453905</v>
      </c>
      <c r="DH203" s="23">
        <f>EXP(-LN(2)/2)*DH202+(1-EXP(-LN(2)/2))/(LN(2)/2)*DB203*DE203*VLOOKUP('Données projet'!$B$13,Paramètres!$A$1:$I$89,3,0)*0.475*44/12</f>
        <v>1.8459803456803552E-25</v>
      </c>
      <c r="DI203" s="24">
        <f t="shared" si="175"/>
        <v>0.78702740044704533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287.69656598881124</v>
      </c>
      <c r="DU203" s="62">
        <f t="shared" si="209"/>
        <v>221.9773436301067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6.651661770591959E-25</v>
      </c>
      <c r="ED203" s="24">
        <f t="shared" si="178"/>
        <v>6.651661770591959E-25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1.1518506498535592</v>
      </c>
      <c r="BA205" s="88">
        <f>EXP(LN('Données projet'!B88)/'Données projet'!A88)</f>
        <v>1.2765231539157764</v>
      </c>
      <c r="BV205" s="88">
        <f>EXP(LN('Données projet'!B114)/'Données projet'!A114)</f>
        <v>1.4261938757879591</v>
      </c>
      <c r="CQ205" s="88">
        <f>EXP(LN('Données projet'!B140)/'Données projet'!A140)</f>
        <v>1.3037606943669584</v>
      </c>
      <c r="DL205" s="88">
        <f>EXP(LN('Données projet'!B166)/'Données projet'!A166)</f>
        <v>1.244502252163008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T11" sqref="T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9" t="s">
        <v>271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1.4577500000000001</v>
      </c>
      <c r="C6" s="156">
        <f ca="1">IF(OR('Données projet'!B9="",'Données projet'!C9="",'Données projet'!C9=0%),0,Calculateur!S3)</f>
        <v>344.36303707479811</v>
      </c>
      <c r="D6" s="156">
        <f>IF(OR('Données projet'!B9="",'Données projet'!C9="",'Données projet'!C9=0%),0,Calculateur!T3)</f>
        <v>207.92972431357452</v>
      </c>
      <c r="E6" s="156">
        <f ca="1">MIN(C6,D6)</f>
        <v>207.92972431357452</v>
      </c>
      <c r="F6" s="156">
        <f ca="1">E6*B6</f>
        <v>303.10955561811329</v>
      </c>
      <c r="G6" s="156">
        <f ca="1">F6*(100%-'Données projet'!$C$24)*(100%-'Données projet'!$C$25)*(100%-'Données projet'!$C$26)*(100%-'Données projet'!$C$27)</f>
        <v>245.51874005067177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22.595125000000003</v>
      </c>
      <c r="K6" s="160">
        <f>J6*(100%-'Données projet'!$C$24)*(100%-'Données projet'!$C$25)*(100%-'Données projet'!$C$26)*(100%-'Données projet'!$C$27)</f>
        <v>18.302051250000005</v>
      </c>
      <c r="L6" s="161">
        <f ca="1">G6+I6+K6</f>
        <v>263.82079130067177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0.82450000000000001</v>
      </c>
      <c r="C7" s="156">
        <f ca="1">IF(OR('Données projet'!B10="",'Données projet'!C10="",'Données projet'!C10=0%),0,Calculateur!AN3)</f>
        <v>273.94989417245978</v>
      </c>
      <c r="D7" s="156">
        <f>IF(OR('Données projet'!B10="",'Données projet'!C10="",'Données projet'!C10=0%),0,Calculateur!AO3)</f>
        <v>244.91615281423549</v>
      </c>
      <c r="E7" s="156">
        <f t="shared" ref="E7:E15" ca="1" si="0">MIN(C7,D7)</f>
        <v>244.91615281423549</v>
      </c>
      <c r="F7" s="156">
        <f t="shared" ref="F7:F15" ca="1" si="1">E7*B7</f>
        <v>201.93336799533716</v>
      </c>
      <c r="G7" s="156">
        <f ca="1">F7*(100%-'Données projet'!$C$24)*(100%-'Données projet'!$C$25)*(100%-'Données projet'!$C$26)*(100%-'Données projet'!$C$27)</f>
        <v>163.56602807622312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163.56602807622312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rouge d'Amérique</v>
      </c>
      <c r="B8" s="163">
        <f>'Données projet'!D11</f>
        <v>0.748</v>
      </c>
      <c r="C8" s="156">
        <f ca="1">IF(OR('Données projet'!B11="",'Données projet'!C11="",'Données projet'!C11=0%),0,Calculateur!BI3)</f>
        <v>247.81726778334098</v>
      </c>
      <c r="D8" s="156">
        <f>IF(OR('Données projet'!B11="",'Données projet'!C11="",'Données projet'!C11=0%),0,Calculateur!BJ3)</f>
        <v>278.55937893537259</v>
      </c>
      <c r="E8" s="156">
        <f t="shared" ca="1" si="0"/>
        <v>247.81726778334098</v>
      </c>
      <c r="F8" s="156">
        <f t="shared" ca="1" si="1"/>
        <v>185.36731630193904</v>
      </c>
      <c r="G8" s="156">
        <f ca="1">F8*(100%-'Données projet'!$C$24)*(100%-'Données projet'!$C$25)*(100%-'Données projet'!$C$26)*(100%-'Données projet'!$C$27)</f>
        <v>150.14752620457062</v>
      </c>
      <c r="H8" s="164">
        <f>IF(OR('Données projet'!B11="",'Données projet'!C11="",'Données projet'!C11=0%),0,AVERAGE(Calculateur!$BS$3:$BS$33)*B8)</f>
        <v>4.0111177074833062</v>
      </c>
      <c r="I8" s="158">
        <f>H8*(100%-'Données projet'!$C$24)*(100%-'Données projet'!$C$25)*(100%-'Données projet'!$C$26)*(100%-'Données projet'!$C$27)</f>
        <v>3.2490053430614778</v>
      </c>
      <c r="J8" s="159">
        <f>IF(OR('Données projet'!B11="",'Données projet'!C11="",'Données projet'!C11=0%),0,SUM(Calculateur!$BL$3:$BL$33)*VLOOKUP('Données projet'!$B$11,Paramètres!$A$1:$I$89,9,0)*B8)</f>
        <v>23.187999999999999</v>
      </c>
      <c r="K8" s="160">
        <f>J8*(100%-'Données projet'!$C$24)*(100%-'Données projet'!$C$25)*(100%-'Données projet'!$C$26)*(100%-'Données projet'!$C$27)</f>
        <v>18.78228</v>
      </c>
      <c r="L8" s="161">
        <f t="shared" ca="1" si="2"/>
        <v>172.17881154763211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maritime</v>
      </c>
      <c r="B9" s="163">
        <f>'Données projet'!D12</f>
        <v>0.48450000000000004</v>
      </c>
      <c r="C9" s="156">
        <f ca="1">IF(OR('Données projet'!B12="",'Données projet'!C12="",'Données projet'!C12=0%),0,Calculateur!CD3)</f>
        <v>156.11420010556668</v>
      </c>
      <c r="D9" s="156">
        <f>IF(OR('Données projet'!B12="",'Données projet'!C12="",'Données projet'!C12=0%),0,Calculateur!CE3)</f>
        <v>318.01952986326501</v>
      </c>
      <c r="E9" s="156">
        <f t="shared" ca="1" si="0"/>
        <v>156.11420010556668</v>
      </c>
      <c r="F9" s="156">
        <f t="shared" ca="1" si="1"/>
        <v>75.637329951147066</v>
      </c>
      <c r="G9" s="156">
        <f ca="1">F9*(100%-'Données projet'!$C$24)*(100%-'Données projet'!$C$25)*(100%-'Données projet'!$C$26)*(100%-'Données projet'!$C$27)</f>
        <v>61.266237260429129</v>
      </c>
      <c r="H9" s="164">
        <f>IF(OR('Données projet'!B12="",'Données projet'!C12="",'Données projet'!C12=0%),0,AVERAGE(Calculateur!$CN$3:$CN$33)*B9)</f>
        <v>4.6918892716181793</v>
      </c>
      <c r="I9" s="158">
        <f>H9*(100%-'Données projet'!$C$24)*(100%-'Données projet'!$C$25)*(100%-'Données projet'!$C$26)*(100%-'Données projet'!$C$27)</f>
        <v>3.8004303100107255</v>
      </c>
      <c r="J9" s="159">
        <f>IF(OR('Données projet'!B12="",'Données projet'!C12="",'Données projet'!C12=0%),0,SUM(Calculateur!$CG$3:$CG$33)*VLOOKUP('Données projet'!$B$12,Paramètres!$A$1:$I$89,9,0)*B9)</f>
        <v>34.302599999999998</v>
      </c>
      <c r="K9" s="160">
        <f>J9*(100%-'Données projet'!$C$24)*(100%-'Données projet'!$C$25)*(100%-'Données projet'!$C$26)*(100%-'Données projet'!$C$27)</f>
        <v>27.785105999999999</v>
      </c>
      <c r="L9" s="161">
        <f t="shared" ca="1" si="2"/>
        <v>92.85177357043986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Douglas</v>
      </c>
      <c r="B10" s="163">
        <f>'Données projet'!D13</f>
        <v>0.36974999999999997</v>
      </c>
      <c r="C10" s="156">
        <f ca="1">IF(OR('Données projet'!B13="",'Données projet'!C13="",'Données projet'!C13=0%),0,Calculateur!CY3)</f>
        <v>321.56347025977988</v>
      </c>
      <c r="D10" s="156">
        <f>IF(OR('Données projet'!B13="",'Données projet'!C13="",'Données projet'!C13=0%),0,Calculateur!CZ3)</f>
        <v>285.79375360040717</v>
      </c>
      <c r="E10" s="156">
        <f t="shared" ca="1" si="0"/>
        <v>285.79375360040717</v>
      </c>
      <c r="F10" s="156">
        <f t="shared" ca="1" si="1"/>
        <v>105.67224039375054</v>
      </c>
      <c r="G10" s="156">
        <f ca="1">F10*(100%-'Données projet'!$C$24)*(100%-'Données projet'!$C$25)*(100%-'Données projet'!$C$26)*(100%-'Données projet'!$C$27)</f>
        <v>85.594514718937944</v>
      </c>
      <c r="H10" s="164">
        <f>IF(OR('Données projet'!B13="",'Données projet'!C13="",'Données projet'!C13=0%),0,AVERAGE(Calculateur!$DI$3:$DI$33)*B10)</f>
        <v>3.3526971488930459</v>
      </c>
      <c r="I10" s="158">
        <f>H10*(100%-'Données projet'!$C$24)*(100%-'Données projet'!$C$25)*(100%-'Données projet'!$C$26)*(100%-'Données projet'!$C$27)</f>
        <v>2.7156846906033674</v>
      </c>
      <c r="J10" s="159">
        <f>IF(OR('Données projet'!B13="",'Données projet'!C13="",'Données projet'!C13=0%),0,SUM(Calculateur!$DB$3:$DB$33)*VLOOKUP('Données projet'!$B$13,Paramètres!$A$1:$I$89,9,0)*B10)</f>
        <v>21.017218574999998</v>
      </c>
      <c r="K10" s="160">
        <f>J10*(100%-'Données projet'!$C$24)*(100%-'Données projet'!$C$25)*(100%-'Données projet'!$C$26)*(100%-'Données projet'!$C$27)</f>
        <v>17.023947045749999</v>
      </c>
      <c r="L10" s="161">
        <f t="shared" ca="1" si="2"/>
        <v>105.33414645529132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Pin de Salzmann</v>
      </c>
      <c r="B11" s="163">
        <f>'Données projet'!D14</f>
        <v>0.35700000000000004</v>
      </c>
      <c r="C11" s="156">
        <f ca="1">IF(OR('Données projet'!B14="",'Données projet'!C14="",'Données projet'!C14=0%),0,Calculateur!DT3)</f>
        <v>287.69656598881124</v>
      </c>
      <c r="D11" s="156">
        <f>IF(OR('Données projet'!B14="",'Données projet'!C14="",'Données projet'!C14=0%),0,Calculateur!DU3)</f>
        <v>221.9773436301067</v>
      </c>
      <c r="E11" s="156">
        <f t="shared" ca="1" si="0"/>
        <v>221.9773436301067</v>
      </c>
      <c r="F11" s="156">
        <f t="shared" ca="1" si="1"/>
        <v>79.245911675948108</v>
      </c>
      <c r="G11" s="156">
        <f ca="1">F11*(100%-'Données projet'!$C$24)*(100%-'Données projet'!$C$25)*(100%-'Données projet'!$C$26)*(100%-'Données projet'!$C$27)</f>
        <v>64.189188457517972</v>
      </c>
      <c r="H11" s="164">
        <f>IF(OR('Données projet'!B14="",'Données projet'!C14="",'Données projet'!C14=0%),0,AVERAGE(Calculateur!$ED$3:$ED$33)*B11)</f>
        <v>1.0682247604079105</v>
      </c>
      <c r="I11" s="158">
        <f>H11*(100%-'Données projet'!$C$24)*(100%-'Données projet'!$C$25)*(100%-'Données projet'!$C$26)*(100%-'Données projet'!$C$27)</f>
        <v>0.86526205593040761</v>
      </c>
      <c r="J11" s="159">
        <f>IF(OR('Données projet'!B14="",'Données projet'!C14="",'Données projet'!C14=0%),0,SUM(Calculateur!$DW$3:$DW$33)*VLOOKUP('Données projet'!$B$14,Paramètres!$A$1:$I$89,9,0)*B11)</f>
        <v>10.285170000000001</v>
      </c>
      <c r="K11" s="160">
        <f>J11*(100%-'Données projet'!$C$24)*(100%-'Données projet'!$C$25)*(100%-'Données projet'!$C$26)*(100%-'Données projet'!$C$27)</f>
        <v>8.3309877000000014</v>
      </c>
      <c r="L11" s="161">
        <f t="shared" ca="1" si="2"/>
        <v>73.385438213448367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950.96572193623535</v>
      </c>
      <c r="G16" s="175">
        <f t="shared" ca="1" si="3"/>
        <v>770.28223476835046</v>
      </c>
      <c r="H16" s="176">
        <f t="shared" si="3"/>
        <v>13.123928888402441</v>
      </c>
      <c r="I16" s="176">
        <f t="shared" si="3"/>
        <v>10.630382399605979</v>
      </c>
      <c r="J16" s="177">
        <f t="shared" si="3"/>
        <v>111.38811357500001</v>
      </c>
      <c r="K16" s="177">
        <f t="shared" si="3"/>
        <v>90.224371995750005</v>
      </c>
      <c r="L16" s="178">
        <f t="shared" ca="1" si="3"/>
        <v>871.13698916370663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31" t="s">
        <v>246</v>
      </c>
      <c r="G17" s="332"/>
      <c r="H17" s="332"/>
      <c r="I17" s="332"/>
      <c r="J17" s="332"/>
      <c r="K17" s="332"/>
      <c r="L17" s="33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33"/>
      <c r="G18" s="333"/>
      <c r="H18" s="333"/>
      <c r="I18" s="333"/>
      <c r="J18" s="333"/>
      <c r="K18" s="333"/>
      <c r="L18" s="33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rouge d'Amérique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maritime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Douglas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Pin de Salzmann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3" zoomScale="90" zoomScaleNormal="90" workbookViewId="0">
      <selection activeCell="I47" sqref="I4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9" t="s">
        <v>272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37" t="s">
        <v>315</v>
      </c>
      <c r="I4" s="337"/>
      <c r="K4" s="334" t="s">
        <v>253</v>
      </c>
      <c r="L4" s="33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5" t="s">
        <v>310</v>
      </c>
      <c r="S7" s="346"/>
      <c r="T7" s="346"/>
      <c r="U7" s="346"/>
      <c r="V7" s="34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1719.7101881875612</v>
      </c>
      <c r="U10" s="190">
        <f>'Données projet'!D9</f>
        <v>1.4577500000000001</v>
      </c>
      <c r="V10" s="189">
        <f>U10*T10</f>
        <v>2506.9075268304177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1706.3382608715438</v>
      </c>
      <c r="U11" s="190">
        <f>'Données projet'!D10</f>
        <v>0.82450000000000001</v>
      </c>
      <c r="V11" s="189">
        <f t="shared" ref="V11" si="0">U11*T11</f>
        <v>1406.8758960885878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rouge d'Amérique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1628.137379827511</v>
      </c>
      <c r="U12" s="190">
        <f>'Données projet'!D11</f>
        <v>0.748</v>
      </c>
      <c r="V12" s="189">
        <f t="shared" ref="V12:V19" si="1">U12*T12</f>
        <v>1217.8467601109783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maritime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5407.2321794342934</v>
      </c>
      <c r="U13" s="190">
        <f>'Données projet'!D12</f>
        <v>0.48450000000000004</v>
      </c>
      <c r="V13" s="189">
        <f t="shared" si="1"/>
        <v>2619.8039909359154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Douglas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4979.9522368821681</v>
      </c>
      <c r="U14" s="190">
        <f>'Données projet'!D13</f>
        <v>0.36974999999999997</v>
      </c>
      <c r="V14" s="189">
        <f t="shared" si="1"/>
        <v>1841.3373395871815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3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Pin de Salzmann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1997.5625420038677</v>
      </c>
      <c r="U15" s="190">
        <f>'Données projet'!D14</f>
        <v>0.35700000000000004</v>
      </c>
      <c r="V15" s="189">
        <f t="shared" si="1"/>
        <v>713.12982749538082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38"/>
      <c r="H16" s="203"/>
      <c r="I16" s="204"/>
      <c r="J16" s="216"/>
      <c r="K16" s="225"/>
      <c r="L16" s="334" t="s">
        <v>254</v>
      </c>
      <c r="M16" s="335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38"/>
      <c r="J17" s="216"/>
      <c r="K17" s="225"/>
      <c r="L17" s="305" t="s">
        <v>289</v>
      </c>
      <c r="M17" s="307"/>
      <c r="N17" s="187">
        <f>VLOOKUP(N16,Calculateur!$A$2:$H$153,3,0)/VLOOKUP('Scénario référence'!$G$15,Paramètres!A1:I89,3,0)/VLOOKUP('Scénario référence'!$G$15,Paramètres!A1:I89,5,0)</f>
        <v>50.00000000000005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8"/>
      <c r="J18" s="216"/>
      <c r="K18" s="225"/>
      <c r="L18" s="305" t="s">
        <v>255</v>
      </c>
      <c r="M18" s="30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8"/>
      <c r="H19" s="232" t="s">
        <v>178</v>
      </c>
      <c r="I19" s="232" t="s">
        <v>287</v>
      </c>
      <c r="J19" s="260"/>
      <c r="K19" s="183"/>
      <c r="L19" s="334" t="s">
        <v>288</v>
      </c>
      <c r="M19" s="335"/>
      <c r="N19" s="191">
        <f>N17*N18</f>
        <v>1000.000000000001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8"/>
      <c r="H20" s="203">
        <v>0</v>
      </c>
      <c r="I20" s="204">
        <v>6398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06">
        <v>10</v>
      </c>
      <c r="D23" s="194">
        <f>B23*C23</f>
        <v>60</v>
      </c>
      <c r="E23" s="206"/>
      <c r="F23" s="261"/>
      <c r="H23" s="203">
        <v>3</v>
      </c>
      <c r="I23" s="204">
        <v>600</v>
      </c>
      <c r="K23" s="225"/>
      <c r="L23" s="336" t="s">
        <v>260</v>
      </c>
      <c r="M23" s="336"/>
      <c r="N23" s="336"/>
      <c r="O23" s="25"/>
      <c r="P23" s="25"/>
      <c r="Q23" s="265"/>
      <c r="R23" s="25"/>
      <c r="S23" s="185" t="s">
        <v>264</v>
      </c>
      <c r="T23" s="35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-23895.457762506689</v>
      </c>
      <c r="U23" s="350"/>
      <c r="V23" s="35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06">
        <v>10</v>
      </c>
      <c r="D24" s="194">
        <f t="shared" ref="D24:D42" si="2">B24*C24</f>
        <v>280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51">
        <f ca="1">'Scénario référence'!$B$8*$M$30*'Données projet'!$C$5+('Scénario référence'!B9+'Scénario référence'!B10+'Scénario référence'!F8+'Scénario référence'!F9)*$N$19/(1+M4)^N16*'Données projet'!$C$5</f>
        <v>470.51601235402211</v>
      </c>
      <c r="U24" s="351"/>
      <c r="V24" s="35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52">
        <f ca="1">T23-T24</f>
        <v>-24365.973774860711</v>
      </c>
      <c r="U25" s="352"/>
      <c r="V25" s="35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0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39" t="s">
        <v>258</v>
      </c>
      <c r="M26" s="340"/>
      <c r="N26" s="340"/>
      <c r="O26" s="340"/>
      <c r="P26" s="341"/>
      <c r="Q26" s="265"/>
      <c r="R26" s="25"/>
      <c r="S26" s="198" t="s">
        <v>265</v>
      </c>
      <c r="T26" s="349" t="str">
        <f ca="1">IF(T25&lt;0,"Votre projet est additionnel","Votre projet n'est pas additionnel")</f>
        <v>Votre projet est additionnel</v>
      </c>
      <c r="U26" s="349"/>
      <c r="V26" s="34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06">
        <v>20</v>
      </c>
      <c r="D27" s="194">
        <f t="shared" si="2"/>
        <v>560</v>
      </c>
      <c r="E27" s="206"/>
      <c r="F27" s="264"/>
      <c r="G27" s="259"/>
      <c r="H27" s="203"/>
      <c r="I27" s="204"/>
      <c r="K27" s="225"/>
      <c r="L27" s="342"/>
      <c r="M27" s="343"/>
      <c r="N27" s="343"/>
      <c r="O27" s="343"/>
      <c r="P27" s="344"/>
      <c r="Q27" s="265"/>
      <c r="R27" s="25"/>
      <c r="S27" s="348" t="s">
        <v>267</v>
      </c>
      <c r="T27" s="348"/>
      <c r="U27" s="348"/>
      <c r="V27" s="34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06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06">
        <v>30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06">
        <v>40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06">
        <v>50</v>
      </c>
      <c r="D31" s="194">
        <f t="shared" si="2"/>
        <v>1400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06">
        <v>60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06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06">
        <v>70</v>
      </c>
      <c r="D34" s="194">
        <f t="shared" si="2"/>
        <v>1960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06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06">
        <v>80</v>
      </c>
      <c r="D36" s="194">
        <f t="shared" si="2"/>
        <v>2240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06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06">
        <v>90</v>
      </c>
      <c r="D38" s="194">
        <f t="shared" si="2"/>
        <v>2520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06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06">
        <v>100</v>
      </c>
      <c r="D40" s="194">
        <f t="shared" si="2"/>
        <v>2600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06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06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42</v>
      </c>
      <c r="B54" s="193">
        <f>'Données projet'!D62</f>
        <v>110</v>
      </c>
      <c r="C54" s="204">
        <v>15</v>
      </c>
      <c r="D54" s="191">
        <f>B54*C54</f>
        <v>1650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48</v>
      </c>
      <c r="B55" s="193">
        <f>'Données projet'!D63</f>
        <v>78</v>
      </c>
      <c r="C55" s="204">
        <v>32</v>
      </c>
      <c r="D55" s="191">
        <f t="shared" ref="D55:D73" si="4">B55*C55</f>
        <v>2496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54</v>
      </c>
      <c r="B56" s="193">
        <f>'Données projet'!D64</f>
        <v>86</v>
      </c>
      <c r="C56" s="204">
        <v>45</v>
      </c>
      <c r="D56" s="191">
        <f t="shared" si="4"/>
        <v>3870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60</v>
      </c>
      <c r="B57" s="193">
        <f>'Données projet'!D65</f>
        <v>84</v>
      </c>
      <c r="C57" s="204">
        <v>58</v>
      </c>
      <c r="D57" s="191">
        <f t="shared" si="4"/>
        <v>4872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66</v>
      </c>
      <c r="B58" s="193">
        <f>'Données projet'!D66</f>
        <v>88</v>
      </c>
      <c r="C58" s="204">
        <v>62</v>
      </c>
      <c r="D58" s="191">
        <f t="shared" si="4"/>
        <v>5456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72</v>
      </c>
      <c r="B59" s="193">
        <f>'Données projet'!D67</f>
        <v>87</v>
      </c>
      <c r="C59" s="204">
        <v>70</v>
      </c>
      <c r="D59" s="191">
        <f t="shared" si="4"/>
        <v>6090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78</v>
      </c>
      <c r="B60" s="193">
        <f>'Données projet'!D68</f>
        <v>82</v>
      </c>
      <c r="C60" s="204">
        <v>70</v>
      </c>
      <c r="D60" s="191">
        <f t="shared" si="4"/>
        <v>5740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84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rouge d'Amérique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50</v>
      </c>
      <c r="C85" s="204">
        <v>10</v>
      </c>
      <c r="D85" s="191">
        <f>B85*C85</f>
        <v>500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37</v>
      </c>
      <c r="C86" s="204">
        <v>10</v>
      </c>
      <c r="D86" s="191">
        <f t="shared" ref="D86:D104" si="6">B86*C86</f>
        <v>370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37</v>
      </c>
      <c r="C87" s="204">
        <v>10</v>
      </c>
      <c r="D87" s="191">
        <f t="shared" si="6"/>
        <v>370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36</v>
      </c>
      <c r="C88" s="204">
        <v>10</v>
      </c>
      <c r="D88" s="191">
        <f t="shared" si="6"/>
        <v>360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33</v>
      </c>
      <c r="C89" s="204">
        <v>20</v>
      </c>
      <c r="D89" s="191">
        <f t="shared" si="6"/>
        <v>660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31</v>
      </c>
      <c r="C90" s="204">
        <v>30</v>
      </c>
      <c r="D90" s="191">
        <f t="shared" si="6"/>
        <v>930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>
        <v>30</v>
      </c>
      <c r="D91" s="191">
        <f t="shared" si="6"/>
        <v>840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25</v>
      </c>
      <c r="C92" s="204">
        <v>40</v>
      </c>
      <c r="D92" s="191">
        <f t="shared" si="6"/>
        <v>1000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22</v>
      </c>
      <c r="C93" s="204">
        <v>50</v>
      </c>
      <c r="D93" s="191">
        <f t="shared" si="6"/>
        <v>1100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20</v>
      </c>
      <c r="C94" s="204">
        <v>60</v>
      </c>
      <c r="D94" s="191">
        <f t="shared" si="6"/>
        <v>1200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17</v>
      </c>
      <c r="C95" s="204">
        <v>70</v>
      </c>
      <c r="D95" s="191">
        <f t="shared" si="6"/>
        <v>1190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15</v>
      </c>
      <c r="C96" s="204">
        <v>70</v>
      </c>
      <c r="D96" s="191">
        <f t="shared" si="6"/>
        <v>1050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13</v>
      </c>
      <c r="C97" s="204">
        <v>80</v>
      </c>
      <c r="D97" s="191">
        <f t="shared" si="6"/>
        <v>1040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12</v>
      </c>
      <c r="C98" s="204">
        <v>80</v>
      </c>
      <c r="D98" s="191">
        <f t="shared" si="6"/>
        <v>960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236</v>
      </c>
      <c r="C99" s="204">
        <v>90</v>
      </c>
      <c r="D99" s="191">
        <f t="shared" si="6"/>
        <v>21240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maritime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13</v>
      </c>
      <c r="B116" s="193">
        <f>'Données projet'!D114</f>
        <v>28</v>
      </c>
      <c r="C116" s="204">
        <v>8</v>
      </c>
      <c r="D116" s="191">
        <f>B116*C116</f>
        <v>224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18</v>
      </c>
      <c r="B117" s="193">
        <f>'Données projet'!D115</f>
        <v>40</v>
      </c>
      <c r="C117" s="204">
        <v>14</v>
      </c>
      <c r="D117" s="191">
        <f t="shared" ref="D117:D135" si="8">B117*C117</f>
        <v>560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23</v>
      </c>
      <c r="B118" s="193">
        <f>'Données projet'!D116</f>
        <v>52</v>
      </c>
      <c r="C118" s="204">
        <v>35</v>
      </c>
      <c r="D118" s="191">
        <f t="shared" si="8"/>
        <v>1820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34</v>
      </c>
      <c r="B120" s="193">
        <f>'Données projet'!D118</f>
        <v>325</v>
      </c>
      <c r="C120" s="204">
        <v>60</v>
      </c>
      <c r="D120" s="191">
        <f t="shared" si="8"/>
        <v>19500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Douglas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19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21</v>
      </c>
      <c r="B148" s="187">
        <f>'Données projet'!D141</f>
        <v>64.58</v>
      </c>
      <c r="C148" s="204">
        <v>15</v>
      </c>
      <c r="D148" s="194">
        <f t="shared" ref="D148:D166" si="10">B148*C148</f>
        <v>968.69999999999993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28</v>
      </c>
      <c r="B149" s="187">
        <f>'Données projet'!D142</f>
        <v>67.61</v>
      </c>
      <c r="C149" s="204">
        <v>20</v>
      </c>
      <c r="D149" s="194">
        <f t="shared" si="10"/>
        <v>1352.2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86.68</v>
      </c>
      <c r="C150" s="204">
        <v>28</v>
      </c>
      <c r="D150" s="194">
        <f t="shared" si="10"/>
        <v>2427.04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42</v>
      </c>
      <c r="B151" s="187">
        <f>'Données projet'!D144</f>
        <v>99.98</v>
      </c>
      <c r="C151" s="204">
        <v>28</v>
      </c>
      <c r="D151" s="194">
        <f t="shared" si="10"/>
        <v>2799.44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49</v>
      </c>
      <c r="B152" s="187">
        <f>'Données projet'!D145</f>
        <v>112.61</v>
      </c>
      <c r="C152" s="204">
        <v>35</v>
      </c>
      <c r="D152" s="194">
        <f t="shared" si="10"/>
        <v>3941.35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56</v>
      </c>
      <c r="B153" s="187">
        <f>'Données projet'!D146</f>
        <v>94.57</v>
      </c>
      <c r="C153" s="204">
        <v>40</v>
      </c>
      <c r="D153" s="194">
        <f t="shared" si="10"/>
        <v>3782.7999999999997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63</v>
      </c>
      <c r="B154" s="187">
        <f>'Données projet'!D147</f>
        <v>99.49</v>
      </c>
      <c r="C154" s="204">
        <v>50</v>
      </c>
      <c r="D154" s="194">
        <f t="shared" si="10"/>
        <v>4974.5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69</v>
      </c>
      <c r="B155" s="187">
        <f>'Données projet'!D148</f>
        <v>0</v>
      </c>
      <c r="C155" s="204">
        <v>0</v>
      </c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586.05999999999995</v>
      </c>
      <c r="C156" s="204">
        <v>80</v>
      </c>
      <c r="D156" s="194">
        <f t="shared" si="10"/>
        <v>46884.799999999996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Pin de Salzmann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22</v>
      </c>
      <c r="B178" s="193">
        <f>'Données projet'!D166</f>
        <v>16</v>
      </c>
      <c r="C178" s="206">
        <v>12</v>
      </c>
      <c r="D178" s="191">
        <f>B178*C178</f>
        <v>192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25</v>
      </c>
      <c r="B179" s="193">
        <f>'Données projet'!D167</f>
        <v>17</v>
      </c>
      <c r="C179" s="206">
        <v>12</v>
      </c>
      <c r="D179" s="191">
        <f t="shared" ref="D179:D197" si="11">B179*C179</f>
        <v>204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30</v>
      </c>
      <c r="B180" s="193">
        <f>'Données projet'!D168</f>
        <v>34</v>
      </c>
      <c r="C180" s="206">
        <v>15</v>
      </c>
      <c r="D180" s="191">
        <f t="shared" si="11"/>
        <v>510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35</v>
      </c>
      <c r="B181" s="193">
        <f>'Données projet'!D169</f>
        <v>41</v>
      </c>
      <c r="C181" s="206">
        <v>17</v>
      </c>
      <c r="D181" s="191">
        <f t="shared" si="11"/>
        <v>697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40</v>
      </c>
      <c r="B182" s="193">
        <f>'Données projet'!D170</f>
        <v>41</v>
      </c>
      <c r="C182" s="206">
        <v>17</v>
      </c>
      <c r="D182" s="191">
        <f t="shared" si="11"/>
        <v>697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45</v>
      </c>
      <c r="B183" s="193">
        <f>'Données projet'!D171</f>
        <v>53</v>
      </c>
      <c r="C183" s="206">
        <v>17</v>
      </c>
      <c r="D183" s="191">
        <f t="shared" si="11"/>
        <v>901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50</v>
      </c>
      <c r="B184" s="193">
        <f>'Données projet'!D172</f>
        <v>53</v>
      </c>
      <c r="C184" s="206">
        <v>20</v>
      </c>
      <c r="D184" s="191">
        <f t="shared" si="11"/>
        <v>1060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58</v>
      </c>
      <c r="B185" s="193">
        <f>'Données projet'!D173</f>
        <v>78</v>
      </c>
      <c r="C185" s="206">
        <v>25</v>
      </c>
      <c r="D185" s="191">
        <f t="shared" si="11"/>
        <v>1950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66</v>
      </c>
      <c r="B186" s="193">
        <f>'Données projet'!D174</f>
        <v>65</v>
      </c>
      <c r="C186" s="206">
        <v>30</v>
      </c>
      <c r="D186" s="191">
        <f t="shared" si="11"/>
        <v>1950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74</v>
      </c>
      <c r="B187" s="193">
        <f>'Données projet'!D175</f>
        <v>37</v>
      </c>
      <c r="C187" s="206">
        <v>35</v>
      </c>
      <c r="D187" s="191">
        <f t="shared" si="11"/>
        <v>1295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82</v>
      </c>
      <c r="B188" s="193">
        <f>'Données projet'!D176</f>
        <v>555</v>
      </c>
      <c r="C188" s="206">
        <v>60</v>
      </c>
      <c r="D188" s="191">
        <f t="shared" si="11"/>
        <v>33300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2024-09-26T10:14:34Z</dcterms:modified>
</cp:coreProperties>
</file>