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Roize\"/>
    </mc:Choice>
  </mc:AlternateContent>
  <xr:revisionPtr revIDLastSave="0" documentId="13_ncr:1_{D994023E-1660-4370-9031-EE3E0092437C}" xr6:coauthVersionLast="47" xr6:coauthVersionMax="47" xr10:uidLastSave="{00000000-0000-0000-0000-000000000000}"/>
  <bookViews>
    <workbookView xWindow="-289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1" l="1"/>
  <c r="D69" i="1" s="1"/>
  <c r="D68" i="1"/>
  <c r="D67" i="1"/>
  <c r="D66" i="1"/>
  <c r="D65" i="1"/>
  <c r="D64" i="1"/>
  <c r="D63" i="1"/>
  <c r="D124" i="1"/>
  <c r="B124" i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B46" i="1"/>
  <c r="D46" i="1" s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53" i="2" l="1"/>
  <c r="CD60" i="2"/>
  <c r="CD30" i="2"/>
  <c r="CD191" i="2"/>
  <c r="CD201" i="2"/>
  <c r="CD93" i="2"/>
  <c r="CD107" i="2"/>
  <c r="CD26" i="2"/>
  <c r="CD68" i="2"/>
  <c r="CD8" i="2"/>
  <c r="CD73" i="2"/>
  <c r="CD156" i="2"/>
  <c r="CD29" i="2"/>
  <c r="CD44" i="2"/>
  <c r="CD202" i="2"/>
  <c r="CD113" i="2"/>
  <c r="CD38" i="2"/>
  <c r="CD161" i="2"/>
  <c r="CD50" i="2"/>
  <c r="CD45" i="2"/>
  <c r="CD170" i="2"/>
  <c r="CD141" i="2"/>
  <c r="CD37" i="2"/>
  <c r="CD190" i="2"/>
  <c r="CD76" i="2"/>
  <c r="CD124" i="2"/>
  <c r="CD83" i="2"/>
  <c r="CD115" i="2"/>
  <c r="CD163" i="2"/>
  <c r="CD20" i="2"/>
  <c r="CD46" i="2"/>
  <c r="CD203" i="2"/>
  <c r="CD31" i="2"/>
  <c r="CD192" i="2"/>
  <c r="CD178" i="2"/>
  <c r="CD168" i="2"/>
  <c r="CD15" i="2"/>
  <c r="CD21" i="2"/>
  <c r="CD166" i="2"/>
  <c r="CD92" i="2"/>
  <c r="CD91" i="2"/>
  <c r="CD135" i="2"/>
  <c r="CD128" i="2"/>
  <c r="CD101" i="2"/>
  <c r="CD179" i="2"/>
  <c r="CD151" i="2"/>
  <c r="CD174" i="2"/>
  <c r="CD119" i="2"/>
  <c r="CD142" i="2"/>
  <c r="CD7" i="2"/>
  <c r="CD139" i="2"/>
  <c r="CD137" i="2"/>
  <c r="CD40" i="2"/>
  <c r="CD120" i="2"/>
  <c r="CD28" i="2"/>
  <c r="CD67" i="2"/>
  <c r="CD100" i="2"/>
  <c r="CD169" i="2"/>
  <c r="CD41" i="2"/>
  <c r="CD52" i="2"/>
  <c r="CD143" i="2"/>
  <c r="CD75" i="2"/>
  <c r="CD133" i="2"/>
  <c r="CD54" i="2"/>
  <c r="CD186" i="2"/>
  <c r="CD121" i="2"/>
  <c r="CD51" i="2"/>
  <c r="CD140" i="2"/>
  <c r="CD158" i="2"/>
  <c r="CD187" i="2"/>
  <c r="CD49" i="2"/>
  <c r="CD136" i="2"/>
  <c r="CD48" i="2"/>
  <c r="CD18" i="2"/>
  <c r="CD6" i="2"/>
  <c r="CD98" i="2"/>
  <c r="CD155" i="2"/>
  <c r="CD149" i="2"/>
  <c r="CD80" i="2"/>
  <c r="CD111" i="2"/>
  <c r="CD62" i="2"/>
  <c r="CD16" i="2"/>
  <c r="CD32" i="2"/>
  <c r="CD94" i="2"/>
  <c r="CD66" i="2"/>
  <c r="CD10" i="2"/>
  <c r="CD42" i="2"/>
  <c r="CD181" i="2"/>
  <c r="CD130" i="2"/>
  <c r="CD95" i="2"/>
  <c r="CD195" i="2"/>
  <c r="CD185" i="2"/>
  <c r="CD132" i="2"/>
  <c r="CD47" i="2"/>
  <c r="CD198" i="2"/>
  <c r="CD122" i="2"/>
  <c r="CD105" i="2"/>
  <c r="CD39" i="2"/>
  <c r="CD23" i="2"/>
  <c r="CD114" i="2"/>
  <c r="CD87" i="2"/>
  <c r="CD25" i="2"/>
  <c r="CD109" i="2"/>
  <c r="CD11" i="2"/>
  <c r="CD85" i="2"/>
  <c r="CD13" i="2"/>
  <c r="CD71" i="2"/>
  <c r="CD24" i="2"/>
  <c r="CD97" i="2"/>
  <c r="CD160" i="2"/>
  <c r="CD118" i="2"/>
  <c r="CD162" i="2"/>
  <c r="CD35" i="2"/>
  <c r="CD123" i="2"/>
  <c r="CD172" i="2"/>
  <c r="CD55" i="2"/>
  <c r="CD125" i="2"/>
  <c r="CD193" i="2"/>
  <c r="CD27" i="2"/>
  <c r="CD177" i="2"/>
  <c r="CD200" i="2"/>
  <c r="CD199" i="2"/>
  <c r="CD5" i="2"/>
  <c r="CD167" i="2"/>
  <c r="CD89" i="2"/>
  <c r="CD69" i="2"/>
  <c r="CD102" i="2"/>
  <c r="CD43" i="2"/>
  <c r="CD12" i="2"/>
  <c r="CD99" i="2"/>
  <c r="CD176" i="2"/>
  <c r="CD144" i="2"/>
  <c r="CD81" i="2"/>
  <c r="CD129" i="2"/>
  <c r="CD90" i="2"/>
  <c r="CD72" i="2"/>
  <c r="CD108" i="2"/>
  <c r="CD9" i="2"/>
  <c r="CD188" i="2"/>
  <c r="CD182" i="2"/>
  <c r="CD53" i="2"/>
  <c r="CD180" i="2"/>
  <c r="CD110" i="2"/>
  <c r="CD22" i="2"/>
  <c r="CD154" i="2"/>
  <c r="CD152" i="2"/>
  <c r="CD183" i="2"/>
  <c r="CD103" i="2"/>
  <c r="CD104" i="2"/>
  <c r="CD171" i="2"/>
  <c r="CD17" i="2"/>
  <c r="CD157" i="2"/>
  <c r="CD116" i="2"/>
  <c r="CD63" i="2"/>
  <c r="CD84" i="2"/>
  <c r="CD86" i="2"/>
  <c r="CD70" i="2"/>
  <c r="CD145" i="2"/>
  <c r="CD96" i="2"/>
  <c r="CD159" i="2"/>
  <c r="CD14" i="2"/>
  <c r="CD34" i="2"/>
  <c r="CD175" i="2"/>
  <c r="CD3" i="2"/>
  <c r="C9" i="4" s="1"/>
  <c r="E9" i="4" s="1"/>
  <c r="F9" i="4" s="1"/>
  <c r="G9" i="4" s="1"/>
  <c r="L9" i="4" s="1"/>
  <c r="CD112" i="2"/>
  <c r="CD127" i="2"/>
  <c r="CD189" i="2"/>
  <c r="CD126" i="2"/>
  <c r="CD4" i="2"/>
  <c r="CD117" i="2"/>
  <c r="CD88" i="2"/>
  <c r="CD106" i="2"/>
  <c r="CD78" i="2"/>
  <c r="CD148" i="2"/>
  <c r="CD36" i="2"/>
  <c r="CD79" i="2"/>
  <c r="CD59" i="2"/>
  <c r="CD57" i="2"/>
  <c r="CD134" i="2"/>
  <c r="CD164" i="2"/>
  <c r="CD77" i="2"/>
  <c r="CD196" i="2"/>
  <c r="CD194" i="2"/>
  <c r="CD19" i="2"/>
  <c r="CD131" i="2"/>
  <c r="CD74" i="2"/>
  <c r="CD58" i="2"/>
  <c r="CD138" i="2"/>
  <c r="CD64" i="2"/>
  <c r="CD150" i="2"/>
  <c r="CD147" i="2"/>
  <c r="CD165" i="2"/>
  <c r="CD33" i="2"/>
  <c r="CD61" i="2"/>
  <c r="CD184" i="2"/>
  <c r="CD56" i="2"/>
  <c r="CD173" i="2"/>
  <c r="CD65" i="2"/>
  <c r="CD82" i="2"/>
  <c r="CD197" i="2"/>
  <c r="CD14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<sst xmlns="http://schemas.openxmlformats.org/spreadsheetml/2006/main" count="1173" uniqueCount="324">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</sst>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36.331036561408958</c:v>
                </c:pt>
                <c:pt idx="12">
                  <c:v>54.840007625050731</c:v>
                </c:pt>
                <c:pt idx="13">
                  <c:v>73.182288487787176</c:v>
                </c:pt>
                <c:pt idx="14">
                  <c:v>91.40622373102336</c:v>
                </c:pt>
                <c:pt idx="15">
                  <c:v>109.53891756394223</c:v>
                </c:pt>
                <c:pt idx="16">
                  <c:v>127.59766496907207</c:v>
                </c:pt>
                <c:pt idx="17">
                  <c:v>145.59443058119251</c:v>
                </c:pt>
                <c:pt idx="18">
                  <c:v>163.5379655741686</c:v>
                </c:pt>
                <c:pt idx="19">
                  <c:v>181.43493765298726</c:v>
                </c:pt>
                <c:pt idx="20">
                  <c:v>199.29058865200216</c:v>
                </c:pt>
                <c:pt idx="21">
                  <c:v>122.75914555397303</c:v>
                </c:pt>
                <c:pt idx="22">
                  <c:v>143.987243321303</c:v>
                </c:pt>
                <c:pt idx="23">
                  <c:v>165.14031756750202</c:v>
                </c:pt>
                <c:pt idx="24">
                  <c:v>186.22934307037499</c:v>
                </c:pt>
                <c:pt idx="25">
                  <c:v>207.26259803384178</c:v>
                </c:pt>
                <c:pt idx="26">
                  <c:v>228.24653971138068</c:v>
                </c:pt>
                <c:pt idx="27">
                  <c:v>249.18633943133077</c:v>
                </c:pt>
                <c:pt idx="28">
                  <c:v>270.08622765058908</c:v>
                </c:pt>
                <c:pt idx="29">
                  <c:v>290.94972629449177</c:v>
                </c:pt>
                <c:pt idx="30">
                  <c:v>311.77981081702825</c:v>
                </c:pt>
                <c:pt idx="31">
                  <c:v>228.39109794958097</c:v>
                </c:pt>
                <c:pt idx="32">
                  <c:v>245.86761689093177</c:v>
                </c:pt>
                <c:pt idx="33">
                  <c:v>263.31592501165994</c:v>
                </c:pt>
                <c:pt idx="34">
                  <c:v>280.73815459645294</c:v>
                </c:pt>
                <c:pt idx="35">
                  <c:v>298.13615159385171</c:v>
                </c:pt>
                <c:pt idx="36">
                  <c:v>315.51152888688659</c:v>
                </c:pt>
                <c:pt idx="37">
                  <c:v>332.86570720430353</c:v>
                </c:pt>
                <c:pt idx="38">
                  <c:v>350.1999470478529</c:v>
                </c:pt>
                <c:pt idx="39">
                  <c:v>367.51537396448816</c:v>
                </c:pt>
                <c:pt idx="40">
                  <c:v>384.81299880518822</c:v>
                </c:pt>
                <c:pt idx="41">
                  <c:v>297.70507599289084</c:v>
                </c:pt>
                <c:pt idx="42">
                  <c:v>310.91850478314001</c:v>
                </c:pt>
                <c:pt idx="43">
                  <c:v>324.1194742654539</c:v>
                </c:pt>
                <c:pt idx="44">
                  <c:v>337.30856346736851</c:v>
                </c:pt>
                <c:pt idx="45">
                  <c:v>350.48630242966345</c:v>
                </c:pt>
                <c:pt idx="46">
                  <c:v>363.65317807573314</c:v>
                </c:pt>
                <c:pt idx="47">
                  <c:v>376.80963918625883</c:v>
                </c:pt>
                <c:pt idx="48">
                  <c:v>389.95610064267242</c:v>
                </c:pt>
                <c:pt idx="49">
                  <c:v>403.09294706842178</c:v>
                </c:pt>
                <c:pt idx="50">
                  <c:v>416.22053597073187</c:v>
                </c:pt>
                <c:pt idx="51">
                  <c:v>364.51152094505261</c:v>
                </c:pt>
                <c:pt idx="52">
                  <c:v>374.23634836554851</c:v>
                </c:pt>
                <c:pt idx="53">
                  <c:v>383.95567048788757</c:v>
                </c:pt>
                <c:pt idx="54">
                  <c:v>393.66964638244093</c:v>
                </c:pt>
                <c:pt idx="55">
                  <c:v>403.37842662539168</c:v>
                </c:pt>
                <c:pt idx="56">
                  <c:v>413.08215395025701</c:v>
                </c:pt>
                <c:pt idx="57">
                  <c:v>422.78096383498195</c:v>
                </c:pt>
                <c:pt idx="58">
                  <c:v>432.47498503233845</c:v>
                </c:pt>
                <c:pt idx="59">
                  <c:v>442.16434005027787</c:v>
                </c:pt>
                <c:pt idx="60">
                  <c:v>451.84914558797823</c:v>
                </c:pt>
                <c:pt idx="61">
                  <c:v>416.07789334479304</c:v>
                </c:pt>
                <c:pt idx="62">
                  <c:v>423.06614984150383</c:v>
                </c:pt>
                <c:pt idx="63">
                  <c:v>430.05192187030821</c:v>
                </c:pt>
                <c:pt idx="64">
                  <c:v>437.03525550874696</c:v>
                </c:pt>
                <c:pt idx="65">
                  <c:v>444.01619524073664</c:v>
                </c:pt>
                <c:pt idx="66">
                  <c:v>450.99478403642752</c:v>
                </c:pt>
                <c:pt idx="67">
                  <c:v>457.97106342685856</c:v>
                </c:pt>
                <c:pt idx="68">
                  <c:v>464.94507357382457</c:v>
                </c:pt>
                <c:pt idx="69">
                  <c:v>471.91685333533269</c:v>
                </c:pt>
                <c:pt idx="70">
                  <c:v>478.88644032698608</c:v>
                </c:pt>
                <c:pt idx="71">
                  <c:v>447.43457068363909</c:v>
                </c:pt>
                <c:pt idx="72">
                  <c:v>452.98824059157351</c:v>
                </c:pt>
                <c:pt idx="73">
                  <c:v>458.54045490538175</c:v>
                </c:pt>
                <c:pt idx="74">
                  <c:v>464.09123375012194</c:v>
                </c:pt>
                <c:pt idx="75">
                  <c:v>469.64059672980551</c:v>
                </c:pt>
                <c:pt idx="76">
                  <c:v>475.18856294702186</c:v>
                </c:pt>
                <c:pt idx="77">
                  <c:v>480.73515102159814</c:v>
                </c:pt>
                <c:pt idx="78">
                  <c:v>486.28037910835252</c:v>
                </c:pt>
                <c:pt idx="79">
                  <c:v>491.82426491399656</c:v>
                </c:pt>
                <c:pt idx="80">
                  <c:v>497.36682571323246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162.12162451471718</c:v>
                </c:pt>
                <c:pt idx="22">
                  <c:v>179.32906184156093</c:v>
                </c:pt>
                <c:pt idx="23">
                  <c:v>196.49780948344778</c:v>
                </c:pt>
                <c:pt idx="24">
                  <c:v>213.63172478455712</c:v>
                </c:pt>
                <c:pt idx="25">
                  <c:v>230.73399509870117</c:v>
                </c:pt>
                <c:pt idx="26">
                  <c:v>247.80729629340476</c:v>
                </c:pt>
                <c:pt idx="27">
                  <c:v>264.85390518195561</c:v>
                </c:pt>
                <c:pt idx="28">
                  <c:v>281.87578144105805</c:v>
                </c:pt>
                <c:pt idx="29">
                  <c:v>298.87462867673611</c:v>
                </c:pt>
                <c:pt idx="30">
                  <c:v>315.85194085471193</c:v>
                </c:pt>
                <c:pt idx="31">
                  <c:v>222.3951985046227</c:v>
                </c:pt>
                <c:pt idx="32">
                  <c:v>245.3104821888318</c:v>
                </c:pt>
                <c:pt idx="33">
                  <c:v>268.17713242968824</c:v>
                </c:pt>
                <c:pt idx="34">
                  <c:v>290.99987776518356</c:v>
                </c:pt>
                <c:pt idx="35">
                  <c:v>313.78264418987732</c:v>
                </c:pt>
                <c:pt idx="36">
                  <c:v>336.52874099475525</c:v>
                </c:pt>
                <c:pt idx="37">
                  <c:v>359.24099365648948</c:v>
                </c:pt>
                <c:pt idx="38">
                  <c:v>381.9218413257197</c:v>
                </c:pt>
                <c:pt idx="39">
                  <c:v>404.57340992986127</c:v>
                </c:pt>
                <c:pt idx="40">
                  <c:v>427.19756804132595</c:v>
                </c:pt>
                <c:pt idx="41">
                  <c:v>334.87565222100699</c:v>
                </c:pt>
                <c:pt idx="42">
                  <c:v>358.00297390539248</c:v>
                </c:pt>
                <c:pt idx="43">
                  <c:v>381.09760826078087</c:v>
                </c:pt>
                <c:pt idx="44">
                  <c:v>404.16181319978574</c:v>
                </c:pt>
                <c:pt idx="45">
                  <c:v>427.19756804132584</c:v>
                </c:pt>
                <c:pt idx="46">
                  <c:v>450.20662136139305</c:v>
                </c:pt>
                <c:pt idx="47">
                  <c:v>473.1905285504651</c:v>
                </c:pt>
                <c:pt idx="48">
                  <c:v>496.15068169403884</c:v>
                </c:pt>
                <c:pt idx="49">
                  <c:v>519.0883336350588</c:v>
                </c:pt>
                <c:pt idx="50">
                  <c:v>542.00461756313393</c:v>
                </c:pt>
                <c:pt idx="51">
                  <c:v>447.33189509390405</c:v>
                </c:pt>
                <c:pt idx="52">
                  <c:v>467.44683052626738</c:v>
                </c:pt>
                <c:pt idx="53">
                  <c:v>487.54332562003589</c:v>
                </c:pt>
                <c:pt idx="54">
                  <c:v>507.62224688986066</c:v>
                </c:pt>
                <c:pt idx="55">
                  <c:v>527.68438675921141</c:v>
                </c:pt>
                <c:pt idx="56">
                  <c:v>547.73047252876825</c:v>
                </c:pt>
                <c:pt idx="57">
                  <c:v>567.76117396419647</c:v>
                </c:pt>
                <c:pt idx="58">
                  <c:v>587.77710975800085</c:v>
                </c:pt>
                <c:pt idx="59">
                  <c:v>607.77885306593191</c:v>
                </c:pt>
                <c:pt idx="60">
                  <c:v>627.76693627716747</c:v>
                </c:pt>
                <c:pt idx="61">
                  <c:v>530.75368845480523</c:v>
                </c:pt>
                <c:pt idx="62">
                  <c:v>548.13941394784206</c:v>
                </c:pt>
                <c:pt idx="63">
                  <c:v>565.51357660641634</c:v>
                </c:pt>
                <c:pt idx="64">
                  <c:v>582.87658146020169</c:v>
                </c:pt>
                <c:pt idx="65">
                  <c:v>600.22880745733244</c:v>
                </c:pt>
                <c:pt idx="66">
                  <c:v>617.57060986476927</c:v>
                </c:pt>
                <c:pt idx="67">
                  <c:v>634.9023223852007</c:v>
                </c:pt>
                <c:pt idx="68">
                  <c:v>652.22425903092574</c:v>
                </c:pt>
                <c:pt idx="69">
                  <c:v>669.53671578846297</c:v>
                </c:pt>
                <c:pt idx="70">
                  <c:v>686.83997210216705</c:v>
                </c:pt>
                <c:pt idx="71">
                  <c:v>587.77710975800085</c:v>
                </c:pt>
                <c:pt idx="72">
                  <c:v>602.88174976331322</c:v>
                </c:pt>
                <c:pt idx="73">
                  <c:v>617.97852950926324</c:v>
                </c:pt>
                <c:pt idx="74">
                  <c:v>633.06766795518104</c:v>
                </c:pt>
                <c:pt idx="75">
                  <c:v>648.14937277791114</c:v>
                </c:pt>
                <c:pt idx="76">
                  <c:v>663.22384120759318</c:v>
                </c:pt>
                <c:pt idx="77">
                  <c:v>678.29126078355807</c:v>
                </c:pt>
                <c:pt idx="78">
                  <c:v>693.35181003961054</c:v>
                </c:pt>
                <c:pt idx="79">
                  <c:v>708.40565912671661</c:v>
                </c:pt>
                <c:pt idx="80">
                  <c:v>723.45297038005344</c:v>
                </c:pt>
                <c:pt idx="81">
                  <c:v>622.87313112483434</c:v>
                </c:pt>
                <c:pt idx="82">
                  <c:v>636.32920005228732</c:v>
                </c:pt>
                <c:pt idx="83">
                  <c:v>649.77939049111694</c:v>
                </c:pt>
                <c:pt idx="84">
                  <c:v>663.22384120759318</c:v>
                </c:pt>
                <c:pt idx="85">
                  <c:v>676.66268488632613</c:v>
                </c:pt>
                <c:pt idx="86">
                  <c:v>690.09604851480833</c:v>
                </c:pt>
                <c:pt idx="87">
                  <c:v>703.52405373647377</c:v>
                </c:pt>
                <c:pt idx="88">
                  <c:v>716.94681717542096</c:v>
                </c:pt>
                <c:pt idx="89">
                  <c:v>730.36445073556968</c:v>
                </c:pt>
                <c:pt idx="90">
                  <c:v>743.77706187670583</c:v>
                </c:pt>
                <c:pt idx="91">
                  <c:v>641.83225318617008</c:v>
                </c:pt>
                <c:pt idx="92">
                  <c:v>653.85406638827351</c:v>
                </c:pt>
                <c:pt idx="93">
                  <c:v>665.87132552880109</c:v>
                </c:pt>
                <c:pt idx="94">
                  <c:v>677.88412434483746</c:v>
                </c:pt>
                <c:pt idx="95">
                  <c:v>689.89255298185071</c:v>
                </c:pt>
                <c:pt idx="96">
                  <c:v>701.89669819273661</c:v>
                </c:pt>
                <c:pt idx="97">
                  <c:v>713.89664352255022</c:v>
                </c:pt>
                <c:pt idx="98">
                  <c:v>725.89246948017433</c:v>
                </c:pt>
                <c:pt idx="99">
                  <c:v>737.88425369805861</c:v>
                </c:pt>
                <c:pt idx="100">
                  <c:v>749.87207108104474</c:v>
                </c:pt>
                <c:pt idx="101">
                  <c:v>648.5568851247009</c:v>
                </c:pt>
                <c:pt idx="102">
                  <c:v>659.15036331603949</c:v>
                </c:pt>
                <c:pt idx="103">
                  <c:v>669.7403364609894</c:v>
                </c:pt>
                <c:pt idx="104">
                  <c:v>680.32686777604408</c:v>
                </c:pt>
                <c:pt idx="105">
                  <c:v>690.91001835052691</c:v>
                </c:pt>
                <c:pt idx="106">
                  <c:v>701.48984725034472</c:v>
                </c:pt>
                <c:pt idx="107">
                  <c:v>712.06641161515643</c:v>
                </c:pt>
                <c:pt idx="108">
                  <c:v>722.63976674947287</c:v>
                </c:pt>
                <c:pt idx="109">
                  <c:v>733.20996620815129</c:v>
                </c:pt>
                <c:pt idx="110">
                  <c:v>743.77706187670503</c:v>
                </c:pt>
                <c:pt idx="111">
                  <c:v>649.16814374322701</c:v>
                </c:pt>
                <c:pt idx="112">
                  <c:v>658.33560563795118</c:v>
                </c:pt>
                <c:pt idx="113">
                  <c:v>667.50043896177965</c:v>
                </c:pt>
                <c:pt idx="114">
                  <c:v>676.66268488632568</c:v>
                </c:pt>
                <c:pt idx="115">
                  <c:v>685.8223833775661</c:v>
                </c:pt>
                <c:pt idx="116">
                  <c:v>694.97957324712013</c:v>
                </c:pt>
                <c:pt idx="117">
                  <c:v>704.1342922006861</c:v>
                </c:pt>
                <c:pt idx="118">
                  <c:v>713.28657688382839</c:v>
                </c:pt>
                <c:pt idx="119">
                  <c:v>722.4364629252932</c:v>
                </c:pt>
                <c:pt idx="120">
                  <c:v>731.58398497801784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4" zoomScale="80" zoomScaleNormal="80" workbookViewId="0">
      <selection activeCell="M122" sqref="M1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</v>
      </c>
      <c r="D9" s="33">
        <f t="shared" ref="D9:D18" si="0">C9*$C$5</f>
        <v>4.32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22</v>
      </c>
      <c r="C10" s="32">
        <v>0.2</v>
      </c>
      <c r="D10" s="33">
        <f t="shared" si="0"/>
        <v>1.4400000000000002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50</v>
      </c>
      <c r="C11" s="32">
        <v>0.1</v>
      </c>
      <c r="D11" s="33">
        <f t="shared" si="0"/>
        <v>0.72000000000000008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</v>
      </c>
      <c r="C12" s="32">
        <v>0.1</v>
      </c>
      <c r="D12" s="33">
        <f t="shared" si="0"/>
        <v>0.72000000000000008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f>67+6</f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f>93+28+28</f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f>147+28+28</f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203+28+28</f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f>245+28+28</f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f>274+28+28</f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292+28+28</f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f>302+28+28</f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f>306+28+27</f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f>307+26+25</f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305+24+23</f>
        <v>352</v>
      </c>
      <c r="C46" s="60">
        <v>11</v>
      </c>
      <c r="D46" s="60">
        <f>B46</f>
        <v>352</v>
      </c>
      <c r="E46" s="51"/>
      <c r="F46" s="51"/>
      <c r="G46" s="51"/>
      <c r="H46" s="51"/>
      <c r="I46" s="49">
        <f t="shared" si="1"/>
        <v>4.5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plane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11</v>
      </c>
      <c r="C62" s="60"/>
      <c r="D62" s="60"/>
      <c r="E62" s="51"/>
      <c r="F62" s="51">
        <v>0.25</v>
      </c>
      <c r="G62" s="51">
        <v>0.25</v>
      </c>
      <c r="H62" s="51">
        <v>0.5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134</v>
      </c>
      <c r="C63" s="60">
        <v>1</v>
      </c>
      <c r="D63" s="60">
        <f>32+35</f>
        <v>67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212</v>
      </c>
      <c r="C64" s="60">
        <v>2</v>
      </c>
      <c r="D64" s="60">
        <f>35+35</f>
        <v>70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14.5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263</v>
      </c>
      <c r="C65" s="60">
        <v>3</v>
      </c>
      <c r="D65" s="60">
        <f>35+35</f>
        <v>70</v>
      </c>
      <c r="E65" s="51"/>
      <c r="F65" s="51"/>
      <c r="G65" s="51"/>
      <c r="H65" s="51"/>
      <c r="I65" s="49">
        <f>IF(A65&lt;&gt;0,(B65-(B64-D64))/(A65-A64),"")</f>
        <v>12.1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285</v>
      </c>
      <c r="C66" s="60">
        <v>4</v>
      </c>
      <c r="D66" s="60">
        <f>24+19</f>
        <v>43</v>
      </c>
      <c r="E66" s="51"/>
      <c r="F66" s="51"/>
      <c r="G66" s="51"/>
      <c r="H66" s="51"/>
      <c r="I66" s="49">
        <f t="shared" ref="I66:I81" si="3">IF(A66&lt;&gt;0,(B66-(B65-D65))/(A66-A65),"")</f>
        <v>9.1999999999999993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310</v>
      </c>
      <c r="C67" s="60">
        <v>5</v>
      </c>
      <c r="D67" s="60">
        <f>16+14</f>
        <v>30</v>
      </c>
      <c r="E67" s="51"/>
      <c r="F67" s="51"/>
      <c r="G67" s="51"/>
      <c r="H67" s="51"/>
      <c r="I67" s="49">
        <f t="shared" si="3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329</v>
      </c>
      <c r="C68" s="60">
        <v>6</v>
      </c>
      <c r="D68" s="60">
        <f>13+13</f>
        <v>26</v>
      </c>
      <c r="E68" s="51"/>
      <c r="F68" s="51"/>
      <c r="G68" s="51"/>
      <c r="H68" s="51"/>
      <c r="I68" s="49">
        <f t="shared" si="3"/>
        <v>4.9000000000000004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319+12+11</f>
        <v>342</v>
      </c>
      <c r="C69" s="50">
        <v>7</v>
      </c>
      <c r="D69" s="50">
        <f>B69</f>
        <v>342</v>
      </c>
      <c r="E69" s="51"/>
      <c r="F69" s="51"/>
      <c r="G69" s="51"/>
      <c r="H69" s="51"/>
      <c r="I69" s="49">
        <f t="shared" si="3"/>
        <v>3.9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Tilleul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11</v>
      </c>
      <c r="C88" s="60">
        <v>1</v>
      </c>
      <c r="D88" s="60">
        <v>0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134</v>
      </c>
      <c r="C89" s="60">
        <v>2</v>
      </c>
      <c r="D89" s="60"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212</v>
      </c>
      <c r="C90" s="60">
        <v>3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4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263</v>
      </c>
      <c r="C91" s="60">
        <v>4</v>
      </c>
      <c r="D91" s="60">
        <v>70</v>
      </c>
      <c r="E91" s="87"/>
      <c r="F91" s="87"/>
      <c r="G91" s="87"/>
      <c r="H91" s="87"/>
      <c r="I91" s="53">
        <f t="shared" si="4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285</v>
      </c>
      <c r="C92" s="60">
        <v>5</v>
      </c>
      <c r="D92" s="60">
        <v>43</v>
      </c>
      <c r="E92" s="87"/>
      <c r="F92" s="87"/>
      <c r="G92" s="87"/>
      <c r="H92" s="87"/>
      <c r="I92" s="53">
        <f t="shared" si="4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310</v>
      </c>
      <c r="C93" s="60">
        <v>6</v>
      </c>
      <c r="D93" s="60">
        <v>30</v>
      </c>
      <c r="E93" s="87"/>
      <c r="F93" s="87"/>
      <c r="G93" s="87"/>
      <c r="H93" s="87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329</v>
      </c>
      <c r="C94" s="60">
        <v>7</v>
      </c>
      <c r="D94" s="60">
        <v>26</v>
      </c>
      <c r="E94" s="87"/>
      <c r="F94" s="87"/>
      <c r="G94" s="87"/>
      <c r="H94" s="87"/>
      <c r="I94" s="53">
        <f t="shared" si="4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342</v>
      </c>
      <c r="C95" s="60">
        <v>8</v>
      </c>
      <c r="D95" s="60">
        <v>342</v>
      </c>
      <c r="E95" s="87"/>
      <c r="F95" s="87"/>
      <c r="G95" s="87"/>
      <c r="H95" s="87"/>
      <c r="I95" s="53">
        <f t="shared" si="4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67+6</f>
        <v>73</v>
      </c>
      <c r="C114" s="50">
        <v>1</v>
      </c>
      <c r="D114" s="60">
        <v>6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93+28+28</f>
        <v>149</v>
      </c>
      <c r="C115" s="50">
        <v>2</v>
      </c>
      <c r="D115" s="60">
        <f>28+28</f>
        <v>56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5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147+28+28</f>
        <v>203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5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203+28+28</f>
        <v>259</v>
      </c>
      <c r="C117" s="50">
        <v>4</v>
      </c>
      <c r="D117" s="60">
        <f>28+28</f>
        <v>56</v>
      </c>
      <c r="E117" s="51"/>
      <c r="F117" s="51"/>
      <c r="G117" s="51"/>
      <c r="H117" s="51"/>
      <c r="I117" s="53">
        <f t="shared" si="5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245+28+28</f>
        <v>301</v>
      </c>
      <c r="C118" s="50">
        <v>5</v>
      </c>
      <c r="D118" s="60">
        <f t="shared" ref="D118:D121" si="6">28+28</f>
        <v>56</v>
      </c>
      <c r="E118" s="51"/>
      <c r="F118" s="51"/>
      <c r="G118" s="51"/>
      <c r="H118" s="51"/>
      <c r="I118" s="53">
        <f t="shared" si="5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274+28+28</f>
        <v>330</v>
      </c>
      <c r="C119" s="50">
        <v>6</v>
      </c>
      <c r="D119" s="60">
        <f t="shared" si="6"/>
        <v>56</v>
      </c>
      <c r="E119" s="51"/>
      <c r="F119" s="51"/>
      <c r="G119" s="51"/>
      <c r="H119" s="51"/>
      <c r="I119" s="53">
        <f t="shared" si="5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292+28+28</f>
        <v>348</v>
      </c>
      <c r="C120" s="60">
        <v>7</v>
      </c>
      <c r="D120" s="60">
        <f t="shared" si="6"/>
        <v>56</v>
      </c>
      <c r="E120" s="87"/>
      <c r="F120" s="87"/>
      <c r="G120" s="87"/>
      <c r="H120" s="87"/>
      <c r="I120" s="53">
        <f t="shared" si="5"/>
        <v>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302+28+28</f>
        <v>358</v>
      </c>
      <c r="C121" s="60">
        <v>8</v>
      </c>
      <c r="D121" s="60">
        <f t="shared" si="6"/>
        <v>56</v>
      </c>
      <c r="E121" s="87"/>
      <c r="F121" s="87"/>
      <c r="G121" s="87"/>
      <c r="H121" s="87"/>
      <c r="I121" s="53">
        <f t="shared" si="5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306+28+27</f>
        <v>361</v>
      </c>
      <c r="C122" s="60">
        <v>9</v>
      </c>
      <c r="D122" s="60">
        <f>28+27</f>
        <v>55</v>
      </c>
      <c r="E122" s="87"/>
      <c r="F122" s="87"/>
      <c r="G122" s="87"/>
      <c r="H122" s="87"/>
      <c r="I122" s="53">
        <f t="shared" si="5"/>
        <v>5.9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307+26+25</f>
        <v>358</v>
      </c>
      <c r="C123" s="60">
        <v>10</v>
      </c>
      <c r="D123" s="60">
        <f>26+25</f>
        <v>51</v>
      </c>
      <c r="E123" s="87"/>
      <c r="F123" s="87"/>
      <c r="G123" s="87"/>
      <c r="H123" s="87"/>
      <c r="I123" s="53">
        <f t="shared" si="5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305+24+23</f>
        <v>352</v>
      </c>
      <c r="C124" s="60">
        <v>11</v>
      </c>
      <c r="D124" s="60">
        <f>B124</f>
        <v>352</v>
      </c>
      <c r="E124" s="87"/>
      <c r="F124" s="87"/>
      <c r="G124" s="87"/>
      <c r="H124" s="87"/>
      <c r="I124" s="53">
        <f t="shared" si="5"/>
        <v>4.5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plane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Tilleul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318.40875902853116</v>
      </c>
      <c r="T3" s="59">
        <f>IF('Données projet'!E9&gt;30,$R$33-$H$33,LOOKUP('Données projet'!$E$9,$A$3:$A$203,R3:R203)-LOOKUP('Données projet'!$E$9,$A$3:$A$203,$H$3:$H$203))</f>
        <v>234.87694492493506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260.20517190557814</v>
      </c>
      <c r="AO3" s="59">
        <f>IF('Données projet'!E10&gt;30,$AM$33-$H$33,LOOKUP('Données projet'!$E$10,$A$3:$A$203,AM3:AM203)-LOOKUP('Données projet'!$E$10,$A$3:$A$203,$H$3:$H$203))</f>
        <v>307.22009971147133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207.93042467236967</v>
      </c>
      <c r="BJ3" s="59">
        <f>IF('Données projet'!E11&gt;30,$BH$33-$H$33,LOOKUP('Données projet'!$E$11,$A$3:$A$203,BH3:BH203)-LOOKUP('Données projet'!$E$11,$A$3:$A$203,$H$3:$H$203))</f>
        <v>250.70954318710835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347.8889410585312</v>
      </c>
      <c r="CE3" s="59">
        <f>IF('Données projet'!E12&gt;30,$CC$33-$H$33,LOOKUP('Données projet'!$E$12,$A$3:$A$203,CC3:CC203)-LOOKUP('Données projet'!$E$12,$A$3:$A$203,$H$3:$H$203))</f>
        <v>254.78167322479203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318.40875902853116</v>
      </c>
      <c r="T4" s="59">
        <f>$T$3</f>
        <v>234.87694492493506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1.0111929730611879</v>
      </c>
      <c r="AK4" s="13">
        <f>EXP(-1.0587+0.8836*LN(AJ4)+0.284)</f>
        <v>0.46539683474213156</v>
      </c>
      <c r="AL4" s="20">
        <f t="shared" ref="AL4:AL67" si="4">(AJ4+AK4)*0.475*44/12</f>
        <v>2.5717272485907814</v>
      </c>
      <c r="AM4" s="59">
        <f t="shared" ref="AM4:AM67" si="5">AL4+(AD4+AE4)*44/12</f>
        <v>295.90506058192409</v>
      </c>
      <c r="AN4" s="59">
        <f ca="1">AVERAGE(OFFSET($AM$3,0,0,'Données projet'!$E$10+1,1))-AVERAGE(OFFSET($H$3,0,0,'Données projet'!$E$10+1,1))</f>
        <v>260.20517190557814</v>
      </c>
      <c r="AO4" s="59">
        <f>$AO$3</f>
        <v>307.22009971147133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0.85257446748296239</v>
      </c>
      <c r="BF4" s="13">
        <f>EXP(-1.0587+0.8836*LN(BE4)+0.284)</f>
        <v>0.40026456574842817</v>
      </c>
      <c r="BG4" s="20">
        <f t="shared" ref="BG4:BG67" si="7">(BE4+BF4)*0.475*44/12</f>
        <v>2.1820279828780054</v>
      </c>
      <c r="BH4" s="59">
        <f t="shared" ref="BH4:BH67" si="8">BG4+(AY4+AZ4)*44/12</f>
        <v>295.51536131621134</v>
      </c>
      <c r="BI4" s="59">
        <f ca="1">AVERAGE(OFFSET($BH$3,0,0,'Données projet'!$E$11+1,1))-AVERAGE(OFFSET($H$3,0,0,'Données projet'!$E$11+1,1))</f>
        <v>207.93042467236967</v>
      </c>
      <c r="BJ4" s="59">
        <f>$BJ$3</f>
        <v>250.70954318710835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1.1986225139154763</v>
      </c>
      <c r="CA4" s="13">
        <f>EXP(-1.0587+0.8836*LN(BZ4)+0.284)</f>
        <v>0.54084878793982472</v>
      </c>
      <c r="CB4" s="20">
        <f t="shared" ref="CB4:CB67" si="10">(BZ4+CA4)*0.475*44/12</f>
        <v>3.0295791840646493</v>
      </c>
      <c r="CC4" s="59">
        <f t="shared" ref="CC4:CC67" si="11">CB4+(BT4+BU4)*44/12</f>
        <v>296.36291251739794</v>
      </c>
      <c r="CD4" s="59">
        <f ca="1">AVERAGE(OFFSET($CC$3,0,0,'Données projet'!$E$12+1,1))-AVERAGE(OFFSET($H$3,0,0,'Données projet'!$E$12+1,1))</f>
        <v>347.8889410585312</v>
      </c>
      <c r="CE4" s="59">
        <f>$CE$3</f>
        <v>254.78167322479203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318.40875902853116</v>
      </c>
      <c r="T5" s="59">
        <f t="shared" ref="T5:T68" si="34">$T$3</f>
        <v>234.87694492493506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1.2852076781904531</v>
      </c>
      <c r="AK5" s="13">
        <f t="shared" ref="AK5:AK68" si="35">EXP(-1.0587+0.8836*LN(AJ5)+0.284)</f>
        <v>0.57522914588482876</v>
      </c>
      <c r="AL5" s="20">
        <f t="shared" si="4"/>
        <v>3.2402608019311159</v>
      </c>
      <c r="AM5" s="59">
        <f t="shared" si="5"/>
        <v>296.57359413526444</v>
      </c>
      <c r="AN5" s="59">
        <f ca="1">AVERAGE(OFFSET($AM$3,0,0,'Données projet'!$E$10+1,1))-AVERAGE(OFFSET($H$3,0,0,'Données projet'!$E$10+1,1))</f>
        <v>260.20517190557814</v>
      </c>
      <c r="AO5" s="59">
        <f t="shared" ref="AO5:AO68" si="36">$AO$3</f>
        <v>307.22009971147133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1.0836064737684212</v>
      </c>
      <c r="BF5" s="13">
        <f t="shared" ref="BF5:BF68" si="37">EXP(-1.0587+0.8836*LN(BE5)+0.284)</f>
        <v>0.49472584920136886</v>
      </c>
      <c r="BG5" s="20">
        <f t="shared" si="7"/>
        <v>2.7489287958390509</v>
      </c>
      <c r="BH5" s="59">
        <f t="shared" si="8"/>
        <v>296.08226212917236</v>
      </c>
      <c r="BI5" s="59">
        <f ca="1">AVERAGE(OFFSET($BH$3,0,0,'Données projet'!$E$11+1,1))-AVERAGE(OFFSET($H$3,0,0,'Données projet'!$E$11+1,1))</f>
        <v>207.93042467236967</v>
      </c>
      <c r="BJ5" s="59">
        <f t="shared" ref="BJ5:BJ68" si="38">$BJ$3</f>
        <v>250.70954318710835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1.4854176290995202</v>
      </c>
      <c r="CA5" s="13">
        <f t="shared" ref="CA5:CA68" si="39">EXP(-1.0587+0.8836*LN(BZ5)+0.284)</f>
        <v>0.65372856897250708</v>
      </c>
      <c r="CB5" s="20">
        <f t="shared" si="10"/>
        <v>3.725679628308781</v>
      </c>
      <c r="CC5" s="59">
        <f t="shared" si="11"/>
        <v>297.05901296164211</v>
      </c>
      <c r="CD5" s="59">
        <f ca="1">AVERAGE(OFFSET($CC$3,0,0,'Données projet'!$E$12+1,1))-AVERAGE(OFFSET($H$3,0,0,'Données projet'!$E$12+1,1))</f>
        <v>347.8889410585312</v>
      </c>
      <c r="CE5" s="59">
        <f t="shared" ref="CE5:CE68" si="40">$CE$3</f>
        <v>254.78167322479203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318.40875902853116</v>
      </c>
      <c r="T6" s="59">
        <f t="shared" si="34"/>
        <v>234.87694492493506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1.6334753307069771</v>
      </c>
      <c r="AK6" s="13">
        <f t="shared" si="35"/>
        <v>0.71098156578295024</v>
      </c>
      <c r="AL6" s="20">
        <f t="shared" si="4"/>
        <v>4.0832624280532892</v>
      </c>
      <c r="AM6" s="59">
        <f t="shared" si="5"/>
        <v>297.41659576138659</v>
      </c>
      <c r="AN6" s="59">
        <f ca="1">AVERAGE(OFFSET($AM$3,0,0,'Données projet'!$E$10+1,1))-AVERAGE(OFFSET($H$3,0,0,'Données projet'!$E$10+1,1))</f>
        <v>260.20517190557814</v>
      </c>
      <c r="AO6" s="59">
        <f t="shared" si="36"/>
        <v>307.22009971147133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1.3772439062823532</v>
      </c>
      <c r="BF6" s="13">
        <f t="shared" si="37"/>
        <v>0.61147972319350075</v>
      </c>
      <c r="BG6" s="20">
        <f t="shared" si="7"/>
        <v>3.4636936546704455</v>
      </c>
      <c r="BH6" s="59">
        <f t="shared" si="8"/>
        <v>296.79702698800378</v>
      </c>
      <c r="BI6" s="59">
        <f ca="1">AVERAGE(OFFSET($BH$3,0,0,'Données projet'!$E$11+1,1))-AVERAGE(OFFSET($H$3,0,0,'Données projet'!$E$11+1,1))</f>
        <v>207.93042467236967</v>
      </c>
      <c r="BJ6" s="59">
        <f t="shared" si="38"/>
        <v>250.70954318710835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1.8408343804855598</v>
      </c>
      <c r="CA6" s="13">
        <f t="shared" si="39"/>
        <v>0.79016732850363813</v>
      </c>
      <c r="CB6" s="20">
        <f t="shared" si="10"/>
        <v>4.5823279764895188</v>
      </c>
      <c r="CC6" s="59">
        <f t="shared" si="11"/>
        <v>297.91566130982284</v>
      </c>
      <c r="CD6" s="59">
        <f ca="1">AVERAGE(OFFSET($CC$3,0,0,'Données projet'!$E$12+1,1))-AVERAGE(OFFSET($H$3,0,0,'Données projet'!$E$12+1,1))</f>
        <v>347.8889410585312</v>
      </c>
      <c r="CE6" s="59">
        <f t="shared" si="40"/>
        <v>254.78167322479203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318.40875902853116</v>
      </c>
      <c r="T7" s="59">
        <f t="shared" si="34"/>
        <v>234.87694492493506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2.0761171142278725</v>
      </c>
      <c r="AK7" s="13">
        <f t="shared" si="35"/>
        <v>0.87877116536856548</v>
      </c>
      <c r="AL7" s="20">
        <f t="shared" si="4"/>
        <v>5.14643042029713</v>
      </c>
      <c r="AM7" s="59">
        <f t="shared" si="5"/>
        <v>298.47976375363044</v>
      </c>
      <c r="AN7" s="59">
        <f ca="1">AVERAGE(OFFSET($AM$3,0,0,'Données projet'!$E$10+1,1))-AVERAGE(OFFSET($H$3,0,0,'Données projet'!$E$10+1,1))</f>
        <v>260.20517190557814</v>
      </c>
      <c r="AO7" s="59">
        <f t="shared" si="36"/>
        <v>307.22009971147133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1.7504516845450688</v>
      </c>
      <c r="BF7" s="13">
        <f t="shared" si="37"/>
        <v>0.75578717481691204</v>
      </c>
      <c r="BG7" s="20">
        <f t="shared" si="7"/>
        <v>4.3650326800554504</v>
      </c>
      <c r="BH7" s="59">
        <f t="shared" si="8"/>
        <v>297.69836601338875</v>
      </c>
      <c r="BI7" s="59">
        <f ca="1">AVERAGE(OFFSET($BH$3,0,0,'Données projet'!$E$11+1,1))-AVERAGE(OFFSET($H$3,0,0,'Données projet'!$E$11+1,1))</f>
        <v>207.93042467236967</v>
      </c>
      <c r="BJ7" s="59">
        <f t="shared" si="38"/>
        <v>250.70954318710835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2.2812919074024398</v>
      </c>
      <c r="CA7" s="13">
        <f t="shared" si="39"/>
        <v>0.95508202741684722</v>
      </c>
      <c r="CB7" s="20">
        <f t="shared" si="10"/>
        <v>5.6366846031435918</v>
      </c>
      <c r="CC7" s="59">
        <f t="shared" si="11"/>
        <v>298.97001793647689</v>
      </c>
      <c r="CD7" s="59">
        <f ca="1">AVERAGE(OFFSET($CC$3,0,0,'Données projet'!$E$12+1,1))-AVERAGE(OFFSET($H$3,0,0,'Données projet'!$E$12+1,1))</f>
        <v>347.8889410585312</v>
      </c>
      <c r="CE7" s="59">
        <f t="shared" si="40"/>
        <v>254.78167322479203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318.40875902853116</v>
      </c>
      <c r="T8" s="59">
        <f t="shared" si="34"/>
        <v>234.87694492493506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2.6387066832067574</v>
      </c>
      <c r="AK8" s="13">
        <f t="shared" si="35"/>
        <v>1.0861586266766543</v>
      </c>
      <c r="AL8" s="20">
        <f t="shared" si="4"/>
        <v>6.4874737480469413</v>
      </c>
      <c r="AM8" s="59">
        <f t="shared" si="5"/>
        <v>299.82080708138028</v>
      </c>
      <c r="AN8" s="59">
        <f ca="1">AVERAGE(OFFSET($AM$3,0,0,'Données projet'!$E$10+1,1))-AVERAGE(OFFSET($H$3,0,0,'Données projet'!$E$10+1,1))</f>
        <v>260.20517190557814</v>
      </c>
      <c r="AO8" s="59">
        <f t="shared" si="36"/>
        <v>307.22009971147133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2.2247919093704032</v>
      </c>
      <c r="BF8" s="13">
        <f t="shared" si="37"/>
        <v>0.93415076894867155</v>
      </c>
      <c r="BG8" s="20">
        <f t="shared" si="7"/>
        <v>5.5018251647390555</v>
      </c>
      <c r="BH8" s="59">
        <f t="shared" si="8"/>
        <v>298.83515849807236</v>
      </c>
      <c r="BI8" s="59">
        <f ca="1">AVERAGE(OFFSET($BH$3,0,0,'Données projet'!$E$11+1,1))-AVERAGE(OFFSET($H$3,0,0,'Données projet'!$E$11+1,1))</f>
        <v>207.93042467236967</v>
      </c>
      <c r="BJ8" s="59">
        <f t="shared" si="38"/>
        <v>250.70954318710835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2.8271379663210752</v>
      </c>
      <c r="CA8" s="13">
        <f t="shared" si="39"/>
        <v>1.1544158385061292</v>
      </c>
      <c r="CB8" s="20">
        <f t="shared" si="10"/>
        <v>6.9345395434073795</v>
      </c>
      <c r="CC8" s="59">
        <f t="shared" si="11"/>
        <v>300.26787287674068</v>
      </c>
      <c r="CD8" s="59">
        <f ca="1">AVERAGE(OFFSET($CC$3,0,0,'Données projet'!$E$12+1,1))-AVERAGE(OFFSET($H$3,0,0,'Données projet'!$E$12+1,1))</f>
        <v>347.8889410585312</v>
      </c>
      <c r="CE8" s="59">
        <f t="shared" si="40"/>
        <v>254.78167322479203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318.40875902853116</v>
      </c>
      <c r="T9" s="59">
        <f t="shared" si="34"/>
        <v>234.87694492493506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3.353747682287918</v>
      </c>
      <c r="AK9" s="13">
        <f t="shared" si="35"/>
        <v>1.3424889309030987</v>
      </c>
      <c r="AL9" s="20">
        <f t="shared" si="4"/>
        <v>8.1792787679743544</v>
      </c>
      <c r="AM9" s="59">
        <f t="shared" si="5"/>
        <v>301.5126121013077</v>
      </c>
      <c r="AN9" s="59">
        <f ca="1">AVERAGE(OFFSET($AM$3,0,0,'Données projet'!$E$10+1,1))-AVERAGE(OFFSET($H$3,0,0,'Données projet'!$E$10+1,1))</f>
        <v>260.20517190557814</v>
      </c>
      <c r="AO9" s="59">
        <f t="shared" si="36"/>
        <v>307.22009971147133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2.8276696144780482</v>
      </c>
      <c r="BF9" s="13">
        <f t="shared" si="37"/>
        <v>1.1546076570283019</v>
      </c>
      <c r="BG9" s="20">
        <f t="shared" si="7"/>
        <v>6.9357995812068935</v>
      </c>
      <c r="BH9" s="59">
        <f t="shared" si="8"/>
        <v>300.26913291454019</v>
      </c>
      <c r="BI9" s="59">
        <f ca="1">AVERAGE(OFFSET($BH$3,0,0,'Données projet'!$E$11+1,1))-AVERAGE(OFFSET($H$3,0,0,'Données projet'!$E$11+1,1))</f>
        <v>207.93042467236967</v>
      </c>
      <c r="BJ9" s="59">
        <f t="shared" si="38"/>
        <v>250.70954318710835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3.5035889333929422</v>
      </c>
      <c r="CA9" s="13">
        <f t="shared" si="39"/>
        <v>1.3953523257036018</v>
      </c>
      <c r="CB9" s="20">
        <f t="shared" si="10"/>
        <v>8.5323226929264795</v>
      </c>
      <c r="CC9" s="59">
        <f t="shared" si="11"/>
        <v>301.86565602625978</v>
      </c>
      <c r="CD9" s="59">
        <f ca="1">AVERAGE(OFFSET($CC$3,0,0,'Données projet'!$E$12+1,1))-AVERAGE(OFFSET($H$3,0,0,'Données projet'!$E$12+1,1))</f>
        <v>347.8889410585312</v>
      </c>
      <c r="CE9" s="59">
        <f t="shared" si="40"/>
        <v>254.78167322479203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318.40875902853116</v>
      </c>
      <c r="T10" s="59">
        <f t="shared" si="34"/>
        <v>234.87694492493506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4.2625516462415645</v>
      </c>
      <c r="AK10" s="13">
        <f t="shared" si="35"/>
        <v>1.6593124478620722</v>
      </c>
      <c r="AL10" s="20">
        <f t="shared" si="4"/>
        <v>10.313913297230501</v>
      </c>
      <c r="AM10" s="59">
        <f t="shared" si="5"/>
        <v>303.64724663056381</v>
      </c>
      <c r="AN10" s="59">
        <f ca="1">AVERAGE(OFFSET($AM$3,0,0,'Données projet'!$E$10+1,1))-AVERAGE(OFFSET($H$3,0,0,'Données projet'!$E$10+1,1))</f>
        <v>260.20517190557814</v>
      </c>
      <c r="AO10" s="59">
        <f t="shared" si="36"/>
        <v>307.22009971147133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3.5939160938899462</v>
      </c>
      <c r="BF10" s="13">
        <f t="shared" si="37"/>
        <v>1.4270917350619183</v>
      </c>
      <c r="BG10" s="20">
        <f t="shared" si="7"/>
        <v>8.7449219687578292</v>
      </c>
      <c r="BH10" s="59">
        <f t="shared" si="8"/>
        <v>302.07825530209112</v>
      </c>
      <c r="BI10" s="59">
        <f ca="1">AVERAGE(OFFSET($BH$3,0,0,'Données projet'!$E$11+1,1))-AVERAGE(OFFSET($H$3,0,0,'Données projet'!$E$11+1,1))</f>
        <v>207.93042467236967</v>
      </c>
      <c r="BJ10" s="59">
        <f t="shared" si="38"/>
        <v>250.70954318710835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4.3418947219498456</v>
      </c>
      <c r="CA10" s="13">
        <f t="shared" si="39"/>
        <v>1.6865743243491664</v>
      </c>
      <c r="CB10" s="20">
        <f t="shared" si="10"/>
        <v>10.499583588970779</v>
      </c>
      <c r="CC10" s="59">
        <f t="shared" si="11"/>
        <v>303.83291692230409</v>
      </c>
      <c r="CD10" s="59">
        <f ca="1">AVERAGE(OFFSET($CC$3,0,0,'Données projet'!$E$12+1,1))-AVERAGE(OFFSET($H$3,0,0,'Données projet'!$E$12+1,1))</f>
        <v>347.8889410585312</v>
      </c>
      <c r="CE10" s="59">
        <f t="shared" si="40"/>
        <v>254.78167322479203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318.40875902853116</v>
      </c>
      <c r="T11" s="59">
        <f t="shared" si="34"/>
        <v>234.87694492493506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5.4176247762567487</v>
      </c>
      <c r="AK11" s="13">
        <f t="shared" si="35"/>
        <v>2.0509054013412618</v>
      </c>
      <c r="AL11" s="20">
        <f t="shared" si="4"/>
        <v>13.007690059316532</v>
      </c>
      <c r="AM11" s="59">
        <f t="shared" si="5"/>
        <v>306.34102339264984</v>
      </c>
      <c r="AN11" s="59">
        <f ca="1">AVERAGE(OFFSET($AM$3,0,0,'Données projet'!$E$10+1,1))-AVERAGE(OFFSET($H$3,0,0,'Données projet'!$E$10+1,1))</f>
        <v>260.20517190557814</v>
      </c>
      <c r="AO11" s="59">
        <f t="shared" si="36"/>
        <v>307.22009971147133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4.5678012819419642</v>
      </c>
      <c r="BF11" s="13">
        <f t="shared" si="37"/>
        <v>1.7638812698711521</v>
      </c>
      <c r="BG11" s="20">
        <f t="shared" si="7"/>
        <v>11.027680444407844</v>
      </c>
      <c r="BH11" s="59">
        <f t="shared" si="8"/>
        <v>304.36101377774116</v>
      </c>
      <c r="BI11" s="59">
        <f ca="1">AVERAGE(OFFSET($BH$3,0,0,'Données projet'!$E$11+1,1))-AVERAGE(OFFSET($H$3,0,0,'Données projet'!$E$11+1,1))</f>
        <v>207.93042467236967</v>
      </c>
      <c r="BJ11" s="59">
        <f t="shared" si="38"/>
        <v>250.70954318710835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5.3807824305002701</v>
      </c>
      <c r="CA11" s="13">
        <f t="shared" si="39"/>
        <v>2.0385768519929188</v>
      </c>
      <c r="CB11" s="20">
        <f t="shared" si="10"/>
        <v>12.922050750342303</v>
      </c>
      <c r="CC11" s="59">
        <f t="shared" si="11"/>
        <v>306.25538408367561</v>
      </c>
      <c r="CD11" s="59">
        <f ca="1">AVERAGE(OFFSET($CC$3,0,0,'Données projet'!$E$12+1,1))-AVERAGE(OFFSET($H$3,0,0,'Données projet'!$E$12+1,1))</f>
        <v>347.8889410585312</v>
      </c>
      <c r="CE11" s="59">
        <f t="shared" si="40"/>
        <v>254.78167322479203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318.40875902853116</v>
      </c>
      <c r="T12" s="59">
        <f t="shared" si="34"/>
        <v>234.87694492493506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6.8857014887292793</v>
      </c>
      <c r="AK12" s="13">
        <f t="shared" si="35"/>
        <v>2.5349131627802968</v>
      </c>
      <c r="AL12" s="20">
        <f t="shared" si="4"/>
        <v>16.407570518045844</v>
      </c>
      <c r="AM12" s="59">
        <f t="shared" si="5"/>
        <v>309.74090385137913</v>
      </c>
      <c r="AN12" s="59">
        <f ca="1">AVERAGE(OFFSET($AM$3,0,0,'Données projet'!$E$10+1,1))-AVERAGE(OFFSET($H$3,0,0,'Données projet'!$E$10+1,1))</f>
        <v>260.20517190557814</v>
      </c>
      <c r="AO12" s="59">
        <f t="shared" si="36"/>
        <v>307.22009971147133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5.8055914512815487</v>
      </c>
      <c r="BF12" s="13">
        <f t="shared" si="37"/>
        <v>2.1801521638461985</v>
      </c>
      <c r="BG12" s="20">
        <f t="shared" si="7"/>
        <v>13.908503463014158</v>
      </c>
      <c r="BH12" s="59">
        <f t="shared" si="8"/>
        <v>307.24183679634746</v>
      </c>
      <c r="BI12" s="59">
        <f ca="1">AVERAGE(OFFSET($BH$3,0,0,'Données projet'!$E$11+1,1))-AVERAGE(OFFSET($H$3,0,0,'Données projet'!$E$11+1,1))</f>
        <v>207.93042467236967</v>
      </c>
      <c r="BJ12" s="59">
        <f t="shared" si="38"/>
        <v>250.70954318710835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6.6682454132324853</v>
      </c>
      <c r="CA12" s="13">
        <f t="shared" si="39"/>
        <v>2.4640453263659414</v>
      </c>
      <c r="CB12" s="20">
        <f t="shared" si="10"/>
        <v>15.905406371467258</v>
      </c>
      <c r="CC12" s="59">
        <f t="shared" si="11"/>
        <v>309.23873970480059</v>
      </c>
      <c r="CD12" s="59">
        <f ca="1">AVERAGE(OFFSET($CC$3,0,0,'Données projet'!$E$12+1,1))-AVERAGE(OFFSET($H$3,0,0,'Données projet'!$E$12+1,1))</f>
        <v>347.8889410585312</v>
      </c>
      <c r="CE12" s="59">
        <f t="shared" si="40"/>
        <v>254.78167322479203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318.40875902853116</v>
      </c>
      <c r="T13" s="59">
        <f t="shared" si="34"/>
        <v>234.87694492493506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8.7516000000000016</v>
      </c>
      <c r="AK13" s="13">
        <f t="shared" si="35"/>
        <v>3.1331453604025001</v>
      </c>
      <c r="AL13" s="20">
        <f t="shared" si="4"/>
        <v>20.699264836034356</v>
      </c>
      <c r="AM13" s="59">
        <f t="shared" si="5"/>
        <v>314.03259816936765</v>
      </c>
      <c r="AN13" s="59">
        <f ca="1">AVERAGE(OFFSET($AM$3,0,0,'Données projet'!$E$10+1,1))-AVERAGE(OFFSET($H$3,0,0,'Données projet'!$E$10+1,1))</f>
        <v>260.20517190557814</v>
      </c>
      <c r="AO13" s="59">
        <f t="shared" si="36"/>
        <v>307.22009971147133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0.13250000000000001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7.3787999999999991</v>
      </c>
      <c r="BF13" s="13">
        <f t="shared" si="37"/>
        <v>2.6946617885853841</v>
      </c>
      <c r="BG13" s="20">
        <f t="shared" si="7"/>
        <v>17.544612615119544</v>
      </c>
      <c r="BH13" s="59">
        <f t="shared" si="8"/>
        <v>310.87794594845286</v>
      </c>
      <c r="BI13" s="59">
        <f ca="1">AVERAGE(OFFSET($BH$3,0,0,'Données projet'!$E$11+1,1))-AVERAGE(OFFSET($H$3,0,0,'Données projet'!$E$11+1,1))</f>
        <v>207.93042467236967</v>
      </c>
      <c r="BJ13" s="59">
        <f t="shared" si="38"/>
        <v>250.70954318710835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8.2637604224711172</v>
      </c>
      <c r="CA13" s="13">
        <f t="shared" si="39"/>
        <v>2.9783127206856603</v>
      </c>
      <c r="CB13" s="20">
        <f t="shared" si="10"/>
        <v>19.579944057664719</v>
      </c>
      <c r="CC13" s="59">
        <f t="shared" si="11"/>
        <v>312.91327739099802</v>
      </c>
      <c r="CD13" s="59">
        <f ca="1">AVERAGE(OFFSET($CC$3,0,0,'Données projet'!$E$12+1,1))-AVERAGE(OFFSET($H$3,0,0,'Données projet'!$E$12+1,1))</f>
        <v>347.8889410585312</v>
      </c>
      <c r="CE13" s="59">
        <f t="shared" si="40"/>
        <v>254.78167322479203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318.40875902853116</v>
      </c>
      <c r="T14" s="59">
        <f t="shared" si="34"/>
        <v>234.87694492493506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12.3</v>
      </c>
      <c r="AI14" s="13">
        <f>IF('Données projet'!$A$62&gt;35,AI13+AH14-AQ13,IF(A14&lt;'Données projet'!$A$62,$AF$205^A14,IF(A14='Données projet'!$A$62,'Données projet'!$B$62,AI13+AH14-AQ13)))</f>
        <v>23.3</v>
      </c>
      <c r="AJ14" s="13">
        <f>AI14*VLOOKUP('Données projet'!$B$10,Paramètres!$A$1:$I$89,3,0)*VLOOKUP('Données projet'!$B$10,Paramètres!$A$1:$I$89,5,0)</f>
        <v>18.537480000000002</v>
      </c>
      <c r="AK14" s="13">
        <f t="shared" si="35"/>
        <v>6.0813732490407499</v>
      </c>
      <c r="AL14" s="20">
        <f t="shared" si="4"/>
        <v>42.877836075412638</v>
      </c>
      <c r="AM14" s="59">
        <f t="shared" si="5"/>
        <v>336.21116940874595</v>
      </c>
      <c r="AN14" s="59">
        <f ca="1">AVERAGE(OFFSET($AM$3,0,0,'Données projet'!$E$10+1,1))-AVERAGE(OFFSET($H$3,0,0,'Données projet'!$E$10+1,1))</f>
        <v>260.20517190557814</v>
      </c>
      <c r="AO14" s="59">
        <f t="shared" si="36"/>
        <v>307.22009971147133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15.62964</v>
      </c>
      <c r="BF14" s="13">
        <f t="shared" si="37"/>
        <v>5.2302852984166268</v>
      </c>
      <c r="BG14" s="20">
        <f t="shared" si="7"/>
        <v>36.331036561408958</v>
      </c>
      <c r="BH14" s="59">
        <f t="shared" si="8"/>
        <v>329.66436989474226</v>
      </c>
      <c r="BI14" s="59">
        <f ca="1">AVERAGE(OFFSET($BH$3,0,0,'Données projet'!$E$11+1,1))-AVERAGE(OFFSET($H$3,0,0,'Données projet'!$E$11+1,1))</f>
        <v>207.93042467236967</v>
      </c>
      <c r="BJ14" s="59">
        <f t="shared" si="38"/>
        <v>250.70954318710835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10.241035248115747</v>
      </c>
      <c r="CA14" s="13">
        <f t="shared" si="39"/>
        <v>3.5999121311945652</v>
      </c>
      <c r="CB14" s="20">
        <f t="shared" si="10"/>
        <v>24.106316685632123</v>
      </c>
      <c r="CC14" s="59">
        <f t="shared" si="11"/>
        <v>317.43965001896544</v>
      </c>
      <c r="CD14" s="59">
        <f ca="1">AVERAGE(OFFSET($CC$3,0,0,'Données projet'!$E$12+1,1))-AVERAGE(OFFSET($H$3,0,0,'Données projet'!$E$12+1,1))</f>
        <v>347.8889410585312</v>
      </c>
      <c r="CE14" s="59">
        <f t="shared" si="40"/>
        <v>254.78167322479203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318.40875902853116</v>
      </c>
      <c r="T15" s="59">
        <f t="shared" si="34"/>
        <v>234.87694492493506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12.3</v>
      </c>
      <c r="AI15" s="13">
        <f>IF('Données projet'!$A$62&gt;35,AI14+AH15-AQ14,IF(A15&lt;'Données projet'!$A$62,$AF$205^A15,IF(A15='Données projet'!$A$62,'Données projet'!$B$62,AI14+AH15-AQ14)))</f>
        <v>35.6</v>
      </c>
      <c r="AJ15" s="13">
        <f>AI15*VLOOKUP('Données projet'!$B$10,Paramètres!$A$1:$I$89,3,0)*VLOOKUP('Données projet'!$B$10,Paramètres!$A$1:$I$89,5,0)</f>
        <v>28.323360000000005</v>
      </c>
      <c r="AK15" s="13">
        <f t="shared" si="35"/>
        <v>8.8443757631773217</v>
      </c>
      <c r="AL15" s="20">
        <f t="shared" si="4"/>
        <v>64.733806454200504</v>
      </c>
      <c r="AM15" s="59">
        <f t="shared" si="5"/>
        <v>358.06713978753385</v>
      </c>
      <c r="AN15" s="59">
        <f ca="1">AVERAGE(OFFSET($AM$3,0,0,'Données projet'!$E$10+1,1))-AVERAGE(OFFSET($H$3,0,0,'Données projet'!$E$10+1,1))</f>
        <v>260.20517190557814</v>
      </c>
      <c r="AO15" s="59">
        <f t="shared" si="36"/>
        <v>307.22009971147133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23.880480000000002</v>
      </c>
      <c r="BF15" s="13">
        <f t="shared" si="37"/>
        <v>7.6066057177324726</v>
      </c>
      <c r="BG15" s="20">
        <f t="shared" si="7"/>
        <v>54.840007625050731</v>
      </c>
      <c r="BH15" s="59">
        <f t="shared" si="8"/>
        <v>348.17334095838407</v>
      </c>
      <c r="BI15" s="59">
        <f ca="1">AVERAGE(OFFSET($BH$3,0,0,'Données projet'!$E$11+1,1))-AVERAGE(OFFSET($H$3,0,0,'Données projet'!$E$11+1,1))</f>
        <v>207.93042467236967</v>
      </c>
      <c r="BJ15" s="59">
        <f t="shared" si="38"/>
        <v>250.70954318710835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12.69141378638699</v>
      </c>
      <c r="CA15" s="13">
        <f t="shared" si="39"/>
        <v>4.3512446702837533</v>
      </c>
      <c r="CB15" s="20">
        <f t="shared" si="10"/>
        <v>29.682630145368211</v>
      </c>
      <c r="CC15" s="59">
        <f t="shared" si="11"/>
        <v>323.01596347870151</v>
      </c>
      <c r="CD15" s="59">
        <f ca="1">AVERAGE(OFFSET($CC$3,0,0,'Données projet'!$E$12+1,1))-AVERAGE(OFFSET($H$3,0,0,'Données projet'!$E$12+1,1))</f>
        <v>347.8889410585312</v>
      </c>
      <c r="CE15" s="59">
        <f t="shared" si="40"/>
        <v>254.78167322479203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318.40875902853116</v>
      </c>
      <c r="T16" s="59">
        <f t="shared" si="34"/>
        <v>234.87694492493506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12.3</v>
      </c>
      <c r="AI16" s="13">
        <f>IF('Données projet'!$A$62&gt;35,AI15+AH16-AQ15,IF(A16&lt;'Données projet'!$A$62,$AF$205^A16,IF(A16='Données projet'!$A$62,'Données projet'!$B$62,AI15+AH16-AQ15)))</f>
        <v>47.900000000000006</v>
      </c>
      <c r="AJ16" s="13">
        <f>AI16*VLOOKUP('Données projet'!$B$10,Paramètres!$A$1:$I$89,3,0)*VLOOKUP('Données projet'!$B$10,Paramètres!$A$1:$I$89,5,0)</f>
        <v>38.109240000000007</v>
      </c>
      <c r="AK16" s="13">
        <f t="shared" si="35"/>
        <v>11.496097202870512</v>
      </c>
      <c r="AL16" s="20">
        <f t="shared" si="4"/>
        <v>86.395962294999478</v>
      </c>
      <c r="AM16" s="59">
        <f t="shared" si="5"/>
        <v>379.72929562833281</v>
      </c>
      <c r="AN16" s="59">
        <f ca="1">AVERAGE(OFFSET($AM$3,0,0,'Données projet'!$E$10+1,1))-AVERAGE(OFFSET($H$3,0,0,'Données projet'!$E$10+1,1))</f>
        <v>260.20517190557814</v>
      </c>
      <c r="AO16" s="59">
        <f t="shared" si="36"/>
        <v>307.22009971147133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32.131320000000002</v>
      </c>
      <c r="BF16" s="13">
        <f t="shared" si="37"/>
        <v>9.8872188446624989</v>
      </c>
      <c r="BG16" s="20">
        <f t="shared" si="7"/>
        <v>73.182288487787176</v>
      </c>
      <c r="BH16" s="59">
        <f t="shared" si="8"/>
        <v>366.51562182112048</v>
      </c>
      <c r="BI16" s="59">
        <f ca="1">AVERAGE(OFFSET($BH$3,0,0,'Données projet'!$E$11+1,1))-AVERAGE(OFFSET($H$3,0,0,'Données projet'!$E$11+1,1))</f>
        <v>207.93042467236967</v>
      </c>
      <c r="BJ16" s="59">
        <f t="shared" si="38"/>
        <v>250.70954318710835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15.728095841377899</v>
      </c>
      <c r="CA16" s="13">
        <f t="shared" si="39"/>
        <v>5.2593867546400634</v>
      </c>
      <c r="CB16" s="20">
        <f t="shared" si="10"/>
        <v>36.553198854731285</v>
      </c>
      <c r="CC16" s="59">
        <f t="shared" si="11"/>
        <v>329.88653218806462</v>
      </c>
      <c r="CD16" s="59">
        <f ca="1">AVERAGE(OFFSET($CC$3,0,0,'Données projet'!$E$12+1,1))-AVERAGE(OFFSET($H$3,0,0,'Données projet'!$E$12+1,1))</f>
        <v>347.8889410585312</v>
      </c>
      <c r="CE16" s="59">
        <f t="shared" si="40"/>
        <v>254.78167322479203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318.40875902853116</v>
      </c>
      <c r="T17" s="59">
        <f t="shared" si="34"/>
        <v>234.87694492493506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12.3</v>
      </c>
      <c r="AI17" s="13">
        <f>IF('Données projet'!$A$62&gt;35,AI16+AH17-AQ16,IF(A17&lt;'Données projet'!$A$62,$AF$205^A17,IF(A17='Données projet'!$A$62,'Données projet'!$B$62,AI16+AH17-AQ16)))</f>
        <v>60.2</v>
      </c>
      <c r="AJ17" s="13">
        <f>AI17*VLOOKUP('Données projet'!$B$10,Paramètres!$A$1:$I$89,3,0)*VLOOKUP('Données projet'!$B$10,Paramètres!$A$1:$I$89,5,0)</f>
        <v>47.895120000000006</v>
      </c>
      <c r="AK17" s="13">
        <f t="shared" si="35"/>
        <v>14.068812032564205</v>
      </c>
      <c r="AL17" s="20">
        <f t="shared" si="4"/>
        <v>107.92051495671599</v>
      </c>
      <c r="AM17" s="59">
        <f t="shared" si="5"/>
        <v>401.25384829004929</v>
      </c>
      <c r="AN17" s="59">
        <f ca="1">AVERAGE(OFFSET($AM$3,0,0,'Données projet'!$E$10+1,1))-AVERAGE(OFFSET($H$3,0,0,'Données projet'!$E$10+1,1))</f>
        <v>260.20517190557814</v>
      </c>
      <c r="AO17" s="59">
        <f t="shared" si="36"/>
        <v>307.22009971147133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40.382159999999999</v>
      </c>
      <c r="BF17" s="13">
        <f t="shared" si="37"/>
        <v>12.099882333601922</v>
      </c>
      <c r="BG17" s="20">
        <f t="shared" si="7"/>
        <v>91.40622373102336</v>
      </c>
      <c r="BH17" s="59">
        <f t="shared" si="8"/>
        <v>384.73955706435669</v>
      </c>
      <c r="BI17" s="59">
        <f ca="1">AVERAGE(OFFSET($BH$3,0,0,'Données projet'!$E$11+1,1))-AVERAGE(OFFSET($H$3,0,0,'Données projet'!$E$11+1,1))</f>
        <v>207.93042467236967</v>
      </c>
      <c r="BJ17" s="59">
        <f t="shared" si="38"/>
        <v>250.70954318710835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19.491366601009023</v>
      </c>
      <c r="CA17" s="13">
        <f t="shared" si="39"/>
        <v>6.3570658813537859</v>
      </c>
      <c r="CB17" s="20">
        <f t="shared" si="10"/>
        <v>45.01935324011523</v>
      </c>
      <c r="CC17" s="59">
        <f t="shared" si="11"/>
        <v>338.35268657344852</v>
      </c>
      <c r="CD17" s="59">
        <f ca="1">AVERAGE(OFFSET($CC$3,0,0,'Données projet'!$E$12+1,1))-AVERAGE(OFFSET($H$3,0,0,'Données projet'!$E$12+1,1))</f>
        <v>347.8889410585312</v>
      </c>
      <c r="CE17" s="59">
        <f t="shared" si="40"/>
        <v>254.78167322479203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318.40875902853116</v>
      </c>
      <c r="T18" s="59">
        <f t="shared" si="34"/>
        <v>234.87694492493506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12.3</v>
      </c>
      <c r="AI18" s="13">
        <f>IF('Données projet'!$A$62&gt;35,AI17+AH18-AQ17,IF(A18&lt;'Données projet'!$A$62,$AF$205^A18,IF(A18='Données projet'!$A$62,'Données projet'!$B$62,AI17+AH18-AQ17)))</f>
        <v>72.5</v>
      </c>
      <c r="AJ18" s="13">
        <f>AI18*VLOOKUP('Données projet'!$B$10,Paramètres!$A$1:$I$89,3,0)*VLOOKUP('Données projet'!$B$10,Paramètres!$A$1:$I$89,5,0)</f>
        <v>57.681000000000004</v>
      </c>
      <c r="AK18" s="13">
        <f t="shared" si="35"/>
        <v>16.580614810327479</v>
      </c>
      <c r="AL18" s="20">
        <f t="shared" si="4"/>
        <v>129.33897912798705</v>
      </c>
      <c r="AM18" s="59">
        <f t="shared" si="5"/>
        <v>422.67231246132036</v>
      </c>
      <c r="AN18" s="59">
        <f ca="1">AVERAGE(OFFSET($AM$3,0,0,'Données projet'!$E$10+1,1))-AVERAGE(OFFSET($H$3,0,0,'Données projet'!$E$10+1,1))</f>
        <v>260.20517190557814</v>
      </c>
      <c r="AO18" s="59">
        <f t="shared" si="36"/>
        <v>307.22009971147133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48.633000000000003</v>
      </c>
      <c r="BF18" s="13">
        <f t="shared" si="37"/>
        <v>14.260158409918985</v>
      </c>
      <c r="BG18" s="20">
        <f t="shared" si="7"/>
        <v>109.53891756394223</v>
      </c>
      <c r="BH18" s="59">
        <f t="shared" si="8"/>
        <v>402.87225089727553</v>
      </c>
      <c r="BI18" s="59">
        <f ca="1">AVERAGE(OFFSET($BH$3,0,0,'Données projet'!$E$11+1,1))-AVERAGE(OFFSET($H$3,0,0,'Données projet'!$E$11+1,1))</f>
        <v>207.93042467236967</v>
      </c>
      <c r="BJ18" s="59">
        <f t="shared" si="38"/>
        <v>250.70954318710835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24.155077372776663</v>
      </c>
      <c r="CA18" s="13">
        <f t="shared" si="39"/>
        <v>7.6838400568695304</v>
      </c>
      <c r="CB18" s="20">
        <f t="shared" si="10"/>
        <v>55.452781189967119</v>
      </c>
      <c r="CC18" s="59">
        <f t="shared" si="11"/>
        <v>348.78611452330045</v>
      </c>
      <c r="CD18" s="59">
        <f ca="1">AVERAGE(OFFSET($CC$3,0,0,'Données projet'!$E$12+1,1))-AVERAGE(OFFSET($H$3,0,0,'Données projet'!$E$12+1,1))</f>
        <v>347.8889410585312</v>
      </c>
      <c r="CE18" s="59">
        <f t="shared" si="40"/>
        <v>254.78167322479203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318.40875902853116</v>
      </c>
      <c r="T19" s="59">
        <f t="shared" si="34"/>
        <v>234.87694492493506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12.3</v>
      </c>
      <c r="AI19" s="13">
        <f>IF('Données projet'!$A$62&gt;35,AI18+AH19-AQ18,IF(A19&lt;'Données projet'!$A$62,$AF$205^A19,IF(A19='Données projet'!$A$62,'Données projet'!$B$62,AI18+AH19-AQ18)))</f>
        <v>84.8</v>
      </c>
      <c r="AJ19" s="13">
        <f>AI19*VLOOKUP('Données projet'!$B$10,Paramètres!$A$1:$I$89,3,0)*VLOOKUP('Données projet'!$B$10,Paramètres!$A$1:$I$89,5,0)</f>
        <v>67.466880000000003</v>
      </c>
      <c r="AK19" s="13">
        <f t="shared" si="35"/>
        <v>19.043051531232432</v>
      </c>
      <c r="AL19" s="20">
        <f t="shared" si="4"/>
        <v>150.67146408356317</v>
      </c>
      <c r="AM19" s="59">
        <f t="shared" si="5"/>
        <v>444.00479741689651</v>
      </c>
      <c r="AN19" s="59">
        <f ca="1">AVERAGE(OFFSET($AM$3,0,0,'Données projet'!$E$10+1,1))-AVERAGE(OFFSET($H$3,0,0,'Données projet'!$E$10+1,1))</f>
        <v>260.20517190557814</v>
      </c>
      <c r="AO19" s="59">
        <f t="shared" si="36"/>
        <v>307.22009971147133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56.883839999999999</v>
      </c>
      <c r="BF19" s="13">
        <f t="shared" si="37"/>
        <v>16.377977207122715</v>
      </c>
      <c r="BG19" s="20">
        <f t="shared" si="7"/>
        <v>127.59766496907207</v>
      </c>
      <c r="BH19" s="59">
        <f t="shared" si="8"/>
        <v>420.93099830240538</v>
      </c>
      <c r="BI19" s="59">
        <f ca="1">AVERAGE(OFFSET($BH$3,0,0,'Données projet'!$E$11+1,1))-AVERAGE(OFFSET($H$3,0,0,'Données projet'!$E$11+1,1))</f>
        <v>207.93042467236967</v>
      </c>
      <c r="BJ19" s="59">
        <f t="shared" si="38"/>
        <v>250.70954318710835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29.934676968962361</v>
      </c>
      <c r="CA19" s="13">
        <f t="shared" si="39"/>
        <v>9.2875233828754098</v>
      </c>
      <c r="CB19" s="20">
        <f t="shared" si="10"/>
        <v>68.311998946117441</v>
      </c>
      <c r="CC19" s="59">
        <f t="shared" si="11"/>
        <v>361.64533227945077</v>
      </c>
      <c r="CD19" s="59">
        <f ca="1">AVERAGE(OFFSET($CC$3,0,0,'Données projet'!$E$12+1,1))-AVERAGE(OFFSET($H$3,0,0,'Données projet'!$E$12+1,1))</f>
        <v>347.8889410585312</v>
      </c>
      <c r="CE19" s="59">
        <f t="shared" si="40"/>
        <v>254.78167322479203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318.40875902853116</v>
      </c>
      <c r="T20" s="59">
        <f t="shared" si="34"/>
        <v>234.87694492493506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12.3</v>
      </c>
      <c r="AI20" s="13">
        <f>IF('Données projet'!$A$62&gt;35,AI19+AH20-AQ19,IF(A20&lt;'Données projet'!$A$62,$AF$205^A20,IF(A20='Données projet'!$A$62,'Données projet'!$B$62,AI19+AH20-AQ19)))</f>
        <v>97.1</v>
      </c>
      <c r="AJ20" s="13">
        <f>AI20*VLOOKUP('Données projet'!$B$10,Paramètres!$A$1:$I$89,3,0)*VLOOKUP('Données projet'!$B$10,Paramètres!$A$1:$I$89,5,0)</f>
        <v>77.252760000000009</v>
      </c>
      <c r="AK20" s="13">
        <f t="shared" si="35"/>
        <v>21.4641096918828</v>
      </c>
      <c r="AL20" s="20">
        <f t="shared" si="4"/>
        <v>171.93188138002924</v>
      </c>
      <c r="AM20" s="59">
        <f t="shared" si="5"/>
        <v>465.26521471336252</v>
      </c>
      <c r="AN20" s="59">
        <f ca="1">AVERAGE(OFFSET($AM$3,0,0,'Données projet'!$E$10+1,1))-AVERAGE(OFFSET($H$3,0,0,'Données projet'!$E$10+1,1))</f>
        <v>260.20517190557814</v>
      </c>
      <c r="AO20" s="59">
        <f t="shared" si="36"/>
        <v>307.22009971147133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65.134680000000003</v>
      </c>
      <c r="BF20" s="13">
        <f t="shared" si="37"/>
        <v>18.460208371976567</v>
      </c>
      <c r="BG20" s="20">
        <f t="shared" si="7"/>
        <v>145.59443058119251</v>
      </c>
      <c r="BH20" s="59">
        <f t="shared" si="8"/>
        <v>438.92776391452583</v>
      </c>
      <c r="BI20" s="59">
        <f ca="1">AVERAGE(OFFSET($BH$3,0,0,'Données projet'!$E$11+1,1))-AVERAGE(OFFSET($H$3,0,0,'Données projet'!$E$11+1,1))</f>
        <v>207.93042467236967</v>
      </c>
      <c r="BJ20" s="59">
        <f t="shared" si="38"/>
        <v>250.70954318710835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37.097164766113913</v>
      </c>
      <c r="CA20" s="13">
        <f t="shared" si="39"/>
        <v>11.225909174194843</v>
      </c>
      <c r="CB20" s="20">
        <f t="shared" si="10"/>
        <v>84.162687112704418</v>
      </c>
      <c r="CC20" s="59">
        <f t="shared" si="11"/>
        <v>377.49602044603773</v>
      </c>
      <c r="CD20" s="59">
        <f ca="1">AVERAGE(OFFSET($CC$3,0,0,'Données projet'!$E$12+1,1))-AVERAGE(OFFSET($H$3,0,0,'Données projet'!$E$12+1,1))</f>
        <v>347.8889410585312</v>
      </c>
      <c r="CE20" s="59">
        <f t="shared" si="40"/>
        <v>254.78167322479203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318.40875902853116</v>
      </c>
      <c r="T21" s="59">
        <f t="shared" si="34"/>
        <v>234.87694492493506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12.3</v>
      </c>
      <c r="AI21" s="13">
        <f>IF('Données projet'!$A$62&gt;35,AI20+AH21-AQ20,IF(A21&lt;'Données projet'!$A$62,$AF$205^A21,IF(A21='Données projet'!$A$62,'Données projet'!$B$62,AI20+AH21-AQ20)))</f>
        <v>109.39999999999999</v>
      </c>
      <c r="AJ21" s="13">
        <f>AI21*VLOOKUP('Données projet'!$B$10,Paramètres!$A$1:$I$89,3,0)*VLOOKUP('Données projet'!$B$10,Paramètres!$A$1:$I$89,5,0)</f>
        <v>87.038640000000001</v>
      </c>
      <c r="AK21" s="13">
        <f t="shared" si="35"/>
        <v>23.849631507508057</v>
      </c>
      <c r="AL21" s="20">
        <f t="shared" si="4"/>
        <v>193.13040620890987</v>
      </c>
      <c r="AM21" s="59">
        <f t="shared" si="5"/>
        <v>486.46373954224316</v>
      </c>
      <c r="AN21" s="59">
        <f ca="1">AVERAGE(OFFSET($AM$3,0,0,'Données projet'!$E$10+1,1))-AVERAGE(OFFSET($H$3,0,0,'Données projet'!$E$10+1,1))</f>
        <v>260.20517190557814</v>
      </c>
      <c r="AO21" s="59">
        <f t="shared" si="36"/>
        <v>307.22009971147133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73.38552</v>
      </c>
      <c r="BF21" s="13">
        <f t="shared" si="37"/>
        <v>20.511876501914987</v>
      </c>
      <c r="BG21" s="20">
        <f t="shared" si="7"/>
        <v>163.5379655741686</v>
      </c>
      <c r="BH21" s="59">
        <f t="shared" si="8"/>
        <v>456.87129890750191</v>
      </c>
      <c r="BI21" s="59">
        <f ca="1">AVERAGE(OFFSET($BH$3,0,0,'Données projet'!$E$11+1,1))-AVERAGE(OFFSET($H$3,0,0,'Données projet'!$E$11+1,1))</f>
        <v>207.93042467236967</v>
      </c>
      <c r="BJ21" s="59">
        <f t="shared" si="38"/>
        <v>250.70954318710835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45.973425238933089</v>
      </c>
      <c r="CA21" s="13">
        <f t="shared" si="39"/>
        <v>13.56885270616201</v>
      </c>
      <c r="CB21" s="20">
        <f t="shared" si="10"/>
        <v>103.70280075437397</v>
      </c>
      <c r="CC21" s="59">
        <f t="shared" si="11"/>
        <v>397.0361340877073</v>
      </c>
      <c r="CD21" s="59">
        <f ca="1">AVERAGE(OFFSET($CC$3,0,0,'Données projet'!$E$12+1,1))-AVERAGE(OFFSET($H$3,0,0,'Données projet'!$E$12+1,1))</f>
        <v>347.8889410585312</v>
      </c>
      <c r="CE21" s="59">
        <f t="shared" si="40"/>
        <v>254.78167322479203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318.40875902853116</v>
      </c>
      <c r="T22" s="59">
        <f t="shared" si="34"/>
        <v>234.87694492493506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12.3</v>
      </c>
      <c r="AI22" s="13">
        <f>IF('Données projet'!$A$62&gt;35,AI21+AH22-AQ21,IF(A22&lt;'Données projet'!$A$62,$AF$205^A22,IF(A22='Données projet'!$A$62,'Données projet'!$B$62,AI21+AH22-AQ21)))</f>
        <v>121.69999999999999</v>
      </c>
      <c r="AJ22" s="13">
        <f>AI22*VLOOKUP('Données projet'!$B$10,Paramètres!$A$1:$I$89,3,0)*VLOOKUP('Données projet'!$B$10,Paramètres!$A$1:$I$89,5,0)</f>
        <v>96.824519999999993</v>
      </c>
      <c r="AK22" s="13">
        <f t="shared" si="35"/>
        <v>26.20406828580953</v>
      </c>
      <c r="AL22" s="20">
        <f t="shared" si="4"/>
        <v>214.27479126445158</v>
      </c>
      <c r="AM22" s="59">
        <f t="shared" si="5"/>
        <v>507.60812459778492</v>
      </c>
      <c r="AN22" s="59">
        <f ca="1">AVERAGE(OFFSET($AM$3,0,0,'Données projet'!$E$10+1,1))-AVERAGE(OFFSET($H$3,0,0,'Données projet'!$E$10+1,1))</f>
        <v>260.20517190557814</v>
      </c>
      <c r="AO22" s="59">
        <f t="shared" si="36"/>
        <v>307.22009971147133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81.636359999999996</v>
      </c>
      <c r="BF22" s="13">
        <f t="shared" si="37"/>
        <v>22.536809944298909</v>
      </c>
      <c r="BG22" s="20">
        <f t="shared" si="7"/>
        <v>181.43493765298726</v>
      </c>
      <c r="BH22" s="59">
        <f t="shared" si="8"/>
        <v>474.76827098632054</v>
      </c>
      <c r="BI22" s="59">
        <f ca="1">AVERAGE(OFFSET($BH$3,0,0,'Données projet'!$E$11+1,1))-AVERAGE(OFFSET($H$3,0,0,'Données projet'!$E$11+1,1))</f>
        <v>207.93042467236967</v>
      </c>
      <c r="BJ22" s="59">
        <f t="shared" si="38"/>
        <v>250.70954318710835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56.973513785354818</v>
      </c>
      <c r="CA22" s="13">
        <f t="shared" si="39"/>
        <v>16.400788649238766</v>
      </c>
      <c r="CB22" s="20">
        <f t="shared" si="10"/>
        <v>127.7935767402505</v>
      </c>
      <c r="CC22" s="59">
        <f t="shared" si="11"/>
        <v>421.12691007358382</v>
      </c>
      <c r="CD22" s="59">
        <f ca="1">AVERAGE(OFFSET($CC$3,0,0,'Données projet'!$E$12+1,1))-AVERAGE(OFFSET($H$3,0,0,'Données projet'!$E$12+1,1))</f>
        <v>347.8889410585312</v>
      </c>
      <c r="CE22" s="59">
        <f t="shared" si="40"/>
        <v>254.78167322479203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318.40875902853116</v>
      </c>
      <c r="T23" s="59">
        <f t="shared" si="34"/>
        <v>234.87694492493506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134</v>
      </c>
      <c r="AG23" s="12">
        <f>VLOOKUP(A23,'Données projet'!$A$61:$I$81,9,0)</f>
        <v>12.3</v>
      </c>
      <c r="AH23" s="12">
        <f t="array" ref="AH23">INDEX(AG:AG,MIN(IF(ISNUMBER(AG23:AG219),ROW(AG23:AG219),"")))</f>
        <v>12.3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106.61040000000001</v>
      </c>
      <c r="AK23" s="13">
        <f t="shared" si="35"/>
        <v>28.530919434405451</v>
      </c>
      <c r="AL23" s="20">
        <f t="shared" si="4"/>
        <v>235.3711313482562</v>
      </c>
      <c r="AM23" s="59">
        <f t="shared" si="5"/>
        <v>528.70446468158957</v>
      </c>
      <c r="AN23" s="59">
        <f ca="1">AVERAGE(OFFSET($AM$3,0,0,'Données projet'!$E$10+1,1))-AVERAGE(OFFSET($H$3,0,0,'Données projet'!$E$10+1,1))</f>
        <v>260.20517190557814</v>
      </c>
      <c r="AO23" s="59">
        <f t="shared" si="36"/>
        <v>307.22009971147133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7.7771272982896171</v>
      </c>
      <c r="AW23" s="21">
        <f>EXP(-LN(2)/2)*AW22+(1-EXP(-LN(2)/2))/(LN(2)/2)*AQ23*AT23*VLOOKUP('Données projet'!$B$10,Paramètres!$A$1:$I$89,3,0)*0.475*44/12</f>
        <v>12.573722722105785</v>
      </c>
      <c r="AX23" s="21">
        <f t="shared" si="6"/>
        <v>20.350850020395402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89.887199999999993</v>
      </c>
      <c r="BF23" s="13">
        <f t="shared" si="37"/>
        <v>24.538018364785955</v>
      </c>
      <c r="BG23" s="20">
        <f t="shared" si="7"/>
        <v>199.29058865200216</v>
      </c>
      <c r="BH23" s="59">
        <f t="shared" si="8"/>
        <v>492.62392198533547</v>
      </c>
      <c r="BI23" s="59">
        <f ca="1">AVERAGE(OFFSET($BH$3,0,0,'Données projet'!$E$11+1,1))-AVERAGE(OFFSET($H$3,0,0,'Données projet'!$E$11+1,1))</f>
        <v>207.93042467236967</v>
      </c>
      <c r="BJ23" s="59">
        <f t="shared" si="38"/>
        <v>250.70954318710835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6.5571857613030105</v>
      </c>
      <c r="BR23" s="21">
        <f>EXP(-LN(2)/2)*BR22+(1-EXP(-LN(2)/2))/(LN(2)/2)*BL23*BO23*VLOOKUP('Données projet'!$B$11,Paramètres!$A$1:$I$89,3,0)*0.475*44/12</f>
        <v>10.601374059814683</v>
      </c>
      <c r="BS23" s="22">
        <f t="shared" si="9"/>
        <v>17.158559821117692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70.605599999999995</v>
      </c>
      <c r="CA23" s="13">
        <f t="shared" si="39"/>
        <v>19.823773913828742</v>
      </c>
      <c r="CB23" s="20">
        <f t="shared" si="10"/>
        <v>157.49782623325171</v>
      </c>
      <c r="CC23" s="59">
        <f t="shared" si="11"/>
        <v>450.83115956658503</v>
      </c>
      <c r="CD23" s="59">
        <f ca="1">AVERAGE(OFFSET($CC$3,0,0,'Données projet'!$E$12+1,1))-AVERAGE(OFFSET($H$3,0,0,'Données projet'!$E$12+1,1))</f>
        <v>347.8889410585312</v>
      </c>
      <c r="CE23" s="59">
        <f t="shared" si="40"/>
        <v>254.78167322479203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0.68692568380870744</v>
      </c>
      <c r="CM23" s="21">
        <f>EXP(-LN(2)/2)*CM22+(1-EXP(-LN(2)/2))/(LN(2)/2)*CG23*CJ23*VLOOKUP('Données projet'!$B$12,Paramètres!$A$1:$I$89,3,0)*0.475*44/12</f>
        <v>1.3688688477094972</v>
      </c>
      <c r="CN23" s="22">
        <f t="shared" si="12"/>
        <v>2.0557945315182047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445.25389736998</v>
      </c>
      <c r="S24" s="59">
        <f ca="1">AVERAGE(OFFSET($R$3,0,0,'Données projet'!$E$9+1,1))-AVERAGE(OFFSET($H$3,0,0,'Données projet'!$E$9+1,1))</f>
        <v>318.40875902853116</v>
      </c>
      <c r="T24" s="59">
        <f t="shared" si="34"/>
        <v>234.87694492493506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14.5</v>
      </c>
      <c r="AI24" s="13">
        <f>IF('Données projet'!$A$62&gt;35,AI23+AH24-AQ23,IF(A24&lt;'Données projet'!$A$62,$AF$205^A24,IF(A24='Données projet'!$A$62,'Données projet'!$B$62,AI23+AH24-AQ23)))</f>
        <v>81.5</v>
      </c>
      <c r="AJ24" s="13">
        <f>AI24*VLOOKUP('Données projet'!$B$10,Paramètres!$A$1:$I$89,3,0)*VLOOKUP('Données projet'!$B$10,Paramètres!$A$1:$I$89,5,0)</f>
        <v>64.841399999999993</v>
      </c>
      <c r="AK24" s="13">
        <f t="shared" si="35"/>
        <v>18.386744053291277</v>
      </c>
      <c r="AL24" s="20">
        <f t="shared" si="4"/>
        <v>144.95568422614897</v>
      </c>
      <c r="AM24" s="59">
        <f t="shared" si="5"/>
        <v>438.28901755948232</v>
      </c>
      <c r="AN24" s="59">
        <f ca="1">AVERAGE(OFFSET($AM$3,0,0,'Données projet'!$E$10+1,1))-AVERAGE(OFFSET($H$3,0,0,'Données projet'!$E$10+1,1))</f>
        <v>260.20517190557814</v>
      </c>
      <c r="AO24" s="59">
        <f t="shared" si="36"/>
        <v>307.22009971147133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7.5644613433365375</v>
      </c>
      <c r="AW24" s="21">
        <f>EXP(-LN(2)/2)*AW23+(1-EXP(-LN(2)/2))/(LN(2)/2)*AQ24*AT24*VLOOKUP('Données projet'!$B$10,Paramètres!$A$1:$I$89,3,0)*0.475*44/12</f>
        <v>8.8909646015603769</v>
      </c>
      <c r="AX24" s="21">
        <f t="shared" si="6"/>
        <v>16.455425944896916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54.670200000000001</v>
      </c>
      <c r="BF24" s="13">
        <f t="shared" si="37"/>
        <v>15.813519935295519</v>
      </c>
      <c r="BG24" s="20">
        <f t="shared" si="7"/>
        <v>122.75914555397303</v>
      </c>
      <c r="BH24" s="59">
        <f t="shared" si="8"/>
        <v>416.09247888730636</v>
      </c>
      <c r="BI24" s="59">
        <f ca="1">AVERAGE(OFFSET($BH$3,0,0,'Données projet'!$E$11+1,1))-AVERAGE(OFFSET($H$3,0,0,'Données projet'!$E$11+1,1))</f>
        <v>207.93042467236967</v>
      </c>
      <c r="BJ24" s="59">
        <f t="shared" si="38"/>
        <v>250.70954318710835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6.3778791718327668</v>
      </c>
      <c r="BR24" s="21">
        <f>EXP(-LN(2)/2)*BR23+(1-EXP(-LN(2)/2))/(LN(2)/2)*BL24*BO24*VLOOKUP('Données projet'!$B$11,Paramètres!$A$1:$I$89,3,0)*0.475*44/12</f>
        <v>7.4963034875901222</v>
      </c>
      <c r="BS24" s="22">
        <f t="shared" si="9"/>
        <v>13.874182659422889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72.733440000000002</v>
      </c>
      <c r="CA24" s="13">
        <f t="shared" si="39"/>
        <v>20.35074632423952</v>
      </c>
      <c r="CB24" s="20">
        <f t="shared" si="10"/>
        <v>162.12162451471718</v>
      </c>
      <c r="CC24" s="59">
        <f t="shared" si="11"/>
        <v>455.45495784805053</v>
      </c>
      <c r="CD24" s="59">
        <f ca="1">AVERAGE(OFFSET($CC$3,0,0,'Données projet'!$E$12+1,1))-AVERAGE(OFFSET($H$3,0,0,'Données projet'!$E$12+1,1))</f>
        <v>347.8889410585312</v>
      </c>
      <c r="CE24" s="59">
        <f t="shared" si="40"/>
        <v>254.78167322479203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0.6681416648611066</v>
      </c>
      <c r="CM24" s="21">
        <f>EXP(-LN(2)/2)*CM23+(1-EXP(-LN(2)/2))/(LN(2)/2)*CG24*CJ24*VLOOKUP('Données projet'!$B$12,Paramètres!$A$1:$I$89,3,0)*0.475*44/12</f>
        <v>0.96793644477040097</v>
      </c>
      <c r="CN24" s="22">
        <f t="shared" si="12"/>
        <v>1.6360781096315076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461.37592227299206</v>
      </c>
      <c r="S25" s="59">
        <f ca="1">AVERAGE(OFFSET($R$3,0,0,'Données projet'!$E$9+1,1))-AVERAGE(OFFSET($H$3,0,0,'Données projet'!$E$9+1,1))</f>
        <v>318.40875902853116</v>
      </c>
      <c r="T25" s="59">
        <f t="shared" si="34"/>
        <v>234.87694492493506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14.5</v>
      </c>
      <c r="AI25" s="13">
        <f>IF('Données projet'!$A$62&gt;35,AI24+AH25-AQ24,IF(A25&lt;'Données projet'!$A$62,$AF$205^A25,IF(A25='Données projet'!$A$62,'Données projet'!$B$62,AI24+AH25-AQ24)))</f>
        <v>96</v>
      </c>
      <c r="AJ25" s="13">
        <f>AI25*VLOOKUP('Données projet'!$B$10,Paramètres!$A$1:$I$89,3,0)*VLOOKUP('Données projet'!$B$10,Paramètres!$A$1:$I$89,5,0)</f>
        <v>76.377600000000001</v>
      </c>
      <c r="AK25" s="13">
        <f t="shared" si="35"/>
        <v>21.249114127498419</v>
      </c>
      <c r="AL25" s="20">
        <f t="shared" si="4"/>
        <v>170.03319377205972</v>
      </c>
      <c r="AM25" s="59">
        <f t="shared" si="5"/>
        <v>463.36652710539306</v>
      </c>
      <c r="AN25" s="59">
        <f ca="1">AVERAGE(OFFSET($AM$3,0,0,'Données projet'!$E$10+1,1))-AVERAGE(OFFSET($H$3,0,0,'Données projet'!$E$10+1,1))</f>
        <v>260.20517190557814</v>
      </c>
      <c r="AO25" s="59">
        <f t="shared" si="36"/>
        <v>307.22009971147133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7.357610750105267</v>
      </c>
      <c r="AW25" s="21">
        <f>EXP(-LN(2)/2)*AW24+(1-EXP(-LN(2)/2))/(LN(2)/2)*AQ25*AT25*VLOOKUP('Données projet'!$B$10,Paramètres!$A$1:$I$89,3,0)*0.475*44/12</f>
        <v>6.2868613610528934</v>
      </c>
      <c r="AX25" s="21">
        <f t="shared" si="6"/>
        <v>13.64447211115816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64.396799999999999</v>
      </c>
      <c r="BF25" s="13">
        <f t="shared" si="37"/>
        <v>18.275301428499329</v>
      </c>
      <c r="BG25" s="20">
        <f t="shared" si="7"/>
        <v>143.987243321303</v>
      </c>
      <c r="BH25" s="59">
        <f t="shared" si="8"/>
        <v>437.32057665463628</v>
      </c>
      <c r="BI25" s="59">
        <f ca="1">AVERAGE(OFFSET($BH$3,0,0,'Données projet'!$E$11+1,1))-AVERAGE(OFFSET($H$3,0,0,'Données projet'!$E$11+1,1))</f>
        <v>207.93042467236967</v>
      </c>
      <c r="BJ25" s="59">
        <f t="shared" si="38"/>
        <v>250.70954318710835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6.2034757304809114</v>
      </c>
      <c r="BR25" s="21">
        <f>EXP(-LN(2)/2)*BR24+(1-EXP(-LN(2)/2))/(LN(2)/2)*BL25*BO25*VLOOKUP('Données projet'!$B$11,Paramètres!$A$1:$I$89,3,0)*0.475*44/12</f>
        <v>5.3006870299073423</v>
      </c>
      <c r="BS25" s="22">
        <f t="shared" si="9"/>
        <v>11.504162760388255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80.664480000000012</v>
      </c>
      <c r="CA25" s="13">
        <f t="shared" si="39"/>
        <v>22.299574645872305</v>
      </c>
      <c r="CB25" s="20">
        <f t="shared" si="10"/>
        <v>179.32906184156093</v>
      </c>
      <c r="CC25" s="59">
        <f t="shared" si="11"/>
        <v>472.66239517489424</v>
      </c>
      <c r="CD25" s="59">
        <f ca="1">AVERAGE(OFFSET($CC$3,0,0,'Données projet'!$E$12+1,1))-AVERAGE(OFFSET($H$3,0,0,'Données projet'!$E$12+1,1))</f>
        <v>347.8889410585312</v>
      </c>
      <c r="CE25" s="59">
        <f t="shared" si="40"/>
        <v>254.78167322479203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0.6498712958994366</v>
      </c>
      <c r="CM25" s="21">
        <f>EXP(-LN(2)/2)*CM24+(1-EXP(-LN(2)/2))/(LN(2)/2)*CG25*CJ25*VLOOKUP('Données projet'!$B$12,Paramètres!$A$1:$I$89,3,0)*0.475*44/12</f>
        <v>0.68443442385474873</v>
      </c>
      <c r="CN25" s="22">
        <f t="shared" si="12"/>
        <v>1.3343057197541852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477.46147154012965</v>
      </c>
      <c r="S26" s="59">
        <f ca="1">AVERAGE(OFFSET($R$3,0,0,'Données projet'!$E$9+1,1))-AVERAGE(OFFSET($H$3,0,0,'Données projet'!$E$9+1,1))</f>
        <v>318.40875902853116</v>
      </c>
      <c r="T26" s="59">
        <f t="shared" si="34"/>
        <v>234.87694492493506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14.5</v>
      </c>
      <c r="AI26" s="13">
        <f>IF('Données projet'!$A$62&gt;35,AI25+AH26-AQ25,IF(A26&lt;'Données projet'!$A$62,$AF$205^A26,IF(A26='Données projet'!$A$62,'Données projet'!$B$62,AI25+AH26-AQ25)))</f>
        <v>110.5</v>
      </c>
      <c r="AJ26" s="13">
        <f>AI26*VLOOKUP('Données projet'!$B$10,Paramètres!$A$1:$I$89,3,0)*VLOOKUP('Données projet'!$B$10,Paramètres!$A$1:$I$89,5,0)</f>
        <v>87.913800000000009</v>
      </c>
      <c r="AK26" s="13">
        <f t="shared" si="35"/>
        <v>24.061399085756083</v>
      </c>
      <c r="AL26" s="20">
        <f t="shared" si="4"/>
        <v>195.02347174102519</v>
      </c>
      <c r="AM26" s="59">
        <f t="shared" si="5"/>
        <v>488.35680507435848</v>
      </c>
      <c r="AN26" s="59">
        <f ca="1">AVERAGE(OFFSET($AM$3,0,0,'Données projet'!$E$10+1,1))-AVERAGE(OFFSET($H$3,0,0,'Données projet'!$E$10+1,1))</f>
        <v>260.20517190557814</v>
      </c>
      <c r="AO26" s="59">
        <f t="shared" si="36"/>
        <v>307.22009971147133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7.156416497223705</v>
      </c>
      <c r="AW26" s="21">
        <f>EXP(-LN(2)/2)*AW25+(1-EXP(-LN(2)/2))/(LN(2)/2)*AQ26*AT26*VLOOKUP('Données projet'!$B$10,Paramètres!$A$1:$I$89,3,0)*0.475*44/12</f>
        <v>4.4454823007801894</v>
      </c>
      <c r="AX26" s="21">
        <f t="shared" si="6"/>
        <v>11.601898798003894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74.123400000000004</v>
      </c>
      <c r="BF26" s="13">
        <f t="shared" si="37"/>
        <v>20.694007215790624</v>
      </c>
      <c r="BG26" s="20">
        <f t="shared" si="7"/>
        <v>165.14031756750202</v>
      </c>
      <c r="BH26" s="59">
        <f t="shared" si="8"/>
        <v>458.47365090083531</v>
      </c>
      <c r="BI26" s="59">
        <f ca="1">AVERAGE(OFFSET($BH$3,0,0,'Données projet'!$E$11+1,1))-AVERAGE(OFFSET($H$3,0,0,'Données projet'!$E$11+1,1))</f>
        <v>207.93042467236967</v>
      </c>
      <c r="BJ26" s="59">
        <f t="shared" si="38"/>
        <v>250.70954318710835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6.0338413604043009</v>
      </c>
      <c r="BR26" s="21">
        <f>EXP(-LN(2)/2)*BR25+(1-EXP(-LN(2)/2))/(LN(2)/2)*BL26*BO26*VLOOKUP('Données projet'!$B$11,Paramètres!$A$1:$I$89,3,0)*0.475*44/12</f>
        <v>3.748151743795062</v>
      </c>
      <c r="BS26" s="22">
        <f t="shared" si="9"/>
        <v>9.781993104199362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88.595520000000008</v>
      </c>
      <c r="CA26" s="13">
        <f t="shared" si="39"/>
        <v>24.226188794324088</v>
      </c>
      <c r="CB26" s="20">
        <f t="shared" si="10"/>
        <v>196.49780948344778</v>
      </c>
      <c r="CC26" s="59">
        <f t="shared" si="11"/>
        <v>489.8311428167811</v>
      </c>
      <c r="CD26" s="59">
        <f ca="1">AVERAGE(OFFSET($CC$3,0,0,'Données projet'!$E$12+1,1))-AVERAGE(OFFSET($H$3,0,0,'Données projet'!$E$12+1,1))</f>
        <v>347.8889410585312</v>
      </c>
      <c r="CE26" s="59">
        <f t="shared" si="40"/>
        <v>254.78167322479203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0.63210053113782039</v>
      </c>
      <c r="CM26" s="21">
        <f>EXP(-LN(2)/2)*CM25+(1-EXP(-LN(2)/2))/(LN(2)/2)*CG26*CJ26*VLOOKUP('Données projet'!$B$12,Paramètres!$A$1:$I$89,3,0)*0.475*44/12</f>
        <v>0.48396822238520054</v>
      </c>
      <c r="CN26" s="22">
        <f t="shared" si="12"/>
        <v>1.1160687535230209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493.51418177587476</v>
      </c>
      <c r="S27" s="59">
        <f ca="1">AVERAGE(OFFSET($R$3,0,0,'Données projet'!$E$9+1,1))-AVERAGE(OFFSET($H$3,0,0,'Données projet'!$E$9+1,1))</f>
        <v>318.40875902853116</v>
      </c>
      <c r="T27" s="59">
        <f t="shared" si="34"/>
        <v>234.87694492493506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14.5</v>
      </c>
      <c r="AI27" s="13">
        <f>IF('Données projet'!$A$62&gt;35,AI26+AH27-AQ26,IF(A27&lt;'Données projet'!$A$62,$AF$205^A27,IF(A27='Données projet'!$A$62,'Données projet'!$B$62,AI26+AH27-AQ26)))</f>
        <v>125</v>
      </c>
      <c r="AJ27" s="13">
        <f>AI27*VLOOKUP('Données projet'!$B$10,Paramètres!$A$1:$I$89,3,0)*VLOOKUP('Données projet'!$B$10,Paramètres!$A$1:$I$89,5,0)</f>
        <v>99.45</v>
      </c>
      <c r="AK27" s="13">
        <f t="shared" si="35"/>
        <v>26.830925603893352</v>
      </c>
      <c r="AL27" s="20">
        <f t="shared" si="4"/>
        <v>219.93927876011423</v>
      </c>
      <c r="AM27" s="59">
        <f t="shared" si="5"/>
        <v>513.27261209344761</v>
      </c>
      <c r="AN27" s="59">
        <f ca="1">AVERAGE(OFFSET($AM$3,0,0,'Données projet'!$E$10+1,1))-AVERAGE(OFFSET($H$3,0,0,'Données projet'!$E$10+1,1))</f>
        <v>260.20517190557814</v>
      </c>
      <c r="AO27" s="59">
        <f t="shared" si="36"/>
        <v>307.22009971147133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6.960723911767535</v>
      </c>
      <c r="AW27" s="21">
        <f>EXP(-LN(2)/2)*AW26+(1-EXP(-LN(2)/2))/(LN(2)/2)*AQ27*AT27*VLOOKUP('Données projet'!$B$10,Paramètres!$A$1:$I$89,3,0)*0.475*44/12</f>
        <v>3.1434306805264476</v>
      </c>
      <c r="AX27" s="21">
        <f t="shared" si="6"/>
        <v>10.104154592293982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83.850000000000009</v>
      </c>
      <c r="BF27" s="13">
        <f t="shared" si="37"/>
        <v>23.075938604999987</v>
      </c>
      <c r="BG27" s="20">
        <f t="shared" si="7"/>
        <v>186.22934307037499</v>
      </c>
      <c r="BH27" s="59">
        <f t="shared" si="8"/>
        <v>479.56267640370834</v>
      </c>
      <c r="BI27" s="59">
        <f ca="1">AVERAGE(OFFSET($BH$3,0,0,'Données projet'!$E$11+1,1))-AVERAGE(OFFSET($H$3,0,0,'Données projet'!$E$11+1,1))</f>
        <v>207.93042467236967</v>
      </c>
      <c r="BJ27" s="59">
        <f t="shared" si="38"/>
        <v>250.70954318710835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5.8688456510981188</v>
      </c>
      <c r="BR27" s="21">
        <f>EXP(-LN(2)/2)*BR26+(1-EXP(-LN(2)/2))/(LN(2)/2)*BL27*BO27*VLOOKUP('Données projet'!$B$11,Paramètres!$A$1:$I$89,3,0)*0.475*44/12</f>
        <v>2.6503435149536716</v>
      </c>
      <c r="BS27" s="22">
        <f t="shared" si="9"/>
        <v>8.51918916605179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96.526560000000018</v>
      </c>
      <c r="CA27" s="13">
        <f t="shared" si="39"/>
        <v>26.132803512664371</v>
      </c>
      <c r="CB27" s="20">
        <f t="shared" si="10"/>
        <v>213.63172478455712</v>
      </c>
      <c r="CC27" s="59">
        <f t="shared" si="11"/>
        <v>506.96505811789041</v>
      </c>
      <c r="CD27" s="59">
        <f ca="1">AVERAGE(OFFSET($CC$3,0,0,'Données projet'!$E$12+1,1))-AVERAGE(OFFSET($H$3,0,0,'Données projet'!$E$12+1,1))</f>
        <v>347.8889410585312</v>
      </c>
      <c r="CE27" s="59">
        <f t="shared" si="40"/>
        <v>254.78167322479203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0.61481570887313441</v>
      </c>
      <c r="CM27" s="21">
        <f>EXP(-LN(2)/2)*CM26+(1-EXP(-LN(2)/2))/(LN(2)/2)*CG27*CJ27*VLOOKUP('Données projet'!$B$12,Paramètres!$A$1:$I$89,3,0)*0.475*44/12</f>
        <v>0.34221721192737442</v>
      </c>
      <c r="CN27" s="22">
        <f t="shared" si="12"/>
        <v>0.95703292080050884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509.53705793509306</v>
      </c>
      <c r="S28" s="59">
        <f ca="1">AVERAGE(OFFSET($R$3,0,0,'Données projet'!$E$9+1,1))-AVERAGE(OFFSET($H$3,0,0,'Données projet'!$E$9+1,1))</f>
        <v>318.40875902853116</v>
      </c>
      <c r="T28" s="59">
        <f t="shared" si="34"/>
        <v>234.87694492493506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14.5</v>
      </c>
      <c r="AI28" s="13">
        <f>IF('Données projet'!$A$62&gt;35,AI27+AH28-AQ27,IF(A28&lt;'Données projet'!$A$62,$AF$205^A28,IF(A28='Données projet'!$A$62,'Données projet'!$B$62,AI27+AH28-AQ27)))</f>
        <v>139.5</v>
      </c>
      <c r="AJ28" s="13">
        <f>AI28*VLOOKUP('Données projet'!$B$10,Paramètres!$A$1:$I$89,3,0)*VLOOKUP('Données projet'!$B$10,Paramètres!$A$1:$I$89,5,0)</f>
        <v>110.9862</v>
      </c>
      <c r="AK28" s="13">
        <f t="shared" si="35"/>
        <v>29.563220146103436</v>
      </c>
      <c r="AL28" s="20">
        <f t="shared" si="4"/>
        <v>244.79024008779683</v>
      </c>
      <c r="AM28" s="59">
        <f t="shared" si="5"/>
        <v>538.12357342113012</v>
      </c>
      <c r="AN28" s="59">
        <f ca="1">AVERAGE(OFFSET($AM$3,0,0,'Données projet'!$E$10+1,1))-AVERAGE(OFFSET($H$3,0,0,'Données projet'!$E$10+1,1))</f>
        <v>260.20517190557814</v>
      </c>
      <c r="AO28" s="59">
        <f t="shared" si="36"/>
        <v>307.22009971147133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6.7703825503516901</v>
      </c>
      <c r="AW28" s="21">
        <f>EXP(-LN(2)/2)*AW27+(1-EXP(-LN(2)/2))/(LN(2)/2)*AQ28*AT28*VLOOKUP('Données projet'!$B$10,Paramètres!$A$1:$I$89,3,0)*0.475*44/12</f>
        <v>2.2227411503900951</v>
      </c>
      <c r="AX28" s="21">
        <f t="shared" si="6"/>
        <v>8.9931237007417852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93.576599999999999</v>
      </c>
      <c r="BF28" s="13">
        <f t="shared" si="37"/>
        <v>25.42584863187091</v>
      </c>
      <c r="BG28" s="20">
        <f t="shared" si="7"/>
        <v>207.26259803384178</v>
      </c>
      <c r="BH28" s="59">
        <f t="shared" si="8"/>
        <v>500.59593136717513</v>
      </c>
      <c r="BI28" s="59">
        <f ca="1">AVERAGE(OFFSET($BH$3,0,0,'Données projet'!$E$11+1,1))-AVERAGE(OFFSET($H$3,0,0,'Données projet'!$E$11+1,1))</f>
        <v>207.93042467236967</v>
      </c>
      <c r="BJ28" s="59">
        <f t="shared" si="38"/>
        <v>250.70954318710835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5.7083617581396613</v>
      </c>
      <c r="BR28" s="21">
        <f>EXP(-LN(2)/2)*BR27+(1-EXP(-LN(2)/2))/(LN(2)/2)*BL28*BO28*VLOOKUP('Données projet'!$B$11,Paramètres!$A$1:$I$89,3,0)*0.475*44/12</f>
        <v>1.8740758718975312</v>
      </c>
      <c r="BS28" s="22">
        <f t="shared" si="9"/>
        <v>7.5824376300371927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104.45760000000001</v>
      </c>
      <c r="CA28" s="13">
        <f t="shared" si="39"/>
        <v>28.021248860498272</v>
      </c>
      <c r="CB28" s="20">
        <f t="shared" si="10"/>
        <v>230.73399509870117</v>
      </c>
      <c r="CC28" s="59">
        <f t="shared" si="11"/>
        <v>524.06732843203451</v>
      </c>
      <c r="CD28" s="59">
        <f ca="1">AVERAGE(OFFSET($CC$3,0,0,'Données projet'!$E$12+1,1))-AVERAGE(OFFSET($H$3,0,0,'Données projet'!$E$12+1,1))</f>
        <v>347.8889410585312</v>
      </c>
      <c r="CE28" s="59">
        <f t="shared" si="40"/>
        <v>254.78167322479203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0.59800354098224562</v>
      </c>
      <c r="CM28" s="21">
        <f>EXP(-LN(2)/2)*CM27+(1-EXP(-LN(2)/2))/(LN(2)/2)*CG28*CJ28*VLOOKUP('Données projet'!$B$12,Paramètres!$A$1:$I$89,3,0)*0.475*44/12</f>
        <v>0.24198411119260033</v>
      </c>
      <c r="CN28" s="22">
        <f t="shared" si="12"/>
        <v>0.83998765217484594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525.53262275658676</v>
      </c>
      <c r="S29" s="59">
        <f ca="1">AVERAGE(OFFSET($R$3,0,0,'Données projet'!$E$9+1,1))-AVERAGE(OFFSET($H$3,0,0,'Données projet'!$E$9+1,1))</f>
        <v>318.40875902853116</v>
      </c>
      <c r="T29" s="59">
        <f t="shared" si="34"/>
        <v>234.87694492493506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14.5</v>
      </c>
      <c r="AI29" s="13">
        <f>IF('Données projet'!$A$62&gt;35,AI28+AH29-AQ28,IF(A29&lt;'Données projet'!$A$62,$AF$205^A29,IF(A29='Données projet'!$A$62,'Données projet'!$B$62,AI28+AH29-AQ28)))</f>
        <v>154</v>
      </c>
      <c r="AJ29" s="13">
        <f>AI29*VLOOKUP('Données projet'!$B$10,Paramètres!$A$1:$I$89,3,0)*VLOOKUP('Données projet'!$B$10,Paramètres!$A$1:$I$89,5,0)</f>
        <v>122.52240000000002</v>
      </c>
      <c r="AK29" s="13">
        <f t="shared" si="35"/>
        <v>32.26259352430629</v>
      </c>
      <c r="AL29" s="20">
        <f t="shared" si="4"/>
        <v>269.58386372150017</v>
      </c>
      <c r="AM29" s="59">
        <f t="shared" si="5"/>
        <v>562.91719705483342</v>
      </c>
      <c r="AN29" s="59">
        <f ca="1">AVERAGE(OFFSET($AM$3,0,0,'Données projet'!$E$10+1,1))-AVERAGE(OFFSET($H$3,0,0,'Données projet'!$E$10+1,1))</f>
        <v>260.20517190557814</v>
      </c>
      <c r="AO29" s="59">
        <f t="shared" si="36"/>
        <v>307.22009971147133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6.585246083473379</v>
      </c>
      <c r="AW29" s="21">
        <f>EXP(-LN(2)/2)*AW28+(1-EXP(-LN(2)/2))/(LN(2)/2)*AQ29*AT29*VLOOKUP('Données projet'!$B$10,Paramètres!$A$1:$I$89,3,0)*0.475*44/12</f>
        <v>1.571715340263224</v>
      </c>
      <c r="AX29" s="21">
        <f t="shared" si="6"/>
        <v>8.1569614237366039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103.3032</v>
      </c>
      <c r="BF29" s="13">
        <f t="shared" si="37"/>
        <v>27.747444810362108</v>
      </c>
      <c r="BG29" s="20">
        <f t="shared" si="7"/>
        <v>228.24653971138068</v>
      </c>
      <c r="BH29" s="59">
        <f t="shared" si="8"/>
        <v>521.57987304471396</v>
      </c>
      <c r="BI29" s="59">
        <f ca="1">AVERAGE(OFFSET($BH$3,0,0,'Données projet'!$E$11+1,1))-AVERAGE(OFFSET($H$3,0,0,'Données projet'!$E$11+1,1))</f>
        <v>207.93042467236967</v>
      </c>
      <c r="BJ29" s="59">
        <f t="shared" si="38"/>
        <v>250.70954318710835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5.5522663056736343</v>
      </c>
      <c r="BR29" s="21">
        <f>EXP(-LN(2)/2)*BR28+(1-EXP(-LN(2)/2))/(LN(2)/2)*BL29*BO29*VLOOKUP('Données projet'!$B$11,Paramètres!$A$1:$I$89,3,0)*0.475*44/12</f>
        <v>1.325171757476836</v>
      </c>
      <c r="BS29" s="22">
        <f t="shared" si="9"/>
        <v>6.8774380631504703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112.38864000000002</v>
      </c>
      <c r="CA29" s="13">
        <f t="shared" si="39"/>
        <v>29.893061221093621</v>
      </c>
      <c r="CB29" s="20">
        <f t="shared" si="10"/>
        <v>247.80729629340476</v>
      </c>
      <c r="CC29" s="59">
        <f t="shared" si="11"/>
        <v>541.14062962673802</v>
      </c>
      <c r="CD29" s="59">
        <f ca="1">AVERAGE(OFFSET($CC$3,0,0,'Données projet'!$E$12+1,1))-AVERAGE(OFFSET($H$3,0,0,'Données projet'!$E$12+1,1))</f>
        <v>347.8889410585312</v>
      </c>
      <c r="CE29" s="59">
        <f t="shared" si="40"/>
        <v>254.78167322479203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0.5816511027064466</v>
      </c>
      <c r="CM29" s="21">
        <f>EXP(-LN(2)/2)*CM28+(1-EXP(-LN(2)/2))/(LN(2)/2)*CG29*CJ29*VLOOKUP('Données projet'!$B$12,Paramètres!$A$1:$I$89,3,0)*0.475*44/12</f>
        <v>0.17110860596368724</v>
      </c>
      <c r="CN29" s="22">
        <f t="shared" si="12"/>
        <v>0.75275970867013386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541.50302276112825</v>
      </c>
      <c r="S30" s="59">
        <f ca="1">AVERAGE(OFFSET($R$3,0,0,'Données projet'!$E$9+1,1))-AVERAGE(OFFSET($H$3,0,0,'Données projet'!$E$9+1,1))</f>
        <v>318.40875902853116</v>
      </c>
      <c r="T30" s="59">
        <f t="shared" si="34"/>
        <v>234.87694492493506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14.5</v>
      </c>
      <c r="AI30" s="13">
        <f>IF('Données projet'!$A$62&gt;35,AI29+AH30-AQ29,IF(A30&lt;'Données projet'!$A$62,$AF$205^A30,IF(A30='Données projet'!$A$62,'Données projet'!$B$62,AI29+AH30-AQ29)))</f>
        <v>168.5</v>
      </c>
      <c r="AJ30" s="13">
        <f>AI30*VLOOKUP('Données projet'!$B$10,Paramètres!$A$1:$I$89,3,0)*VLOOKUP('Données projet'!$B$10,Paramètres!$A$1:$I$89,5,0)</f>
        <v>134.05860000000001</v>
      </c>
      <c r="AK30" s="13">
        <f t="shared" si="35"/>
        <v>34.932498076856362</v>
      </c>
      <c r="AL30" s="20">
        <f t="shared" si="4"/>
        <v>294.32616248385813</v>
      </c>
      <c r="AM30" s="59">
        <f t="shared" si="5"/>
        <v>587.65949581719144</v>
      </c>
      <c r="AN30" s="59">
        <f ca="1">AVERAGE(OFFSET($AM$3,0,0,'Données projet'!$E$10+1,1))-AVERAGE(OFFSET($H$3,0,0,'Données projet'!$E$10+1,1))</f>
        <v>260.20517190557814</v>
      </c>
      <c r="AO30" s="59">
        <f t="shared" si="36"/>
        <v>307.22009971147133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6.4051721830177586</v>
      </c>
      <c r="AW30" s="21">
        <f>EXP(-LN(2)/2)*AW29+(1-EXP(-LN(2)/2))/(LN(2)/2)*AQ30*AT30*VLOOKUP('Données projet'!$B$10,Paramètres!$A$1:$I$89,3,0)*0.475*44/12</f>
        <v>1.1113705751950478</v>
      </c>
      <c r="AX30" s="21">
        <f t="shared" si="6"/>
        <v>7.5165427582128066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113.02979999999999</v>
      </c>
      <c r="BF30" s="13">
        <f t="shared" si="37"/>
        <v>30.043696324209073</v>
      </c>
      <c r="BG30" s="20">
        <f t="shared" si="7"/>
        <v>249.18633943133077</v>
      </c>
      <c r="BH30" s="59">
        <f t="shared" si="8"/>
        <v>542.51967276466405</v>
      </c>
      <c r="BI30" s="59">
        <f ca="1">AVERAGE(OFFSET($BH$3,0,0,'Données projet'!$E$11+1,1))-AVERAGE(OFFSET($H$3,0,0,'Données projet'!$E$11+1,1))</f>
        <v>207.93042467236967</v>
      </c>
      <c r="BJ30" s="59">
        <f t="shared" si="38"/>
        <v>250.70954318710835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5.4004392915639938</v>
      </c>
      <c r="BR30" s="21">
        <f>EXP(-LN(2)/2)*BR29+(1-EXP(-LN(2)/2))/(LN(2)/2)*BL30*BO30*VLOOKUP('Données projet'!$B$11,Paramètres!$A$1:$I$89,3,0)*0.475*44/12</f>
        <v>0.93703793594876572</v>
      </c>
      <c r="BS30" s="22">
        <f t="shared" si="9"/>
        <v>6.3374772275127595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120.31968000000002</v>
      </c>
      <c r="CA30" s="13">
        <f t="shared" si="39"/>
        <v>31.74954785566829</v>
      </c>
      <c r="CB30" s="20">
        <f t="shared" si="10"/>
        <v>264.85390518195561</v>
      </c>
      <c r="CC30" s="59">
        <f t="shared" si="11"/>
        <v>558.18723851528898</v>
      </c>
      <c r="CD30" s="59">
        <f ca="1">AVERAGE(OFFSET($CC$3,0,0,'Données projet'!$E$12+1,1))-AVERAGE(OFFSET($H$3,0,0,'Données projet'!$E$12+1,1))</f>
        <v>347.8889410585312</v>
      </c>
      <c r="CE30" s="59">
        <f t="shared" si="40"/>
        <v>254.78167322479203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0.56574582271523666</v>
      </c>
      <c r="CM30" s="21">
        <f>EXP(-LN(2)/2)*CM29+(1-EXP(-LN(2)/2))/(LN(2)/2)*CG30*CJ30*VLOOKUP('Données projet'!$B$12,Paramètres!$A$1:$I$89,3,0)*0.475*44/12</f>
        <v>0.12099205559630018</v>
      </c>
      <c r="CN30" s="22">
        <f t="shared" si="12"/>
        <v>0.68673787831153688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557.45010548130836</v>
      </c>
      <c r="S31" s="59">
        <f ca="1">AVERAGE(OFFSET($R$3,0,0,'Données projet'!$E$9+1,1))-AVERAGE(OFFSET($H$3,0,0,'Données projet'!$E$9+1,1))</f>
        <v>318.40875902853116</v>
      </c>
      <c r="T31" s="59">
        <f t="shared" si="34"/>
        <v>234.87694492493506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14.5</v>
      </c>
      <c r="AI31" s="13">
        <f>IF('Données projet'!$A$62&gt;35,AI30+AH31-AQ30,IF(A31&lt;'Données projet'!$A$62,$AF$205^A31,IF(A31='Données projet'!$A$62,'Données projet'!$B$62,AI30+AH31-AQ30)))</f>
        <v>183</v>
      </c>
      <c r="AJ31" s="13">
        <f>AI31*VLOOKUP('Données projet'!$B$10,Paramètres!$A$1:$I$89,3,0)*VLOOKUP('Données projet'!$B$10,Paramètres!$A$1:$I$89,5,0)</f>
        <v>145.59479999999999</v>
      </c>
      <c r="AK31" s="13">
        <f t="shared" si="35"/>
        <v>37.575758023691719</v>
      </c>
      <c r="AL31" s="20">
        <f t="shared" si="4"/>
        <v>319.02205522459639</v>
      </c>
      <c r="AM31" s="59">
        <f t="shared" si="5"/>
        <v>612.3553885579297</v>
      </c>
      <c r="AN31" s="59">
        <f ca="1">AVERAGE(OFFSET($AM$3,0,0,'Données projet'!$E$10+1,1))-AVERAGE(OFFSET($H$3,0,0,'Données projet'!$E$10+1,1))</f>
        <v>260.20517190557814</v>
      </c>
      <c r="AO31" s="59">
        <f t="shared" si="36"/>
        <v>307.22009971147133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6.2300224128397721</v>
      </c>
      <c r="AW31" s="21">
        <f>EXP(-LN(2)/2)*AW30+(1-EXP(-LN(2)/2))/(LN(2)/2)*AQ31*AT31*VLOOKUP('Données projet'!$B$10,Paramètres!$A$1:$I$89,3,0)*0.475*44/12</f>
        <v>0.78585767013161212</v>
      </c>
      <c r="AX31" s="21">
        <f t="shared" si="6"/>
        <v>7.0158800829713845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122.7564</v>
      </c>
      <c r="BF31" s="13">
        <f t="shared" si="37"/>
        <v>32.317032143878919</v>
      </c>
      <c r="BG31" s="20">
        <f t="shared" si="7"/>
        <v>270.08622765058908</v>
      </c>
      <c r="BH31" s="59">
        <f t="shared" si="8"/>
        <v>563.41956098392234</v>
      </c>
      <c r="BI31" s="59">
        <f ca="1">AVERAGE(OFFSET($BH$3,0,0,'Données projet'!$E$11+1,1))-AVERAGE(OFFSET($H$3,0,0,'Données projet'!$E$11+1,1))</f>
        <v>207.93042467236967</v>
      </c>
      <c r="BJ31" s="59">
        <f t="shared" si="38"/>
        <v>250.70954318710835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5.2527639951394169</v>
      </c>
      <c r="BR31" s="21">
        <f>EXP(-LN(2)/2)*BR30+(1-EXP(-LN(2)/2))/(LN(2)/2)*BL31*BO31*VLOOKUP('Données projet'!$B$11,Paramètres!$A$1:$I$89,3,0)*0.475*44/12</f>
        <v>0.66258587873841801</v>
      </c>
      <c r="BS31" s="22">
        <f t="shared" si="9"/>
        <v>5.915349873877835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128.25072000000003</v>
      </c>
      <c r="CA31" s="13">
        <f t="shared" si="39"/>
        <v>33.591833937449593</v>
      </c>
      <c r="CB31" s="20">
        <f t="shared" si="10"/>
        <v>281.87578144105805</v>
      </c>
      <c r="CC31" s="59">
        <f t="shared" si="11"/>
        <v>575.20911477439131</v>
      </c>
      <c r="CD31" s="59">
        <f ca="1">AVERAGE(OFFSET($CC$3,0,0,'Données projet'!$E$12+1,1))-AVERAGE(OFFSET($H$3,0,0,'Données projet'!$E$12+1,1))</f>
        <v>347.8889410585312</v>
      </c>
      <c r="CE31" s="59">
        <f t="shared" si="40"/>
        <v>254.78167322479203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0.55027547344180872</v>
      </c>
      <c r="CM31" s="21">
        <f>EXP(-LN(2)/2)*CM30+(1-EXP(-LN(2)/2))/(LN(2)/2)*CG31*CJ31*VLOOKUP('Données projet'!$B$12,Paramètres!$A$1:$I$89,3,0)*0.475*44/12</f>
        <v>8.5554302981843633E-2</v>
      </c>
      <c r="CN31" s="22">
        <f t="shared" si="12"/>
        <v>0.63582977642365235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573.3754770328942</v>
      </c>
      <c r="S32" s="59">
        <f ca="1">AVERAGE(OFFSET($R$3,0,0,'Données projet'!$E$9+1,1))-AVERAGE(OFFSET($H$3,0,0,'Données projet'!$E$9+1,1))</f>
        <v>318.40875902853116</v>
      </c>
      <c r="T32" s="59">
        <f t="shared" si="34"/>
        <v>234.87694492493506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14.5</v>
      </c>
      <c r="AI32" s="13">
        <f>IF('Données projet'!$A$62&gt;35,AI31+AH32-AQ31,IF(A32&lt;'Données projet'!$A$62,$AF$205^A32,IF(A32='Données projet'!$A$62,'Données projet'!$B$62,AI31+AH32-AQ31)))</f>
        <v>197.5</v>
      </c>
      <c r="AJ32" s="13">
        <f>AI32*VLOOKUP('Données projet'!$B$10,Paramètres!$A$1:$I$89,3,0)*VLOOKUP('Données projet'!$B$10,Paramètres!$A$1:$I$89,5,0)</f>
        <v>157.13100000000003</v>
      </c>
      <c r="AK32" s="13">
        <f t="shared" si="35"/>
        <v>40.194724574621844</v>
      </c>
      <c r="AL32" s="20">
        <f t="shared" si="4"/>
        <v>343.67563696746635</v>
      </c>
      <c r="AM32" s="59">
        <f t="shared" si="5"/>
        <v>637.00897030079966</v>
      </c>
      <c r="AN32" s="59">
        <f ca="1">AVERAGE(OFFSET($AM$3,0,0,'Données projet'!$E$10+1,1))-AVERAGE(OFFSET($H$3,0,0,'Données projet'!$E$10+1,1))</f>
        <v>260.20517190557814</v>
      </c>
      <c r="AO32" s="59">
        <f t="shared" si="36"/>
        <v>307.22009971147133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6.0596621223380289</v>
      </c>
      <c r="AW32" s="21">
        <f>EXP(-LN(2)/2)*AW31+(1-EXP(-LN(2)/2))/(LN(2)/2)*AQ32*AT32*VLOOKUP('Données projet'!$B$10,Paramètres!$A$1:$I$89,3,0)*0.475*44/12</f>
        <v>0.55568528759752389</v>
      </c>
      <c r="AX32" s="21">
        <f t="shared" si="6"/>
        <v>6.6153474099355529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132.483</v>
      </c>
      <c r="BF32" s="13">
        <f t="shared" si="37"/>
        <v>34.569474427459426</v>
      </c>
      <c r="BG32" s="20">
        <f t="shared" si="7"/>
        <v>290.94972629449177</v>
      </c>
      <c r="BH32" s="59">
        <f t="shared" si="8"/>
        <v>584.28305962782508</v>
      </c>
      <c r="BI32" s="59">
        <f ca="1">AVERAGE(OFFSET($BH$3,0,0,'Données projet'!$E$11+1,1))-AVERAGE(OFFSET($H$3,0,0,'Données projet'!$E$11+1,1))</f>
        <v>207.93042467236967</v>
      </c>
      <c r="BJ32" s="59">
        <f t="shared" si="38"/>
        <v>250.70954318710835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5.1091268874614766</v>
      </c>
      <c r="BR32" s="21">
        <f>EXP(-LN(2)/2)*BR31+(1-EXP(-LN(2)/2))/(LN(2)/2)*BL32*BO32*VLOOKUP('Données projet'!$B$11,Paramètres!$A$1:$I$89,3,0)*0.475*44/12</f>
        <v>0.46851896797438286</v>
      </c>
      <c r="BS32" s="22">
        <f t="shared" si="9"/>
        <v>5.5776458554358594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136.18176000000003</v>
      </c>
      <c r="CA32" s="13">
        <f t="shared" si="39"/>
        <v>35.420897613437006</v>
      </c>
      <c r="CB32" s="20">
        <f t="shared" si="10"/>
        <v>298.87462867673611</v>
      </c>
      <c r="CC32" s="59">
        <f t="shared" si="11"/>
        <v>592.20796201006942</v>
      </c>
      <c r="CD32" s="59">
        <f ca="1">AVERAGE(OFFSET($CC$3,0,0,'Données projet'!$E$12+1,1))-AVERAGE(OFFSET($H$3,0,0,'Données projet'!$E$12+1,1))</f>
        <v>347.8889410585312</v>
      </c>
      <c r="CE32" s="59">
        <f t="shared" si="40"/>
        <v>254.78167322479203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0.53522816168281295</v>
      </c>
      <c r="CM32" s="21">
        <f>EXP(-LN(2)/2)*CM31+(1-EXP(-LN(2)/2))/(LN(2)/2)*CG32*CJ32*VLOOKUP('Données projet'!$B$12,Paramètres!$A$1:$I$89,3,0)*0.475*44/12</f>
        <v>6.0496027798150102E-2</v>
      </c>
      <c r="CN32" s="22">
        <f t="shared" si="12"/>
        <v>0.59572418948096306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589.28054588818827</v>
      </c>
      <c r="S33" s="59">
        <f ca="1">AVERAGE(OFFSET($R$3,0,0,'Données projet'!$E$9+1,1))-AVERAGE(OFFSET($H$3,0,0,'Données projet'!$E$9+1,1))</f>
        <v>318.40875902853116</v>
      </c>
      <c r="T33" s="59">
        <f t="shared" si="34"/>
        <v>234.87694492493506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212</v>
      </c>
      <c r="AG33" s="12">
        <f>VLOOKUP(A33,'Données projet'!$A$61:$I$81,9,0)</f>
        <v>14.5</v>
      </c>
      <c r="AH33" s="12">
        <f t="array" ref="AH33">INDEX(AG:AG,MIN(IF(ISNUMBER(AG33:AG229),ROW(AG33:AG229),"")))</f>
        <v>14.5</v>
      </c>
      <c r="AI33" s="13">
        <f>IF('Données projet'!$A$62&gt;35,AI32+AH33-AQ32,IF(A33&lt;'Données projet'!$A$62,$AF$205^A33,IF(A33='Données projet'!$A$62,'Données projet'!$B$62,AI32+AH33-AQ32)))</f>
        <v>212</v>
      </c>
      <c r="AJ33" s="13">
        <f>AI33*VLOOKUP('Données projet'!$B$10,Paramètres!$A$1:$I$89,3,0)*VLOOKUP('Données projet'!$B$10,Paramètres!$A$1:$I$89,5,0)</f>
        <v>168.66720000000001</v>
      </c>
      <c r="AK33" s="13">
        <f t="shared" si="35"/>
        <v>42.791384119459089</v>
      </c>
      <c r="AL33" s="20">
        <f t="shared" si="4"/>
        <v>368.29036734139123</v>
      </c>
      <c r="AM33" s="59">
        <f t="shared" si="5"/>
        <v>661.62370067472455</v>
      </c>
      <c r="AN33" s="59">
        <f ca="1">AVERAGE(OFFSET($AM$3,0,0,'Données projet'!$E$10+1,1))-AVERAGE(OFFSET($H$3,0,0,'Données projet'!$E$10+1,1))</f>
        <v>260.20517190557814</v>
      </c>
      <c r="AO33" s="59">
        <f t="shared" si="36"/>
        <v>307.22009971147133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5.3000000000000005E-2</v>
      </c>
      <c r="AS33" s="16">
        <f>IF(ISNA(VLOOKUP(A33,'Données projet'!$A$61:$I$81,6,0)),0%,VLOOKUP(A33,'Données projet'!$A$61:$I$81,6,0)*VLOOKUP('Données projet'!$B$10,Paramètres!$A$1:$I$89,7,0))</f>
        <v>0.23850000000000002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3.2629903879783009</v>
      </c>
      <c r="AV33" s="21">
        <f>EXP(-LN(2)/25)*AV32+(1-EXP(-LN(2)/25))/(LN(2)/25)*Calculateur!AQ33*Calculateur!AS33*VLOOKUP('Données projet'!$B$10,Paramètres!$A$1:$I$89,3,0)*0.475*44/12</f>
        <v>20.519602724797</v>
      </c>
      <c r="AW33" s="21">
        <f>EXP(-LN(2)/2)*AW32+(1-EXP(-LN(2)/2))/(LN(2)/2)*AQ33*AT33*VLOOKUP('Données projet'!$B$10,Paramètres!$A$1:$I$89,3,0)*0.475*44/12</f>
        <v>24.039034252757283</v>
      </c>
      <c r="AX33" s="21">
        <f t="shared" si="6"/>
        <v>47.821627365532585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142.20959999999999</v>
      </c>
      <c r="BF33" s="13">
        <f t="shared" si="37"/>
        <v>36.802731569585646</v>
      </c>
      <c r="BG33" s="20">
        <f t="shared" si="7"/>
        <v>311.77981081702825</v>
      </c>
      <c r="BH33" s="59">
        <f t="shared" si="8"/>
        <v>605.11314415036156</v>
      </c>
      <c r="BI33" s="59">
        <f ca="1">AVERAGE(OFFSET($BH$3,0,0,'Données projet'!$E$11+1,1))-AVERAGE(OFFSET($H$3,0,0,'Données projet'!$E$11+1,1))</f>
        <v>207.93042467236967</v>
      </c>
      <c r="BJ33" s="59">
        <f t="shared" si="38"/>
        <v>250.70954318710835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2.7511487584915084</v>
      </c>
      <c r="BQ33" s="21">
        <f>EXP(-LN(2)/25)*BQ32+(1-EXP(-LN(2)/25))/(LN(2)/25)*Calculateur!BL33*Calculateur!BN33*VLOOKUP('Données projet'!$B$11,Paramètres!$A$1:$I$89,3,0)*0.475*44/12</f>
        <v>17.300841513064139</v>
      </c>
      <c r="BR33" s="21">
        <f>EXP(-LN(2)/2)*BR32+(1-EXP(-LN(2)/2))/(LN(2)/2)*BL33*BO33*VLOOKUP('Données projet'!$B$11,Paramètres!$A$1:$I$89,3,0)*0.475*44/12</f>
        <v>20.268205350363985</v>
      </c>
      <c r="BS33" s="22">
        <f t="shared" si="9"/>
        <v>40.32019562191963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144.11279999999999</v>
      </c>
      <c r="CA33" s="13">
        <f t="shared" si="39"/>
        <v>37.237596662992502</v>
      </c>
      <c r="CB33" s="20">
        <f t="shared" si="10"/>
        <v>315.85194085471193</v>
      </c>
      <c r="CC33" s="59">
        <f t="shared" si="11"/>
        <v>609.18527418804524</v>
      </c>
      <c r="CD33" s="59">
        <f ca="1">AVERAGE(OFFSET($CC$3,0,0,'Données projet'!$E$12+1,1))-AVERAGE(OFFSET($H$3,0,0,'Données projet'!$E$12+1,1))</f>
        <v>347.8889410585312</v>
      </c>
      <c r="CE33" s="59">
        <f t="shared" si="40"/>
        <v>254.78167322479203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2.5746599702109205</v>
      </c>
      <c r="CL33" s="21">
        <f>EXP(-LN(2)/25)*CL32+(1-EXP(-LN(2)/25))/(LN(2)/25)*Calculateur!CG33*Calculateur!CI33*VLOOKUP('Données projet'!$B$12,Paramètres!$A$1:$I$89,3,0)*0.475*44/12</f>
        <v>12.060943807441456</v>
      </c>
      <c r="CM33" s="21">
        <f>EXP(-LN(2)/2)*CM32+(1-EXP(-LN(2)/2))/(LN(2)/2)*CG33*CJ33*VLOOKUP('Données projet'!$B$12,Paramètres!$A$1:$I$89,3,0)*0.475*44/12</f>
        <v>23.039773793010479</v>
      </c>
      <c r="CN33" s="22">
        <f t="shared" si="12"/>
        <v>37.675377570662853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501.72457908822162</v>
      </c>
      <c r="S34" s="59">
        <f ca="1">AVERAGE(OFFSET($R$3,0,0,'Données projet'!$E$9+1,1))-AVERAGE(OFFSET($H$3,0,0,'Données projet'!$E$9+1,1))</f>
        <v>318.40875902853116</v>
      </c>
      <c r="T34" s="59">
        <f t="shared" si="34"/>
        <v>234.87694492493506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12.1</v>
      </c>
      <c r="AI34" s="13">
        <f>IF('Données projet'!$A$62&gt;35,AI33+AH34-AQ33,IF(A34&lt;'Données projet'!$A$62,$AF$205^A34,IF(A34='Données projet'!$A$62,'Données projet'!$B$62,AI33+AH34-AQ33)))</f>
        <v>154.1</v>
      </c>
      <c r="AJ34" s="13">
        <f>AI34*VLOOKUP('Données projet'!$B$10,Paramètres!$A$1:$I$89,3,0)*VLOOKUP('Données projet'!$B$10,Paramètres!$A$1:$I$89,5,0)</f>
        <v>122.60195999999999</v>
      </c>
      <c r="AK34" s="13">
        <f t="shared" si="35"/>
        <v>32.281104011674643</v>
      </c>
      <c r="AL34" s="20">
        <f t="shared" si="4"/>
        <v>269.75466982033333</v>
      </c>
      <c r="AM34" s="59">
        <f t="shared" si="5"/>
        <v>563.0880031536667</v>
      </c>
      <c r="AN34" s="59">
        <f ca="1">AVERAGE(OFFSET($AM$3,0,0,'Données projet'!$E$10+1,1))-AVERAGE(OFFSET($H$3,0,0,'Données projet'!$E$10+1,1))</f>
        <v>260.20517190557814</v>
      </c>
      <c r="AO34" s="59">
        <f t="shared" si="36"/>
        <v>307.22009971147133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3.1990051366976644</v>
      </c>
      <c r="AV34" s="21">
        <f>EXP(-LN(2)/25)*AV33+(1-EXP(-LN(2)/25))/(LN(2)/25)*Calculateur!AQ34*Calculateur!AS34*VLOOKUP('Données projet'!$B$10,Paramètres!$A$1:$I$89,3,0)*0.475*44/12</f>
        <v>19.958493109208415</v>
      </c>
      <c r="AW34" s="21">
        <f>EXP(-LN(2)/2)*AW33+(1-EXP(-LN(2)/2))/(LN(2)/2)*AQ34*AT34*VLOOKUP('Données projet'!$B$10,Paramètres!$A$1:$I$89,3,0)*0.475*44/12</f>
        <v>16.998164133300367</v>
      </c>
      <c r="AX34" s="21">
        <f t="shared" si="6"/>
        <v>40.155662379206447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103.37027999999999</v>
      </c>
      <c r="BF34" s="13">
        <f t="shared" si="37"/>
        <v>27.763364755740294</v>
      </c>
      <c r="BG34" s="20">
        <f t="shared" si="7"/>
        <v>228.39109794958097</v>
      </c>
      <c r="BH34" s="59">
        <f t="shared" si="8"/>
        <v>521.72443128291434</v>
      </c>
      <c r="BI34" s="59">
        <f ca="1">AVERAGE(OFFSET($BH$3,0,0,'Données projet'!$E$11+1,1))-AVERAGE(OFFSET($H$3,0,0,'Données projet'!$E$11+1,1))</f>
        <v>207.93042467236967</v>
      </c>
      <c r="BJ34" s="59">
        <f t="shared" si="38"/>
        <v>250.70954318710835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2.6972004093725404</v>
      </c>
      <c r="BQ34" s="21">
        <f>EXP(-LN(2)/25)*BQ33+(1-EXP(-LN(2)/25))/(LN(2)/25)*Calculateur!BL34*Calculateur!BN34*VLOOKUP('Données projet'!$B$11,Paramètres!$A$1:$I$89,3,0)*0.475*44/12</f>
        <v>16.827749092077685</v>
      </c>
      <c r="BR34" s="21">
        <f>EXP(-LN(2)/2)*BR33+(1-EXP(-LN(2)/2))/(LN(2)/2)*BL34*BO34*VLOOKUP('Données projet'!$B$11,Paramètres!$A$1:$I$89,3,0)*0.475*44/12</f>
        <v>14.331785445723838</v>
      </c>
      <c r="BS34" s="22">
        <f t="shared" si="9"/>
        <v>33.856734947174061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104</v>
      </c>
      <c r="BZ34" s="13">
        <f>BY34*VLOOKUP('Données projet'!$B$12,Paramètres!$A$1:$I$89,3,0)*VLOOKUP('Données projet'!$B$12,Paramètres!$A$1:$I$89,5,0)</f>
        <v>100.58880000000001</v>
      </c>
      <c r="CA34" s="13">
        <f t="shared" si="39"/>
        <v>27.102223064855139</v>
      </c>
      <c r="CB34" s="20">
        <f t="shared" si="10"/>
        <v>222.3951985046227</v>
      </c>
      <c r="CC34" s="59">
        <f t="shared" si="11"/>
        <v>515.72853183795598</v>
      </c>
      <c r="CD34" s="59">
        <f ca="1">AVERAGE(OFFSET($CC$3,0,0,'Données projet'!$E$12+1,1))-AVERAGE(OFFSET($H$3,0,0,'Données projet'!$E$12+1,1))</f>
        <v>347.8889410585312</v>
      </c>
      <c r="CE34" s="59">
        <f t="shared" si="40"/>
        <v>254.78167322479203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2.5241724585826035</v>
      </c>
      <c r="CL34" s="21">
        <f>EXP(-LN(2)/25)*CL33+(1-EXP(-LN(2)/25))/(LN(2)/25)*Calculateur!CG34*Calculateur!CI34*VLOOKUP('Données projet'!$B$12,Paramètres!$A$1:$I$89,3,0)*0.475*44/12</f>
        <v>11.731136664769499</v>
      </c>
      <c r="CM34" s="21">
        <f>EXP(-LN(2)/2)*CM33+(1-EXP(-LN(2)/2))/(LN(2)/2)*CG34*CJ34*VLOOKUP('Données projet'!$B$12,Paramètres!$A$1:$I$89,3,0)*0.475*44/12</f>
        <v>16.291580286041814</v>
      </c>
      <c r="CN34" s="22">
        <f t="shared" si="12"/>
        <v>30.546889409393916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523.19342786880793</v>
      </c>
      <c r="S35" s="59">
        <f ca="1">AVERAGE(OFFSET($R$3,0,0,'Données projet'!$E$9+1,1))-AVERAGE(OFFSET($H$3,0,0,'Données projet'!$E$9+1,1))</f>
        <v>318.40875902853116</v>
      </c>
      <c r="T35" s="59">
        <f t="shared" si="34"/>
        <v>234.87694492493506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12.1</v>
      </c>
      <c r="AI35" s="13">
        <f>IF('Données projet'!$A$62&gt;35,AI34+AH35-AQ34,IF(A35&lt;'Données projet'!$A$62,$AF$205^A35,IF(A35='Données projet'!$A$62,'Données projet'!$B$62,AI34+AH35-AQ34)))</f>
        <v>166.2</v>
      </c>
      <c r="AJ35" s="13">
        <f>AI35*VLOOKUP('Données projet'!$B$10,Paramètres!$A$1:$I$89,3,0)*VLOOKUP('Données projet'!$B$10,Paramètres!$A$1:$I$89,5,0)</f>
        <v>132.22872000000001</v>
      </c>
      <c r="AK35" s="13">
        <f t="shared" si="35"/>
        <v>34.510840487492601</v>
      </c>
      <c r="AL35" s="20">
        <f t="shared" si="4"/>
        <v>290.40473451571626</v>
      </c>
      <c r="AM35" s="59">
        <f t="shared" si="5"/>
        <v>583.73806784904957</v>
      </c>
      <c r="AN35" s="59">
        <f ca="1">AVERAGE(OFFSET($AM$3,0,0,'Données projet'!$E$10+1,1))-AVERAGE(OFFSET($H$3,0,0,'Données projet'!$E$10+1,1))</f>
        <v>260.20517190557814</v>
      </c>
      <c r="AO35" s="59">
        <f t="shared" si="36"/>
        <v>307.22009971147133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3.1362745971674917</v>
      </c>
      <c r="AV35" s="21">
        <f>EXP(-LN(2)/25)*AV34+(1-EXP(-LN(2)/25))/(LN(2)/25)*Calculateur!AQ35*Calculateur!AS35*VLOOKUP('Données projet'!$B$10,Paramètres!$A$1:$I$89,3,0)*0.475*44/12</f>
        <v>19.412727065565573</v>
      </c>
      <c r="AW35" s="21">
        <f>EXP(-LN(2)/2)*AW34+(1-EXP(-LN(2)/2))/(LN(2)/2)*AQ35*AT35*VLOOKUP('Données projet'!$B$10,Paramètres!$A$1:$I$89,3,0)*0.475*44/12</f>
        <v>12.019517126378643</v>
      </c>
      <c r="AX35" s="21">
        <f t="shared" si="6"/>
        <v>34.568518789111707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111.48696</v>
      </c>
      <c r="BF35" s="13">
        <f t="shared" si="37"/>
        <v>29.681049698142655</v>
      </c>
      <c r="BG35" s="20">
        <f t="shared" si="7"/>
        <v>245.86761689093177</v>
      </c>
      <c r="BH35" s="59">
        <f t="shared" si="8"/>
        <v>539.20095022426506</v>
      </c>
      <c r="BI35" s="59">
        <f ca="1">AVERAGE(OFFSET($BH$3,0,0,'Données projet'!$E$11+1,1))-AVERAGE(OFFSET($H$3,0,0,'Données projet'!$E$11+1,1))</f>
        <v>207.93042467236967</v>
      </c>
      <c r="BJ35" s="59">
        <f t="shared" si="38"/>
        <v>250.70954318710835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2.6443099544745516</v>
      </c>
      <c r="BQ35" s="21">
        <f>EXP(-LN(2)/25)*BQ34+(1-EXP(-LN(2)/25))/(LN(2)/25)*Calculateur!BL35*Calculateur!BN35*VLOOKUP('Données projet'!$B$11,Paramètres!$A$1:$I$89,3,0)*0.475*44/12</f>
        <v>16.367593408221957</v>
      </c>
      <c r="BR35" s="21">
        <f>EXP(-LN(2)/2)*BR34+(1-EXP(-LN(2)/2))/(LN(2)/2)*BL35*BO35*VLOOKUP('Données projet'!$B$11,Paramètres!$A$1:$I$89,3,0)*0.475*44/12</f>
        <v>10.134102675181992</v>
      </c>
      <c r="BS35" s="22">
        <f t="shared" si="9"/>
        <v>29.1460060378785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115</v>
      </c>
      <c r="BZ35" s="13">
        <f>BY35*VLOOKUP('Données projet'!$B$12,Paramètres!$A$1:$I$89,3,0)*VLOOKUP('Données projet'!$B$12,Paramètres!$A$1:$I$89,5,0)</f>
        <v>111.22799999999999</v>
      </c>
      <c r="CA35" s="13">
        <f t="shared" si="39"/>
        <v>29.620123744783829</v>
      </c>
      <c r="CB35" s="20">
        <f t="shared" si="10"/>
        <v>245.3104821888318</v>
      </c>
      <c r="CC35" s="59">
        <f t="shared" si="11"/>
        <v>538.64381552216514</v>
      </c>
      <c r="CD35" s="59">
        <f ca="1">AVERAGE(OFFSET($CC$3,0,0,'Données projet'!$E$12+1,1))-AVERAGE(OFFSET($H$3,0,0,'Données projet'!$E$12+1,1))</f>
        <v>347.8889410585312</v>
      </c>
      <c r="CE35" s="59">
        <f t="shared" si="40"/>
        <v>254.78167322479203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2.4746749762629761</v>
      </c>
      <c r="CL35" s="21">
        <f>EXP(-LN(2)/25)*CL34+(1-EXP(-LN(2)/25))/(LN(2)/25)*Calculateur!CG35*Calculateur!CI35*VLOOKUP('Données projet'!$B$12,Paramètres!$A$1:$I$89,3,0)*0.475*44/12</f>
        <v>11.410348115757712</v>
      </c>
      <c r="CM35" s="21">
        <f>EXP(-LN(2)/2)*CM34+(1-EXP(-LN(2)/2))/(LN(2)/2)*CG35*CJ35*VLOOKUP('Données projet'!$B$12,Paramètres!$A$1:$I$89,3,0)*0.475*44/12</f>
        <v>11.519886896505241</v>
      </c>
      <c r="CN35" s="22">
        <f t="shared" si="12"/>
        <v>25.40490998852593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544.61642629488676</v>
      </c>
      <c r="S36" s="59">
        <f ca="1">AVERAGE(OFFSET($R$3,0,0,'Données projet'!$E$9+1,1))-AVERAGE(OFFSET($H$3,0,0,'Données projet'!$E$9+1,1))</f>
        <v>318.40875902853116</v>
      </c>
      <c r="T36" s="59">
        <f t="shared" si="34"/>
        <v>234.87694492493506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12.1</v>
      </c>
      <c r="AI36" s="13">
        <f>IF('Données projet'!$A$62&gt;35,AI35+AH36-AQ35,IF(A36&lt;'Données projet'!$A$62,$AF$205^A36,IF(A36='Données projet'!$A$62,'Données projet'!$B$62,AI35+AH36-AQ35)))</f>
        <v>178.29999999999998</v>
      </c>
      <c r="AJ36" s="13">
        <f>AI36*VLOOKUP('Données projet'!$B$10,Paramètres!$A$1:$I$89,3,0)*VLOOKUP('Données projet'!$B$10,Paramètres!$A$1:$I$89,5,0)</f>
        <v>141.85548</v>
      </c>
      <c r="AK36" s="13">
        <f t="shared" si="35"/>
        <v>36.721743640099248</v>
      </c>
      <c r="AL36" s="20">
        <f t="shared" si="4"/>
        <v>311.02199783983951</v>
      </c>
      <c r="AM36" s="59">
        <f t="shared" si="5"/>
        <v>604.35533117317277</v>
      </c>
      <c r="AN36" s="59">
        <f ca="1">AVERAGE(OFFSET($AM$3,0,0,'Données projet'!$E$10+1,1))-AVERAGE(OFFSET($H$3,0,0,'Données projet'!$E$10+1,1))</f>
        <v>260.20517190557814</v>
      </c>
      <c r="AO36" s="59">
        <f t="shared" si="36"/>
        <v>307.22009971147133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3.0747741652556546</v>
      </c>
      <c r="AV36" s="21">
        <f>EXP(-LN(2)/25)*AV35+(1-EXP(-LN(2)/25))/(LN(2)/25)*Calculateur!AQ36*Calculateur!AS36*VLOOKUP('Données projet'!$B$10,Paramètres!$A$1:$I$89,3,0)*0.475*44/12</f>
        <v>18.881885023086735</v>
      </c>
      <c r="AW36" s="21">
        <f>EXP(-LN(2)/2)*AW35+(1-EXP(-LN(2)/2))/(LN(2)/2)*AQ36*AT36*VLOOKUP('Données projet'!$B$10,Paramètres!$A$1:$I$89,3,0)*0.475*44/12</f>
        <v>8.4990820666501836</v>
      </c>
      <c r="AX36" s="21">
        <f t="shared" si="6"/>
        <v>30.455741254992574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119.60364</v>
      </c>
      <c r="BF36" s="13">
        <f t="shared" si="37"/>
        <v>31.58253704018756</v>
      </c>
      <c r="BG36" s="20">
        <f t="shared" si="7"/>
        <v>263.31592501165994</v>
      </c>
      <c r="BH36" s="59">
        <f t="shared" si="8"/>
        <v>556.64925834499331</v>
      </c>
      <c r="BI36" s="59">
        <f ca="1">AVERAGE(OFFSET($BH$3,0,0,'Données projet'!$E$11+1,1))-AVERAGE(OFFSET($H$3,0,0,'Données projet'!$E$11+1,1))</f>
        <v>207.93042467236967</v>
      </c>
      <c r="BJ36" s="59">
        <f t="shared" si="38"/>
        <v>250.70954318710835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2.5924566491371204</v>
      </c>
      <c r="BQ36" s="21">
        <f>EXP(-LN(2)/25)*BQ35+(1-EXP(-LN(2)/25))/(LN(2)/25)*Calculateur!BL36*Calculateur!BN36*VLOOKUP('Données projet'!$B$11,Paramètres!$A$1:$I$89,3,0)*0.475*44/12</f>
        <v>15.920020705739798</v>
      </c>
      <c r="BR36" s="21">
        <f>EXP(-LN(2)/2)*BR35+(1-EXP(-LN(2)/2))/(LN(2)/2)*BL36*BO36*VLOOKUP('Données projet'!$B$11,Paramètres!$A$1:$I$89,3,0)*0.475*44/12</f>
        <v>7.1658927228619191</v>
      </c>
      <c r="BS36" s="22">
        <f t="shared" si="9"/>
        <v>25.678370077738837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126</v>
      </c>
      <c r="BZ36" s="13">
        <f>BY36*VLOOKUP('Données projet'!$B$12,Paramètres!$A$1:$I$89,3,0)*VLOOKUP('Données projet'!$B$12,Paramètres!$A$1:$I$89,5,0)</f>
        <v>121.86720000000001</v>
      </c>
      <c r="CA36" s="13">
        <f t="shared" si="39"/>
        <v>32.110100916567376</v>
      </c>
      <c r="CB36" s="20">
        <f t="shared" si="10"/>
        <v>268.17713242968824</v>
      </c>
      <c r="CC36" s="59">
        <f t="shared" si="11"/>
        <v>561.51046576302156</v>
      </c>
      <c r="CD36" s="59">
        <f ca="1">AVERAGE(OFFSET($CC$3,0,0,'Données projet'!$E$12+1,1))-AVERAGE(OFFSET($H$3,0,0,'Données projet'!$E$12+1,1))</f>
        <v>347.8889410585312</v>
      </c>
      <c r="CE36" s="59">
        <f t="shared" si="40"/>
        <v>254.78167322479203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2.4261481093811534</v>
      </c>
      <c r="CL36" s="21">
        <f>EXP(-LN(2)/25)*CL35+(1-EXP(-LN(2)/25))/(LN(2)/25)*Calculateur!CG36*Calculateur!CI36*VLOOKUP('Données projet'!$B$12,Paramètres!$A$1:$I$89,3,0)*0.475*44/12</f>
        <v>11.098331546488188</v>
      </c>
      <c r="CM36" s="21">
        <f>EXP(-LN(2)/2)*CM35+(1-EXP(-LN(2)/2))/(LN(2)/2)*CG36*CJ36*VLOOKUP('Données projet'!$B$12,Paramètres!$A$1:$I$89,3,0)*0.475*44/12</f>
        <v>8.1457901430209088</v>
      </c>
      <c r="CN36" s="22">
        <f t="shared" si="12"/>
        <v>21.670269798890253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565.99803230996918</v>
      </c>
      <c r="S37" s="59">
        <f ca="1">AVERAGE(OFFSET($R$3,0,0,'Données projet'!$E$9+1,1))-AVERAGE(OFFSET($H$3,0,0,'Données projet'!$E$9+1,1))</f>
        <v>318.40875902853116</v>
      </c>
      <c r="T37" s="59">
        <f t="shared" si="34"/>
        <v>234.87694492493506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12.1</v>
      </c>
      <c r="AI37" s="13">
        <f>IF('Données projet'!$A$62&gt;35,AI36+AH37-AQ36,IF(A37&lt;'Données projet'!$A$62,$AF$205^A37,IF(A37='Données projet'!$A$62,'Données projet'!$B$62,AI36+AH37-AQ36)))</f>
        <v>190.39999999999998</v>
      </c>
      <c r="AJ37" s="13">
        <f>AI37*VLOOKUP('Données projet'!$B$10,Paramètres!$A$1:$I$89,3,0)*VLOOKUP('Données projet'!$B$10,Paramètres!$A$1:$I$89,5,0)</f>
        <v>151.48223999999999</v>
      </c>
      <c r="AK37" s="13">
        <f t="shared" si="35"/>
        <v>38.915236966075291</v>
      </c>
      <c r="AL37" s="20">
        <f t="shared" si="4"/>
        <v>331.60893904924779</v>
      </c>
      <c r="AM37" s="59">
        <f t="shared" si="5"/>
        <v>624.94227238258111</v>
      </c>
      <c r="AN37" s="59">
        <f ca="1">AVERAGE(OFFSET($AM$3,0,0,'Données projet'!$E$10+1,1))-AVERAGE(OFFSET($H$3,0,0,'Données projet'!$E$10+1,1))</f>
        <v>260.20517190557814</v>
      </c>
      <c r="AO37" s="59">
        <f t="shared" si="36"/>
        <v>307.22009971147133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3.0144797193020492</v>
      </c>
      <c r="AV37" s="21">
        <f>EXP(-LN(2)/25)*AV36+(1-EXP(-LN(2)/25))/(LN(2)/25)*Calculateur!AQ37*Calculateur!AS37*VLOOKUP('Données projet'!$B$10,Paramètres!$A$1:$I$89,3,0)*0.475*44/12</f>
        <v>18.36555888417525</v>
      </c>
      <c r="AW37" s="21">
        <f>EXP(-LN(2)/2)*AW36+(1-EXP(-LN(2)/2))/(LN(2)/2)*AQ37*AT37*VLOOKUP('Données projet'!$B$10,Paramètres!$A$1:$I$89,3,0)*0.475*44/12</f>
        <v>6.0097585631893216</v>
      </c>
      <c r="AX37" s="21">
        <f t="shared" si="6"/>
        <v>27.389797166666622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127.72031999999999</v>
      </c>
      <c r="BF37" s="13">
        <f t="shared" si="37"/>
        <v>33.469051060164404</v>
      </c>
      <c r="BG37" s="20">
        <f t="shared" si="7"/>
        <v>280.73815459645294</v>
      </c>
      <c r="BH37" s="59">
        <f t="shared" si="8"/>
        <v>574.07148792978626</v>
      </c>
      <c r="BI37" s="59">
        <f ca="1">AVERAGE(OFFSET($BH$3,0,0,'Données projet'!$E$11+1,1))-AVERAGE(OFFSET($H$3,0,0,'Données projet'!$E$11+1,1))</f>
        <v>207.93042467236967</v>
      </c>
      <c r="BJ37" s="59">
        <f t="shared" si="38"/>
        <v>250.70954318710835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2.5416201554899627</v>
      </c>
      <c r="BQ37" s="21">
        <f>EXP(-LN(2)/25)*BQ36+(1-EXP(-LN(2)/25))/(LN(2)/25)*Calculateur!BL37*Calculateur!BN37*VLOOKUP('Données projet'!$B$11,Paramètres!$A$1:$I$89,3,0)*0.475*44/12</f>
        <v>15.48468690234384</v>
      </c>
      <c r="BR37" s="21">
        <f>EXP(-LN(2)/2)*BR36+(1-EXP(-LN(2)/2))/(LN(2)/2)*BL37*BO37*VLOOKUP('Données projet'!$B$11,Paramètres!$A$1:$I$89,3,0)*0.475*44/12</f>
        <v>5.0670513375909962</v>
      </c>
      <c r="BS37" s="22">
        <f t="shared" si="9"/>
        <v>23.093358395424801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137</v>
      </c>
      <c r="BZ37" s="13">
        <f>BY37*VLOOKUP('Données projet'!$B$12,Paramètres!$A$1:$I$89,3,0)*VLOOKUP('Données projet'!$B$12,Paramètres!$A$1:$I$89,5,0)</f>
        <v>132.50640000000001</v>
      </c>
      <c r="CA37" s="13">
        <f t="shared" si="39"/>
        <v>34.574869530248939</v>
      </c>
      <c r="CB37" s="20">
        <f t="shared" si="10"/>
        <v>290.99987776518356</v>
      </c>
      <c r="CC37" s="59">
        <f t="shared" si="11"/>
        <v>584.33321109851681</v>
      </c>
      <c r="CD37" s="59">
        <f ca="1">AVERAGE(OFFSET($CC$3,0,0,'Données projet'!$E$12+1,1))-AVERAGE(OFFSET($H$3,0,0,'Données projet'!$E$12+1,1))</f>
        <v>347.8889410585312</v>
      </c>
      <c r="CE37" s="59">
        <f t="shared" si="40"/>
        <v>254.78167322479203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2.3785728247604174</v>
      </c>
      <c r="CL37" s="21">
        <f>EXP(-LN(2)/25)*CL36+(1-EXP(-LN(2)/25))/(LN(2)/25)*Calculateur!CG37*Calculateur!CI37*VLOOKUP('Données projet'!$B$12,Paramètres!$A$1:$I$89,3,0)*0.475*44/12</f>
        <v>10.794847086713578</v>
      </c>
      <c r="CM37" s="21">
        <f>EXP(-LN(2)/2)*CM36+(1-EXP(-LN(2)/2))/(LN(2)/2)*CG37*CJ37*VLOOKUP('Données projet'!$B$12,Paramètres!$A$1:$I$89,3,0)*0.475*44/12</f>
        <v>5.7599434482526215</v>
      </c>
      <c r="CN37" s="22">
        <f t="shared" si="12"/>
        <v>18.933363359726616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587.34194724034273</v>
      </c>
      <c r="S38" s="59">
        <f ca="1">AVERAGE(OFFSET($R$3,0,0,'Données projet'!$E$9+1,1))-AVERAGE(OFFSET($H$3,0,0,'Données projet'!$E$9+1,1))</f>
        <v>318.40875902853116</v>
      </c>
      <c r="T38" s="59">
        <f t="shared" si="34"/>
        <v>234.87694492493506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12.1</v>
      </c>
      <c r="AI38" s="13">
        <f>IF('Données projet'!$A$62&gt;35,AI37+AH38-AQ37,IF(A38&lt;'Données projet'!$A$62,$AF$205^A38,IF(A38='Données projet'!$A$62,'Données projet'!$B$62,AI37+AH38-AQ37)))</f>
        <v>202.49999999999997</v>
      </c>
      <c r="AJ38" s="13">
        <f>AI38*VLOOKUP('Données projet'!$B$10,Paramètres!$A$1:$I$89,3,0)*VLOOKUP('Données projet'!$B$10,Paramètres!$A$1:$I$89,5,0)</f>
        <v>161.10899999999998</v>
      </c>
      <c r="AK38" s="13">
        <f t="shared" si="35"/>
        <v>41.092552806229541</v>
      </c>
      <c r="AL38" s="20">
        <f t="shared" si="4"/>
        <v>352.16770447084974</v>
      </c>
      <c r="AM38" s="59">
        <f t="shared" si="5"/>
        <v>645.50103780418306</v>
      </c>
      <c r="AN38" s="59">
        <f ca="1">AVERAGE(OFFSET($AM$3,0,0,'Données projet'!$E$10+1,1))-AVERAGE(OFFSET($H$3,0,0,'Données projet'!$E$10+1,1))</f>
        <v>260.20517190557814</v>
      </c>
      <c r="AO38" s="59">
        <f t="shared" si="36"/>
        <v>307.22009971147133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2.9553676106576132</v>
      </c>
      <c r="AV38" s="21">
        <f>EXP(-LN(2)/25)*AV37+(1-EXP(-LN(2)/25))/(LN(2)/25)*Calculateur!AQ38*Calculateur!AS38*VLOOKUP('Données projet'!$B$10,Paramètres!$A$1:$I$89,3,0)*0.475*44/12</f>
        <v>17.863351710684711</v>
      </c>
      <c r="AW38" s="21">
        <f>EXP(-LN(2)/2)*AW37+(1-EXP(-LN(2)/2))/(LN(2)/2)*AQ38*AT38*VLOOKUP('Données projet'!$B$10,Paramètres!$A$1:$I$89,3,0)*0.475*44/12</f>
        <v>4.2495410333250918</v>
      </c>
      <c r="AX38" s="21">
        <f t="shared" si="6"/>
        <v>25.068260354667416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135.83699999999999</v>
      </c>
      <c r="BF38" s="13">
        <f t="shared" si="37"/>
        <v>35.34165163283356</v>
      </c>
      <c r="BG38" s="20">
        <f t="shared" si="7"/>
        <v>298.13615159385171</v>
      </c>
      <c r="BH38" s="59">
        <f t="shared" si="8"/>
        <v>591.46948492718502</v>
      </c>
      <c r="BI38" s="59">
        <f ca="1">AVERAGE(OFFSET($BH$3,0,0,'Données projet'!$E$11+1,1))-AVERAGE(OFFSET($H$3,0,0,'Données projet'!$E$11+1,1))</f>
        <v>207.93042467236967</v>
      </c>
      <c r="BJ38" s="59">
        <f t="shared" si="38"/>
        <v>250.70954318710835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2.4917805344760264</v>
      </c>
      <c r="BQ38" s="21">
        <f>EXP(-LN(2)/25)*BQ37+(1-EXP(-LN(2)/25))/(LN(2)/25)*Calculateur!BL38*Calculateur!BN38*VLOOKUP('Données projet'!$B$11,Paramètres!$A$1:$I$89,3,0)*0.475*44/12</f>
        <v>15.061257324694955</v>
      </c>
      <c r="BR38" s="21">
        <f>EXP(-LN(2)/2)*BR37+(1-EXP(-LN(2)/2))/(LN(2)/2)*BL38*BO38*VLOOKUP('Données projet'!$B$11,Paramètres!$A$1:$I$89,3,0)*0.475*44/12</f>
        <v>3.5829463614309596</v>
      </c>
      <c r="BS38" s="22">
        <f t="shared" si="9"/>
        <v>21.135984220601941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148</v>
      </c>
      <c r="BZ38" s="13">
        <f>BY38*VLOOKUP('Données projet'!$B$12,Paramètres!$A$1:$I$89,3,0)*VLOOKUP('Données projet'!$B$12,Paramètres!$A$1:$I$89,5,0)</f>
        <v>143.1456</v>
      </c>
      <c r="CA38" s="13">
        <f t="shared" si="39"/>
        <v>37.01668374538415</v>
      </c>
      <c r="CB38" s="20">
        <f t="shared" si="10"/>
        <v>313.78264418987732</v>
      </c>
      <c r="CC38" s="59">
        <f t="shared" si="11"/>
        <v>607.11597752321063</v>
      </c>
      <c r="CD38" s="59">
        <f ca="1">AVERAGE(OFFSET($CC$3,0,0,'Données projet'!$E$12+1,1))-AVERAGE(OFFSET($H$3,0,0,'Données projet'!$E$12+1,1))</f>
        <v>347.8889410585312</v>
      </c>
      <c r="CE38" s="59">
        <f t="shared" si="40"/>
        <v>254.78167322479203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2.3319304624530357</v>
      </c>
      <c r="CL38" s="21">
        <f>EXP(-LN(2)/25)*CL37+(1-EXP(-LN(2)/25))/(LN(2)/25)*Calculateur!CG38*Calculateur!CI38*VLOOKUP('Données projet'!$B$12,Paramètres!$A$1:$I$89,3,0)*0.475*44/12</f>
        <v>10.499661425451059</v>
      </c>
      <c r="CM38" s="21">
        <f>EXP(-LN(2)/2)*CM37+(1-EXP(-LN(2)/2))/(LN(2)/2)*CG38*CJ38*VLOOKUP('Données projet'!$B$12,Paramètres!$A$1:$I$89,3,0)*0.475*44/12</f>
        <v>4.0728950715104544</v>
      </c>
      <c r="CN38" s="22">
        <f t="shared" si="12"/>
        <v>16.904486959414548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608.65129100009176</v>
      </c>
      <c r="S39" s="59">
        <f ca="1">AVERAGE(OFFSET($R$3,0,0,'Données projet'!$E$9+1,1))-AVERAGE(OFFSET($H$3,0,0,'Données projet'!$E$9+1,1))</f>
        <v>318.40875902853116</v>
      </c>
      <c r="T39" s="59">
        <f t="shared" si="34"/>
        <v>234.87694492493506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12.1</v>
      </c>
      <c r="AI39" s="13">
        <f>IF('Données projet'!$A$62&gt;35,AI38+AH39-AQ38,IF(A39&lt;'Données projet'!$A$62,$AF$205^A39,IF(A39='Données projet'!$A$62,'Données projet'!$B$62,AI38+AH39-AQ38)))</f>
        <v>214.59999999999997</v>
      </c>
      <c r="AJ39" s="13">
        <f>AI39*VLOOKUP('Données projet'!$B$10,Paramètres!$A$1:$I$89,3,0)*VLOOKUP('Données projet'!$B$10,Paramètres!$A$1:$I$89,5,0)</f>
        <v>170.73575999999997</v>
      </c>
      <c r="AK39" s="13">
        <f t="shared" si="35"/>
        <v>43.254767908658785</v>
      </c>
      <c r="AL39" s="20">
        <f t="shared" si="4"/>
        <v>372.70016944091395</v>
      </c>
      <c r="AM39" s="59">
        <f t="shared" si="5"/>
        <v>666.03350277424727</v>
      </c>
      <c r="AN39" s="59">
        <f ca="1">AVERAGE(OFFSET($AM$3,0,0,'Données projet'!$E$10+1,1))-AVERAGE(OFFSET($H$3,0,0,'Données projet'!$E$10+1,1))</f>
        <v>260.20517190557814</v>
      </c>
      <c r="AO39" s="59">
        <f t="shared" si="36"/>
        <v>307.22009971147133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2.8974146544088684</v>
      </c>
      <c r="AV39" s="21">
        <f>EXP(-LN(2)/25)*AV38+(1-EXP(-LN(2)/25))/(LN(2)/25)*Calculateur!AQ39*Calculateur!AS39*VLOOKUP('Données projet'!$B$10,Paramètres!$A$1:$I$89,3,0)*0.475*44/12</f>
        <v>17.374877418763198</v>
      </c>
      <c r="AW39" s="21">
        <f>EXP(-LN(2)/2)*AW38+(1-EXP(-LN(2)/2))/(LN(2)/2)*AQ39*AT39*VLOOKUP('Données projet'!$B$10,Paramètres!$A$1:$I$89,3,0)*0.475*44/12</f>
        <v>3.0048792815946608</v>
      </c>
      <c r="AX39" s="21">
        <f t="shared" si="6"/>
        <v>23.277171354766729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143.95367999999996</v>
      </c>
      <c r="BF39" s="13">
        <f t="shared" si="37"/>
        <v>37.20126481543732</v>
      </c>
      <c r="BG39" s="20">
        <f t="shared" si="7"/>
        <v>315.51152888688659</v>
      </c>
      <c r="BH39" s="59">
        <f t="shared" si="8"/>
        <v>608.84486222021997</v>
      </c>
      <c r="BI39" s="59">
        <f ca="1">AVERAGE(OFFSET($BH$3,0,0,'Données projet'!$E$11+1,1))-AVERAGE(OFFSET($H$3,0,0,'Données projet'!$E$11+1,1))</f>
        <v>207.93042467236967</v>
      </c>
      <c r="BJ39" s="59">
        <f t="shared" si="38"/>
        <v>250.70954318710835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2.4429182380310062</v>
      </c>
      <c r="BQ39" s="21">
        <f>EXP(-LN(2)/25)*BQ38+(1-EXP(-LN(2)/25))/(LN(2)/25)*Calculateur!BL39*Calculateur!BN39*VLOOKUP('Données projet'!$B$11,Paramètres!$A$1:$I$89,3,0)*0.475*44/12</f>
        <v>14.649406451114071</v>
      </c>
      <c r="BR39" s="21">
        <f>EXP(-LN(2)/2)*BR38+(1-EXP(-LN(2)/2))/(LN(2)/2)*BL39*BO39*VLOOKUP('Données projet'!$B$11,Paramètres!$A$1:$I$89,3,0)*0.475*44/12</f>
        <v>2.5335256687954981</v>
      </c>
      <c r="BS39" s="22">
        <f t="shared" si="9"/>
        <v>19.625850357940575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159</v>
      </c>
      <c r="BZ39" s="13">
        <f>BY39*VLOOKUP('Données projet'!$B$12,Paramètres!$A$1:$I$89,3,0)*VLOOKUP('Données projet'!$B$12,Paramètres!$A$1:$I$89,5,0)</f>
        <v>153.78479999999999</v>
      </c>
      <c r="CA39" s="13">
        <f t="shared" si="39"/>
        <v>39.437443633352295</v>
      </c>
      <c r="CB39" s="20">
        <f t="shared" si="10"/>
        <v>336.52874099475525</v>
      </c>
      <c r="CC39" s="59">
        <f t="shared" si="11"/>
        <v>629.86207432808851</v>
      </c>
      <c r="CD39" s="59">
        <f ca="1">AVERAGE(OFFSET($CC$3,0,0,'Données projet'!$E$12+1,1))-AVERAGE(OFFSET($H$3,0,0,'Données projet'!$E$12+1,1))</f>
        <v>347.8889410585312</v>
      </c>
      <c r="CE39" s="59">
        <f t="shared" si="40"/>
        <v>254.78167322479203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2.2862027284214697</v>
      </c>
      <c r="CL39" s="21">
        <f>EXP(-LN(2)/25)*CL38+(1-EXP(-LN(2)/25))/(LN(2)/25)*Calculateur!CG39*Calculateur!CI39*VLOOKUP('Données projet'!$B$12,Paramètres!$A$1:$I$89,3,0)*0.475*44/12</f>
        <v>10.212547631618902</v>
      </c>
      <c r="CM39" s="21">
        <f>EXP(-LN(2)/2)*CM38+(1-EXP(-LN(2)/2))/(LN(2)/2)*CG39*CJ39*VLOOKUP('Données projet'!$B$12,Paramètres!$A$1:$I$89,3,0)*0.475*44/12</f>
        <v>2.8799717241263108</v>
      </c>
      <c r="CN39" s="22">
        <f t="shared" si="12"/>
        <v>15.378722084166682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629.9287273756587</v>
      </c>
      <c r="S40" s="59">
        <f ca="1">AVERAGE(OFFSET($R$3,0,0,'Données projet'!$E$9+1,1))-AVERAGE(OFFSET($H$3,0,0,'Données projet'!$E$9+1,1))</f>
        <v>318.40875902853116</v>
      </c>
      <c r="T40" s="59">
        <f t="shared" si="34"/>
        <v>234.87694492493506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12.1</v>
      </c>
      <c r="AI40" s="13">
        <f>IF('Données projet'!$A$62&gt;35,AI39+AH40-AQ39,IF(A40&lt;'Données projet'!$A$62,$AF$205^A40,IF(A40='Données projet'!$A$62,'Données projet'!$B$62,AI39+AH40-AQ39)))</f>
        <v>226.69999999999996</v>
      </c>
      <c r="AJ40" s="13">
        <f>AI40*VLOOKUP('Données projet'!$B$10,Paramètres!$A$1:$I$89,3,0)*VLOOKUP('Données projet'!$B$10,Paramètres!$A$1:$I$89,5,0)</f>
        <v>180.36251999999996</v>
      </c>
      <c r="AK40" s="13">
        <f t="shared" si="35"/>
        <v>45.402830740762262</v>
      </c>
      <c r="AL40" s="20">
        <f t="shared" si="4"/>
        <v>393.20798587349418</v>
      </c>
      <c r="AM40" s="59">
        <f t="shared" si="5"/>
        <v>686.54131920682744</v>
      </c>
      <c r="AN40" s="59">
        <f ca="1">AVERAGE(OFFSET($AM$3,0,0,'Données projet'!$E$10+1,1))-AVERAGE(OFFSET($H$3,0,0,'Données projet'!$E$10+1,1))</f>
        <v>260.20517190557814</v>
      </c>
      <c r="AO40" s="59">
        <f t="shared" si="36"/>
        <v>307.22009971147133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2.8405981202843482</v>
      </c>
      <c r="AV40" s="21">
        <f>EXP(-LN(2)/25)*AV39+(1-EXP(-LN(2)/25))/(LN(2)/25)*Calculateur!AQ40*Calculateur!AS40*VLOOKUP('Données projet'!$B$10,Paramètres!$A$1:$I$89,3,0)*0.475*44/12</f>
        <v>16.899760482042026</v>
      </c>
      <c r="AW40" s="21">
        <f>EXP(-LN(2)/2)*AW39+(1-EXP(-LN(2)/2))/(LN(2)/2)*AQ40*AT40*VLOOKUP('Données projet'!$B$10,Paramètres!$A$1:$I$89,3,0)*0.475*44/12</f>
        <v>2.1247705166625459</v>
      </c>
      <c r="AX40" s="21">
        <f t="shared" si="6"/>
        <v>21.865129118988921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152.07035999999997</v>
      </c>
      <c r="BF40" s="13">
        <f t="shared" si="37"/>
        <v>39.048706337399189</v>
      </c>
      <c r="BG40" s="20">
        <f t="shared" si="7"/>
        <v>332.86570720430353</v>
      </c>
      <c r="BH40" s="59">
        <f t="shared" si="8"/>
        <v>626.19904053763685</v>
      </c>
      <c r="BI40" s="59">
        <f ca="1">AVERAGE(OFFSET($BH$3,0,0,'Données projet'!$E$11+1,1))-AVERAGE(OFFSET($H$3,0,0,'Données projet'!$E$11+1,1))</f>
        <v>207.93042467236967</v>
      </c>
      <c r="BJ40" s="59">
        <f t="shared" si="38"/>
        <v>250.70954318710835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2.3950141014162147</v>
      </c>
      <c r="BQ40" s="21">
        <f>EXP(-LN(2)/25)*BQ39+(1-EXP(-LN(2)/25))/(LN(2)/25)*Calculateur!BL40*Calculateur!BN40*VLOOKUP('Données projet'!$B$11,Paramètres!$A$1:$I$89,3,0)*0.475*44/12</f>
        <v>14.248817661329554</v>
      </c>
      <c r="BR40" s="21">
        <f>EXP(-LN(2)/2)*BR39+(1-EXP(-LN(2)/2))/(LN(2)/2)*BL40*BO40*VLOOKUP('Données projet'!$B$11,Paramètres!$A$1:$I$89,3,0)*0.475*44/12</f>
        <v>1.7914731807154798</v>
      </c>
      <c r="BS40" s="22">
        <f t="shared" si="9"/>
        <v>18.435304943461247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170</v>
      </c>
      <c r="BZ40" s="13">
        <f>BY40*VLOOKUP('Données projet'!$B$12,Paramètres!$A$1:$I$89,3,0)*VLOOKUP('Données projet'!$B$12,Paramètres!$A$1:$I$89,5,0)</f>
        <v>164.42400000000001</v>
      </c>
      <c r="CA40" s="13">
        <f t="shared" si="39"/>
        <v>41.838771477410226</v>
      </c>
      <c r="CB40" s="20">
        <f t="shared" si="10"/>
        <v>359.24099365648948</v>
      </c>
      <c r="CC40" s="59">
        <f t="shared" si="11"/>
        <v>652.57432698982279</v>
      </c>
      <c r="CD40" s="59">
        <f ca="1">AVERAGE(OFFSET($CC$3,0,0,'Données projet'!$E$12+1,1))-AVERAGE(OFFSET($H$3,0,0,'Données projet'!$E$12+1,1))</f>
        <v>347.8889410585312</v>
      </c>
      <c r="CE40" s="59">
        <f t="shared" si="40"/>
        <v>254.78167322479203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2.2413716873630989</v>
      </c>
      <c r="CL40" s="21">
        <f>EXP(-LN(2)/25)*CL39+(1-EXP(-LN(2)/25))/(LN(2)/25)*Calculateur!CG40*Calculateur!CI40*VLOOKUP('Données projet'!$B$12,Paramètres!$A$1:$I$89,3,0)*0.475*44/12</f>
        <v>9.9332849795777438</v>
      </c>
      <c r="CM40" s="21">
        <f>EXP(-LN(2)/2)*CM39+(1-EXP(-LN(2)/2))/(LN(2)/2)*CG40*CJ40*VLOOKUP('Données projet'!$B$12,Paramètres!$A$1:$I$89,3,0)*0.475*44/12</f>
        <v>2.0364475357552272</v>
      </c>
      <c r="CN40" s="22">
        <f t="shared" si="12"/>
        <v>14.21110420269607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651.17655593527957</v>
      </c>
      <c r="S41" s="59">
        <f ca="1">AVERAGE(OFFSET($R$3,0,0,'Données projet'!$E$9+1,1))-AVERAGE(OFFSET($H$3,0,0,'Données projet'!$E$9+1,1))</f>
        <v>318.40875902853116</v>
      </c>
      <c r="T41" s="59">
        <f t="shared" si="34"/>
        <v>234.87694492493506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12.1</v>
      </c>
      <c r="AI41" s="13">
        <f>IF('Données projet'!$A$62&gt;35,AI40+AH41-AQ40,IF(A41&lt;'Données projet'!$A$62,$AF$205^A41,IF(A41='Données projet'!$A$62,'Données projet'!$B$62,AI40+AH41-AQ40)))</f>
        <v>238.79999999999995</v>
      </c>
      <c r="AJ41" s="13">
        <f>AI41*VLOOKUP('Données projet'!$B$10,Paramètres!$A$1:$I$89,3,0)*VLOOKUP('Données projet'!$B$10,Paramètres!$A$1:$I$89,5,0)</f>
        <v>189.98927999999998</v>
      </c>
      <c r="AK41" s="13">
        <f t="shared" si="35"/>
        <v>47.537582803650189</v>
      </c>
      <c r="AL41" s="20">
        <f t="shared" si="4"/>
        <v>413.69261938302407</v>
      </c>
      <c r="AM41" s="59">
        <f t="shared" si="5"/>
        <v>707.02595271635732</v>
      </c>
      <c r="AN41" s="59">
        <f ca="1">AVERAGE(OFFSET($AM$3,0,0,'Données projet'!$E$10+1,1))-AVERAGE(OFFSET($H$3,0,0,'Données projet'!$E$10+1,1))</f>
        <v>260.20517190557814</v>
      </c>
      <c r="AO41" s="59">
        <f t="shared" si="36"/>
        <v>307.22009971147133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2.7848957237393459</v>
      </c>
      <c r="AV41" s="21">
        <f>EXP(-LN(2)/25)*AV40+(1-EXP(-LN(2)/25))/(LN(2)/25)*Calculateur!AQ41*Calculateur!AS41*VLOOKUP('Données projet'!$B$10,Paramètres!$A$1:$I$89,3,0)*0.475*44/12</f>
        <v>16.437635642940808</v>
      </c>
      <c r="AW41" s="21">
        <f>EXP(-LN(2)/2)*AW40+(1-EXP(-LN(2)/2))/(LN(2)/2)*AQ41*AT41*VLOOKUP('Données projet'!$B$10,Paramètres!$A$1:$I$89,3,0)*0.475*44/12</f>
        <v>1.5024396407973304</v>
      </c>
      <c r="AX41" s="21">
        <f t="shared" si="6"/>
        <v>20.724971007477485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160.18703999999997</v>
      </c>
      <c r="BF41" s="13">
        <f t="shared" si="37"/>
        <v>40.884699931781583</v>
      </c>
      <c r="BG41" s="20">
        <f t="shared" si="7"/>
        <v>350.1999470478529</v>
      </c>
      <c r="BH41" s="59">
        <f t="shared" si="8"/>
        <v>643.53328038118616</v>
      </c>
      <c r="BI41" s="59">
        <f ca="1">AVERAGE(OFFSET($BH$3,0,0,'Données projet'!$E$11+1,1))-AVERAGE(OFFSET($H$3,0,0,'Données projet'!$E$11+1,1))</f>
        <v>207.93042467236967</v>
      </c>
      <c r="BJ41" s="59">
        <f t="shared" si="38"/>
        <v>250.70954318710835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2.3480493357018011</v>
      </c>
      <c r="BQ41" s="21">
        <f>EXP(-LN(2)/25)*BQ40+(1-EXP(-LN(2)/25))/(LN(2)/25)*Calculateur!BL41*Calculateur!BN41*VLOOKUP('Données projet'!$B$11,Paramètres!$A$1:$I$89,3,0)*0.475*44/12</f>
        <v>13.859182993067742</v>
      </c>
      <c r="BR41" s="21">
        <f>EXP(-LN(2)/2)*BR40+(1-EXP(-LN(2)/2))/(LN(2)/2)*BL41*BO41*VLOOKUP('Données projet'!$B$11,Paramètres!$A$1:$I$89,3,0)*0.475*44/12</f>
        <v>1.2667628343977491</v>
      </c>
      <c r="BS41" s="22">
        <f t="shared" si="9"/>
        <v>17.473995163167292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181</v>
      </c>
      <c r="BZ41" s="13">
        <f>BY41*VLOOKUP('Données projet'!$B$12,Paramètres!$A$1:$I$89,3,0)*VLOOKUP('Données projet'!$B$12,Paramètres!$A$1:$I$89,5,0)</f>
        <v>175.06319999999999</v>
      </c>
      <c r="CA41" s="13">
        <f t="shared" si="39"/>
        <v>44.22206774682472</v>
      </c>
      <c r="CB41" s="20">
        <f t="shared" si="10"/>
        <v>381.9218413257197</v>
      </c>
      <c r="CC41" s="59">
        <f t="shared" si="11"/>
        <v>675.25517465905295</v>
      </c>
      <c r="CD41" s="59">
        <f ca="1">AVERAGE(OFFSET($CC$3,0,0,'Données projet'!$E$12+1,1))-AVERAGE(OFFSET($H$3,0,0,'Données projet'!$E$12+1,1))</f>
        <v>347.8889410585312</v>
      </c>
      <c r="CE41" s="59">
        <f t="shared" si="40"/>
        <v>254.78167322479203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2.1974197556756478</v>
      </c>
      <c r="CL41" s="21">
        <f>EXP(-LN(2)/25)*CL40+(1-EXP(-LN(2)/25))/(LN(2)/25)*Calculateur!CG41*Calculateur!CI41*VLOOKUP('Données projet'!$B$12,Paramètres!$A$1:$I$89,3,0)*0.475*44/12</f>
        <v>9.6616587794424369</v>
      </c>
      <c r="CM41" s="21">
        <f>EXP(-LN(2)/2)*CM40+(1-EXP(-LN(2)/2))/(LN(2)/2)*CG41*CJ41*VLOOKUP('Données projet'!$B$12,Paramètres!$A$1:$I$89,3,0)*0.475*44/12</f>
        <v>1.4399858620631554</v>
      </c>
      <c r="CN41" s="22">
        <f t="shared" si="12"/>
        <v>13.29906439718124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672.39678094842247</v>
      </c>
      <c r="S42" s="59">
        <f ca="1">AVERAGE(OFFSET($R$3,0,0,'Données projet'!$E$9+1,1))-AVERAGE(OFFSET($H$3,0,0,'Données projet'!$E$9+1,1))</f>
        <v>318.40875902853116</v>
      </c>
      <c r="T42" s="59">
        <f t="shared" si="34"/>
        <v>234.87694492493506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12.1</v>
      </c>
      <c r="AI42" s="13">
        <f>IF('Données projet'!$A$62&gt;35,AI41+AH42-AQ41,IF(A42&lt;'Données projet'!$A$62,$AF$205^A42,IF(A42='Données projet'!$A$62,'Données projet'!$B$62,AI41+AH42-AQ41)))</f>
        <v>250.89999999999995</v>
      </c>
      <c r="AJ42" s="13">
        <f>AI42*VLOOKUP('Données projet'!$B$10,Paramètres!$A$1:$I$89,3,0)*VLOOKUP('Données projet'!$B$10,Paramètres!$A$1:$I$89,5,0)</f>
        <v>199.61603999999997</v>
      </c>
      <c r="AK42" s="13">
        <f t="shared" si="35"/>
        <v>49.659775503665841</v>
      </c>
      <c r="AL42" s="20">
        <f t="shared" si="4"/>
        <v>434.15537866888457</v>
      </c>
      <c r="AM42" s="59">
        <f t="shared" si="5"/>
        <v>727.48871200221788</v>
      </c>
      <c r="AN42" s="59">
        <f ca="1">AVERAGE(OFFSET($AM$3,0,0,'Données projet'!$E$10+1,1))-AVERAGE(OFFSET($H$3,0,0,'Données projet'!$E$10+1,1))</f>
        <v>260.20517190557814</v>
      </c>
      <c r="AO42" s="59">
        <f t="shared" si="36"/>
        <v>307.22009971147133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2.7302856172154844</v>
      </c>
      <c r="AV42" s="21">
        <f>EXP(-LN(2)/25)*AV41+(1-EXP(-LN(2)/25))/(LN(2)/25)*Calculateur!AQ42*Calculateur!AS42*VLOOKUP('Données projet'!$B$10,Paramètres!$A$1:$I$89,3,0)*0.475*44/12</f>
        <v>15.988147631866902</v>
      </c>
      <c r="AW42" s="21">
        <f>EXP(-LN(2)/2)*AW41+(1-EXP(-LN(2)/2))/(LN(2)/2)*AQ42*AT42*VLOOKUP('Données projet'!$B$10,Paramètres!$A$1:$I$89,3,0)*0.475*44/12</f>
        <v>1.062385258331273</v>
      </c>
      <c r="AX42" s="21">
        <f t="shared" si="6"/>
        <v>19.78081850741366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168.30371999999997</v>
      </c>
      <c r="BF42" s="13">
        <f t="shared" si="37"/>
        <v>42.709891845639163</v>
      </c>
      <c r="BG42" s="20">
        <f t="shared" si="7"/>
        <v>367.51537396448816</v>
      </c>
      <c r="BH42" s="59">
        <f t="shared" si="8"/>
        <v>660.84870729782142</v>
      </c>
      <c r="BI42" s="59">
        <f ca="1">AVERAGE(OFFSET($BH$3,0,0,'Données projet'!$E$11+1,1))-AVERAGE(OFFSET($H$3,0,0,'Données projet'!$E$11+1,1))</f>
        <v>207.93042467236967</v>
      </c>
      <c r="BJ42" s="59">
        <f t="shared" si="38"/>
        <v>250.70954318710835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2.3020055203973686</v>
      </c>
      <c r="BQ42" s="21">
        <f>EXP(-LN(2)/25)*BQ41+(1-EXP(-LN(2)/25))/(LN(2)/25)*Calculateur!BL42*Calculateur!BN42*VLOOKUP('Données projet'!$B$11,Paramètres!$A$1:$I$89,3,0)*0.475*44/12</f>
        <v>13.480202905299548</v>
      </c>
      <c r="BR42" s="21">
        <f>EXP(-LN(2)/2)*BR41+(1-EXP(-LN(2)/2))/(LN(2)/2)*BL42*BO42*VLOOKUP('Données projet'!$B$11,Paramètres!$A$1:$I$89,3,0)*0.475*44/12</f>
        <v>0.89573659035773989</v>
      </c>
      <c r="BS42" s="22">
        <f t="shared" si="9"/>
        <v>16.677945016054657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192</v>
      </c>
      <c r="BZ42" s="13">
        <f>BY42*VLOOKUP('Données projet'!$B$12,Paramètres!$A$1:$I$89,3,0)*VLOOKUP('Données projet'!$B$12,Paramètres!$A$1:$I$89,5,0)</f>
        <v>185.70239999999998</v>
      </c>
      <c r="CA42" s="13">
        <f t="shared" si="39"/>
        <v>46.588553069776829</v>
      </c>
      <c r="CB42" s="20">
        <f t="shared" si="10"/>
        <v>404.57340992986127</v>
      </c>
      <c r="CC42" s="59">
        <f t="shared" si="11"/>
        <v>697.90674326319458</v>
      </c>
      <c r="CD42" s="59">
        <f ca="1">AVERAGE(OFFSET($CC$3,0,0,'Données projet'!$E$12+1,1))-AVERAGE(OFFSET($H$3,0,0,'Données projet'!$E$12+1,1))</f>
        <v>347.8889410585312</v>
      </c>
      <c r="CE42" s="59">
        <f t="shared" si="40"/>
        <v>254.78167322479203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2.1543296945605563</v>
      </c>
      <c r="CL42" s="21">
        <f>EXP(-LN(2)/25)*CL41+(1-EXP(-LN(2)/25))/(LN(2)/25)*Calculateur!CG42*Calculateur!CI42*VLOOKUP('Données projet'!$B$12,Paramètres!$A$1:$I$89,3,0)*0.475*44/12</f>
        <v>9.39746021203403</v>
      </c>
      <c r="CM42" s="21">
        <f>EXP(-LN(2)/2)*CM41+(1-EXP(-LN(2)/2))/(LN(2)/2)*CG42*CJ42*VLOOKUP('Données projet'!$B$12,Paramètres!$A$1:$I$89,3,0)*0.475*44/12</f>
        <v>1.0182237678776136</v>
      </c>
      <c r="CN42" s="22">
        <f t="shared" si="12"/>
        <v>12.570013674472198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693.59116405690406</v>
      </c>
      <c r="S43" s="59">
        <f ca="1">AVERAGE(OFFSET($R$3,0,0,'Données projet'!$E$9+1,1))-AVERAGE(OFFSET($H$3,0,0,'Données projet'!$E$9+1,1))</f>
        <v>318.40875902853116</v>
      </c>
      <c r="T43" s="59">
        <f t="shared" si="34"/>
        <v>234.87694492493506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12.1</v>
      </c>
      <c r="AH43" s="12">
        <f t="array" ref="AH43">INDEX(AG:AG,MIN(IF(ISNUMBER(AG43:AG239),ROW(AG43:AG239),"")))</f>
        <v>12.1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260.20517190557814</v>
      </c>
      <c r="AO43" s="59">
        <f t="shared" si="36"/>
        <v>307.22009971147133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2.6767463815716797</v>
      </c>
      <c r="AV43" s="21">
        <f>EXP(-LN(2)/25)*AV42+(1-EXP(-LN(2)/25))/(LN(2)/25)*Calculateur!AQ43*Calculateur!AS43*VLOOKUP('Données projet'!$B$10,Paramètres!$A$1:$I$89,3,0)*0.475*44/12</f>
        <v>15.550950894093358</v>
      </c>
      <c r="AW43" s="21">
        <f>EXP(-LN(2)/2)*AW42+(1-EXP(-LN(2)/2))/(LN(2)/2)*AQ43*AT43*VLOOKUP('Données projet'!$B$10,Paramètres!$A$1:$I$89,3,0)*0.475*44/12</f>
        <v>0.75121982039866519</v>
      </c>
      <c r="AX43" s="21">
        <f t="shared" si="6"/>
        <v>18.9789170960637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176.42039999999997</v>
      </c>
      <c r="BF43" s="13">
        <f t="shared" si="37"/>
        <v>44.5248624718784</v>
      </c>
      <c r="BG43" s="20">
        <f t="shared" si="7"/>
        <v>384.81299880518822</v>
      </c>
      <c r="BH43" s="59">
        <f t="shared" si="8"/>
        <v>678.14633213852153</v>
      </c>
      <c r="BI43" s="59">
        <f ca="1">AVERAGE(OFFSET($BH$3,0,0,'Données projet'!$E$11+1,1))-AVERAGE(OFFSET($H$3,0,0,'Données projet'!$E$11+1,1))</f>
        <v>207.93042467236967</v>
      </c>
      <c r="BJ43" s="59">
        <f t="shared" si="38"/>
        <v>250.70954318710835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2.2568645962271017</v>
      </c>
      <c r="BQ43" s="21">
        <f>EXP(-LN(2)/25)*BQ42+(1-EXP(-LN(2)/25))/(LN(2)/25)*Calculateur!BL43*Calculateur!BN43*VLOOKUP('Données projet'!$B$11,Paramètres!$A$1:$I$89,3,0)*0.475*44/12</f>
        <v>13.111586047961071</v>
      </c>
      <c r="BR43" s="21">
        <f>EXP(-LN(2)/2)*BR42+(1-EXP(-LN(2)/2))/(LN(2)/2)*BL43*BO43*VLOOKUP('Données projet'!$B$11,Paramètres!$A$1:$I$89,3,0)*0.475*44/12</f>
        <v>0.63338141719887453</v>
      </c>
      <c r="BS43" s="22">
        <f t="shared" si="9"/>
        <v>16.001832061387049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203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203</v>
      </c>
      <c r="BZ43" s="13">
        <f>BY43*VLOOKUP('Données projet'!$B$12,Paramètres!$A$1:$I$89,3,0)*VLOOKUP('Données projet'!$B$12,Paramètres!$A$1:$I$89,5,0)</f>
        <v>196.3416</v>
      </c>
      <c r="CA43" s="13">
        <f t="shared" si="39"/>
        <v>48.939300310809159</v>
      </c>
      <c r="CB43" s="20">
        <f t="shared" si="10"/>
        <v>427.19756804132595</v>
      </c>
      <c r="CC43" s="59">
        <f t="shared" si="11"/>
        <v>720.53090137465927</v>
      </c>
      <c r="CD43" s="59">
        <f ca="1">AVERAGE(OFFSET($CC$3,0,0,'Données projet'!$E$12+1,1))-AVERAGE(OFFSET($H$3,0,0,'Données projet'!$E$12+1,1))</f>
        <v>347.8889410585312</v>
      </c>
      <c r="CE43" s="59">
        <f t="shared" si="40"/>
        <v>254.78167322479203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2.1120846032615899</v>
      </c>
      <c r="CL43" s="21">
        <f>EXP(-LN(2)/25)*CL42+(1-EXP(-LN(2)/25))/(LN(2)/25)*Calculateur!CG43*Calculateur!CI43*VLOOKUP('Données projet'!$B$12,Paramètres!$A$1:$I$89,3,0)*0.475*44/12</f>
        <v>9.1404861683450047</v>
      </c>
      <c r="CM43" s="21">
        <f>EXP(-LN(2)/2)*CM42+(1-EXP(-LN(2)/2))/(LN(2)/2)*CG43*CJ43*VLOOKUP('Données projet'!$B$12,Paramètres!$A$1:$I$89,3,0)*0.475*44/12</f>
        <v>0.71999293103157769</v>
      </c>
      <c r="CN43" s="22">
        <f t="shared" si="12"/>
        <v>11.972563702638173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607.10262624176244</v>
      </c>
      <c r="S44" s="59">
        <f ca="1">AVERAGE(OFFSET($R$3,0,0,'Données projet'!$E$9+1,1))-AVERAGE(OFFSET($H$3,0,0,'Données projet'!$E$9+1,1))</f>
        <v>318.40875902853116</v>
      </c>
      <c r="T44" s="59">
        <f t="shared" si="34"/>
        <v>234.87694492493506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9.1999999999999993</v>
      </c>
      <c r="AI44" s="13">
        <f>IF('Données projet'!$A$62&gt;35,AI43+AH44-AQ43,IF(A44&lt;'Données projet'!$A$62,$AF$205^A44,IF(A44='Données projet'!$A$62,'Données projet'!$B$62,AI43+AH44-AQ43)))</f>
        <v>202.19999999999993</v>
      </c>
      <c r="AJ44" s="13">
        <f>AI44*VLOOKUP('Données projet'!$B$10,Paramètres!$A$1:$I$89,3,0)*VLOOKUP('Données projet'!$B$10,Paramètres!$A$1:$I$89,5,0)</f>
        <v>160.87031999999996</v>
      </c>
      <c r="AK44" s="13">
        <f t="shared" si="35"/>
        <v>41.038756492063129</v>
      </c>
      <c r="AL44" s="20">
        <f t="shared" si="4"/>
        <v>351.65830822367656</v>
      </c>
      <c r="AM44" s="59">
        <f t="shared" si="5"/>
        <v>644.99164155700987</v>
      </c>
      <c r="AN44" s="59">
        <f ca="1">AVERAGE(OFFSET($AM$3,0,0,'Données projet'!$E$10+1,1))-AVERAGE(OFFSET($H$3,0,0,'Données projet'!$E$10+1,1))</f>
        <v>260.20517190557814</v>
      </c>
      <c r="AO44" s="59">
        <f t="shared" si="36"/>
        <v>307.22009971147133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2.6242570176831408</v>
      </c>
      <c r="AV44" s="21">
        <f>EXP(-LN(2)/25)*AV43+(1-EXP(-LN(2)/25))/(LN(2)/25)*Calculateur!AQ44*Calculateur!AS44*VLOOKUP('Données projet'!$B$10,Paramètres!$A$1:$I$89,3,0)*0.475*44/12</f>
        <v>15.12570932410541</v>
      </c>
      <c r="AW44" s="21">
        <f>EXP(-LN(2)/2)*AW43+(1-EXP(-LN(2)/2))/(LN(2)/2)*AQ44*AT44*VLOOKUP('Données projet'!$B$10,Paramètres!$A$1:$I$89,3,0)*0.475*44/12</f>
        <v>0.53119262916563648</v>
      </c>
      <c r="AX44" s="21">
        <f t="shared" si="6"/>
        <v>18.281158970954188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135.63575999999995</v>
      </c>
      <c r="BF44" s="13">
        <f t="shared" si="37"/>
        <v>35.295384110750781</v>
      </c>
      <c r="BG44" s="20">
        <f t="shared" si="7"/>
        <v>297.70507599289084</v>
      </c>
      <c r="BH44" s="59">
        <f t="shared" si="8"/>
        <v>591.03840932622415</v>
      </c>
      <c r="BI44" s="59">
        <f ca="1">AVERAGE(OFFSET($BH$3,0,0,'Données projet'!$E$11+1,1))-AVERAGE(OFFSET($H$3,0,0,'Données projet'!$E$11+1,1))</f>
        <v>207.93042467236967</v>
      </c>
      <c r="BJ44" s="59">
        <f t="shared" si="38"/>
        <v>250.70954318710835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2.2126088580465688</v>
      </c>
      <c r="BQ44" s="21">
        <f>EXP(-LN(2)/25)*BQ43+(1-EXP(-LN(2)/25))/(LN(2)/25)*Calculateur!BL44*Calculateur!BN44*VLOOKUP('Données projet'!$B$11,Paramètres!$A$1:$I$89,3,0)*0.475*44/12</f>
        <v>12.753049037971232</v>
      </c>
      <c r="BR44" s="21">
        <f>EXP(-LN(2)/2)*BR43+(1-EXP(-LN(2)/2))/(LN(2)/2)*BL44*BO44*VLOOKUP('Données projet'!$B$11,Paramètres!$A$1:$I$89,3,0)*0.475*44/12</f>
        <v>0.44786829517886995</v>
      </c>
      <c r="BS44" s="22">
        <f t="shared" si="9"/>
        <v>15.41352619119667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158.19999999999999</v>
      </c>
      <c r="BZ44" s="13">
        <f>BY44*VLOOKUP('Données projet'!$B$12,Paramètres!$A$1:$I$89,3,0)*VLOOKUP('Données projet'!$B$12,Paramètres!$A$1:$I$89,5,0)</f>
        <v>153.01103999999998</v>
      </c>
      <c r="CA44" s="13">
        <f t="shared" si="39"/>
        <v>39.262061753688272</v>
      </c>
      <c r="CB44" s="20">
        <f t="shared" si="10"/>
        <v>334.87565222100699</v>
      </c>
      <c r="CC44" s="59">
        <f t="shared" si="11"/>
        <v>628.2089855543403</v>
      </c>
      <c r="CD44" s="59">
        <f ca="1">AVERAGE(OFFSET($CC$3,0,0,'Données projet'!$E$12+1,1))-AVERAGE(OFFSET($H$3,0,0,'Données projet'!$E$12+1,1))</f>
        <v>347.8889410585312</v>
      </c>
      <c r="CE44" s="59">
        <f t="shared" si="40"/>
        <v>254.78167322479203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2.0706679124360345</v>
      </c>
      <c r="CL44" s="21">
        <f>EXP(-LN(2)/25)*CL43+(1-EXP(-LN(2)/25))/(LN(2)/25)*Calculateur!CG44*Calculateur!CI44*VLOOKUP('Données projet'!$B$12,Paramètres!$A$1:$I$89,3,0)*0.475*44/12</f>
        <v>8.8905390933943345</v>
      </c>
      <c r="CM44" s="21">
        <f>EXP(-LN(2)/2)*CM43+(1-EXP(-LN(2)/2))/(LN(2)/2)*CG44*CJ44*VLOOKUP('Données projet'!$B$12,Paramètres!$A$1:$I$89,3,0)*0.475*44/12</f>
        <v>0.5091118839388068</v>
      </c>
      <c r="CN44" s="22">
        <f t="shared" si="12"/>
        <v>11.470318889769176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628.76892281109428</v>
      </c>
      <c r="S45" s="59">
        <f ca="1">AVERAGE(OFFSET($R$3,0,0,'Données projet'!$E$9+1,1))-AVERAGE(OFFSET($H$3,0,0,'Données projet'!$E$9+1,1))</f>
        <v>318.40875902853116</v>
      </c>
      <c r="T45" s="59">
        <f t="shared" si="34"/>
        <v>234.87694492493506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9.1999999999999993</v>
      </c>
      <c r="AI45" s="13">
        <f>IF('Données projet'!$A$62&gt;35,AI44+AH45-AQ44,IF(A45&lt;'Données projet'!$A$62,$AF$205^A45,IF(A45='Données projet'!$A$62,'Données projet'!$B$62,AI44+AH45-AQ44)))</f>
        <v>211.39999999999992</v>
      </c>
      <c r="AJ45" s="13">
        <f>AI45*VLOOKUP('Données projet'!$B$10,Paramètres!$A$1:$I$89,3,0)*VLOOKUP('Données projet'!$B$10,Paramètres!$A$1:$I$89,5,0)</f>
        <v>168.18983999999995</v>
      </c>
      <c r="AK45" s="13">
        <f t="shared" si="35"/>
        <v>42.684355718695357</v>
      </c>
      <c r="AL45" s="20">
        <f t="shared" si="4"/>
        <v>367.27255754339438</v>
      </c>
      <c r="AM45" s="59">
        <f t="shared" si="5"/>
        <v>660.6058908767277</v>
      </c>
      <c r="AN45" s="59">
        <f ca="1">AVERAGE(OFFSET($AM$3,0,0,'Données projet'!$E$10+1,1))-AVERAGE(OFFSET($H$3,0,0,'Données projet'!$E$10+1,1))</f>
        <v>260.20517190557814</v>
      </c>
      <c r="AO45" s="59">
        <f t="shared" si="36"/>
        <v>307.22009971147133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2.572796938205105</v>
      </c>
      <c r="AV45" s="21">
        <f>EXP(-LN(2)/25)*AV44+(1-EXP(-LN(2)/25))/(LN(2)/25)*Calculateur!AQ45*Calculateur!AS45*VLOOKUP('Données projet'!$B$10,Paramètres!$A$1:$I$89,3,0)*0.475*44/12</f>
        <v>14.712096007211263</v>
      </c>
      <c r="AW45" s="21">
        <f>EXP(-LN(2)/2)*AW44+(1-EXP(-LN(2)/2))/(LN(2)/2)*AQ45*AT45*VLOOKUP('Données projet'!$B$10,Paramètres!$A$1:$I$89,3,0)*0.475*44/12</f>
        <v>0.3756099101993326</v>
      </c>
      <c r="AX45" s="21">
        <f t="shared" si="6"/>
        <v>17.6605028556157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141.80711999999994</v>
      </c>
      <c r="BF45" s="13">
        <f t="shared" si="37"/>
        <v>36.710681789362752</v>
      </c>
      <c r="BG45" s="20">
        <f t="shared" si="7"/>
        <v>310.91850478314001</v>
      </c>
      <c r="BH45" s="59">
        <f t="shared" si="8"/>
        <v>604.25183811647332</v>
      </c>
      <c r="BI45" s="59">
        <f ca="1">AVERAGE(OFFSET($BH$3,0,0,'Données projet'!$E$11+1,1))-AVERAGE(OFFSET($H$3,0,0,'Données projet'!$E$11+1,1))</f>
        <v>207.93042467236967</v>
      </c>
      <c r="BJ45" s="59">
        <f t="shared" si="38"/>
        <v>250.70954318710835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2.1692209478984212</v>
      </c>
      <c r="BQ45" s="21">
        <f>EXP(-LN(2)/25)*BQ44+(1-EXP(-LN(2)/25))/(LN(2)/25)*Calculateur!BL45*Calculateur!BN45*VLOOKUP('Données projet'!$B$11,Paramètres!$A$1:$I$89,3,0)*0.475*44/12</f>
        <v>12.404316241374207</v>
      </c>
      <c r="BR45" s="21">
        <f>EXP(-LN(2)/2)*BR44+(1-EXP(-LN(2)/2))/(LN(2)/2)*BL45*BO45*VLOOKUP('Données projet'!$B$11,Paramètres!$A$1:$I$89,3,0)*0.475*44/12</f>
        <v>0.31669070859943727</v>
      </c>
      <c r="BS45" s="22">
        <f t="shared" si="9"/>
        <v>14.890227897872066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169.39999999999998</v>
      </c>
      <c r="BZ45" s="13">
        <f>BY45*VLOOKUP('Données projet'!$B$12,Paramètres!$A$1:$I$89,3,0)*VLOOKUP('Données projet'!$B$12,Paramètres!$A$1:$I$89,5,0)</f>
        <v>163.84368000000001</v>
      </c>
      <c r="CA45" s="13">
        <f t="shared" si="39"/>
        <v>41.708266739938274</v>
      </c>
      <c r="CB45" s="20">
        <f t="shared" si="10"/>
        <v>358.00297390539248</v>
      </c>
      <c r="CC45" s="59">
        <f t="shared" si="11"/>
        <v>651.33630723872579</v>
      </c>
      <c r="CD45" s="59">
        <f ca="1">AVERAGE(OFFSET($CC$3,0,0,'Données projet'!$E$12+1,1))-AVERAGE(OFFSET($H$3,0,0,'Données projet'!$E$12+1,1))</f>
        <v>347.8889410585312</v>
      </c>
      <c r="CE45" s="59">
        <f t="shared" si="40"/>
        <v>254.78167322479203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2.0300633776558814</v>
      </c>
      <c r="CL45" s="21">
        <f>EXP(-LN(2)/25)*CL44+(1-EXP(-LN(2)/25))/(LN(2)/25)*Calculateur!CG45*Calculateur!CI45*VLOOKUP('Données projet'!$B$12,Paramètres!$A$1:$I$89,3,0)*0.475*44/12</f>
        <v>8.6474268343523359</v>
      </c>
      <c r="CM45" s="21">
        <f>EXP(-LN(2)/2)*CM44+(1-EXP(-LN(2)/2))/(LN(2)/2)*CG45*CJ45*VLOOKUP('Données projet'!$B$12,Paramètres!$A$1:$I$89,3,0)*0.475*44/12</f>
        <v>0.35999646551578884</v>
      </c>
      <c r="CN45" s="22">
        <f t="shared" si="12"/>
        <v>11.037486677524006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650.404402610749</v>
      </c>
      <c r="S46" s="59">
        <f ca="1">AVERAGE(OFFSET($R$3,0,0,'Données projet'!$E$9+1,1))-AVERAGE(OFFSET($H$3,0,0,'Données projet'!$E$9+1,1))</f>
        <v>318.40875902853116</v>
      </c>
      <c r="T46" s="59">
        <f t="shared" si="34"/>
        <v>234.87694492493506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9.1999999999999993</v>
      </c>
      <c r="AI46" s="13">
        <f>IF('Données projet'!$A$62&gt;35,AI45+AH46-AQ45,IF(A46&lt;'Données projet'!$A$62,$AF$205^A46,IF(A46='Données projet'!$A$62,'Données projet'!$B$62,AI45+AH46-AQ45)))</f>
        <v>220.59999999999991</v>
      </c>
      <c r="AJ46" s="13">
        <f>AI46*VLOOKUP('Données projet'!$B$10,Paramètres!$A$1:$I$89,3,0)*VLOOKUP('Données projet'!$B$10,Paramètres!$A$1:$I$89,5,0)</f>
        <v>175.50935999999993</v>
      </c>
      <c r="AK46" s="13">
        <f t="shared" si="35"/>
        <v>44.321637208794016</v>
      </c>
      <c r="AL46" s="20">
        <f t="shared" si="4"/>
        <v>382.87232013864946</v>
      </c>
      <c r="AM46" s="59">
        <f t="shared" si="5"/>
        <v>676.20565347198271</v>
      </c>
      <c r="AN46" s="59">
        <f ca="1">AVERAGE(OFFSET($AM$3,0,0,'Données projet'!$E$10+1,1))-AVERAGE(OFFSET($H$3,0,0,'Données projet'!$E$10+1,1))</f>
        <v>260.20517190557814</v>
      </c>
      <c r="AO46" s="59">
        <f t="shared" si="36"/>
        <v>307.22009971147133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2.5223459594980846</v>
      </c>
      <c r="AV46" s="21">
        <f>EXP(-LN(2)/25)*AV45+(1-EXP(-LN(2)/25))/(LN(2)/25)*Calculateur!AQ46*Calculateur!AS46*VLOOKUP('Données projet'!$B$10,Paramètres!$A$1:$I$89,3,0)*0.475*44/12</f>
        <v>14.309792968218567</v>
      </c>
      <c r="AW46" s="21">
        <f>EXP(-LN(2)/2)*AW45+(1-EXP(-LN(2)/2))/(LN(2)/2)*AQ46*AT46*VLOOKUP('Données projet'!$B$10,Paramètres!$A$1:$I$89,3,0)*0.475*44/12</f>
        <v>0.26559631458281824</v>
      </c>
      <c r="AX46" s="21">
        <f t="shared" si="6"/>
        <v>17.097735242299471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147.97847999999993</v>
      </c>
      <c r="BF46" s="13">
        <f t="shared" si="37"/>
        <v>38.118825798346784</v>
      </c>
      <c r="BG46" s="20">
        <f t="shared" si="7"/>
        <v>324.1194742654539</v>
      </c>
      <c r="BH46" s="59">
        <f t="shared" si="8"/>
        <v>617.45280759878722</v>
      </c>
      <c r="BI46" s="59">
        <f ca="1">AVERAGE(OFFSET($BH$3,0,0,'Données projet'!$E$11+1,1))-AVERAGE(OFFSET($H$3,0,0,'Données projet'!$E$11+1,1))</f>
        <v>207.93042467236967</v>
      </c>
      <c r="BJ46" s="59">
        <f t="shared" si="38"/>
        <v>250.70954318710835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2.1266838482042667</v>
      </c>
      <c r="BQ46" s="21">
        <f>EXP(-LN(2)/25)*BQ45+(1-EXP(-LN(2)/25))/(LN(2)/25)*Calculateur!BL46*Calculateur!BN46*VLOOKUP('Données projet'!$B$11,Paramètres!$A$1:$I$89,3,0)*0.475*44/12</f>
        <v>12.06511956143919</v>
      </c>
      <c r="BR46" s="21">
        <f>EXP(-LN(2)/2)*BR45+(1-EXP(-LN(2)/2))/(LN(2)/2)*BL46*BO46*VLOOKUP('Données projet'!$B$11,Paramètres!$A$1:$I$89,3,0)*0.475*44/12</f>
        <v>0.22393414758943497</v>
      </c>
      <c r="BS46" s="22">
        <f t="shared" si="9"/>
        <v>14.415737557232891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180.59999999999997</v>
      </c>
      <c r="BZ46" s="13">
        <f>BY46*VLOOKUP('Données projet'!$B$12,Paramètres!$A$1:$I$89,3,0)*VLOOKUP('Données projet'!$B$12,Paramètres!$A$1:$I$89,5,0)</f>
        <v>174.67631999999998</v>
      </c>
      <c r="CA46" s="13">
        <f t="shared" si="39"/>
        <v>44.13570388178811</v>
      </c>
      <c r="CB46" s="20">
        <f t="shared" si="10"/>
        <v>381.09760826078087</v>
      </c>
      <c r="CC46" s="59">
        <f t="shared" si="11"/>
        <v>674.43094159411419</v>
      </c>
      <c r="CD46" s="59">
        <f ca="1">AVERAGE(OFFSET($CC$3,0,0,'Données projet'!$E$12+1,1))-AVERAGE(OFFSET($H$3,0,0,'Données projet'!$E$12+1,1))</f>
        <v>347.8889410585312</v>
      </c>
      <c r="CE46" s="59">
        <f t="shared" si="40"/>
        <v>254.78167322479203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1.9902550730364463</v>
      </c>
      <c r="CL46" s="21">
        <f>EXP(-LN(2)/25)*CL45+(1-EXP(-LN(2)/25))/(LN(2)/25)*Calculateur!CG46*Calculateur!CI46*VLOOKUP('Données projet'!$B$12,Paramètres!$A$1:$I$89,3,0)*0.475*44/12</f>
        <v>8.4109624928185589</v>
      </c>
      <c r="CM46" s="21">
        <f>EXP(-LN(2)/2)*CM45+(1-EXP(-LN(2)/2))/(LN(2)/2)*CG46*CJ46*VLOOKUP('Données projet'!$B$12,Paramètres!$A$1:$I$89,3,0)*0.475*44/12</f>
        <v>0.2545559419694034</v>
      </c>
      <c r="CN46" s="22">
        <f t="shared" si="12"/>
        <v>10.655773507824408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672.01119434243105</v>
      </c>
      <c r="S47" s="59">
        <f ca="1">AVERAGE(OFFSET($R$3,0,0,'Données projet'!$E$9+1,1))-AVERAGE(OFFSET($H$3,0,0,'Données projet'!$E$9+1,1))</f>
        <v>318.40875902853116</v>
      </c>
      <c r="T47" s="59">
        <f t="shared" si="34"/>
        <v>234.87694492493506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9.1999999999999993</v>
      </c>
      <c r="AI47" s="13">
        <f>IF('Données projet'!$A$62&gt;35,AI46+AH47-AQ46,IF(A47&lt;'Données projet'!$A$62,$AF$205^A47,IF(A47='Données projet'!$A$62,'Données projet'!$B$62,AI46+AH47-AQ46)))</f>
        <v>229.7999999999999</v>
      </c>
      <c r="AJ47" s="13">
        <f>AI47*VLOOKUP('Données projet'!$B$10,Paramètres!$A$1:$I$89,3,0)*VLOOKUP('Données projet'!$B$10,Paramètres!$A$1:$I$89,5,0)</f>
        <v>182.82887999999994</v>
      </c>
      <c r="AK47" s="13">
        <f t="shared" si="35"/>
        <v>45.950987516613559</v>
      </c>
      <c r="AL47" s="20">
        <f t="shared" si="4"/>
        <v>398.45826925810184</v>
      </c>
      <c r="AM47" s="59">
        <f t="shared" si="5"/>
        <v>691.79160259143509</v>
      </c>
      <c r="AN47" s="59">
        <f ca="1">AVERAGE(OFFSET($AM$3,0,0,'Données projet'!$E$10+1,1))-AVERAGE(OFFSET($H$3,0,0,'Données projet'!$E$10+1,1))</f>
        <v>260.20517190557814</v>
      </c>
      <c r="AO47" s="59">
        <f t="shared" si="36"/>
        <v>307.22009971147133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2.4728842937114504</v>
      </c>
      <c r="AV47" s="21">
        <f>EXP(-LN(2)/25)*AV46+(1-EXP(-LN(2)/25))/(LN(2)/25)*Calculateur!AQ47*Calculateur!AS47*VLOOKUP('Données projet'!$B$10,Paramètres!$A$1:$I$89,3,0)*0.475*44/12</f>
        <v>13.918490926983322</v>
      </c>
      <c r="AW47" s="21">
        <f>EXP(-LN(2)/2)*AW46+(1-EXP(-LN(2)/2))/(LN(2)/2)*AQ47*AT47*VLOOKUP('Données projet'!$B$10,Paramètres!$A$1:$I$89,3,0)*0.475*44/12</f>
        <v>0.1878049550996663</v>
      </c>
      <c r="AX47" s="21">
        <f t="shared" si="6"/>
        <v>16.579180175794438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154.14983999999993</v>
      </c>
      <c r="BF47" s="13">
        <f t="shared" si="37"/>
        <v>39.520148593704498</v>
      </c>
      <c r="BG47" s="20">
        <f t="shared" si="7"/>
        <v>337.30856346736851</v>
      </c>
      <c r="BH47" s="59">
        <f t="shared" si="8"/>
        <v>630.64189680070183</v>
      </c>
      <c r="BI47" s="59">
        <f ca="1">AVERAGE(OFFSET($BH$3,0,0,'Données projet'!$E$11+1,1))-AVERAGE(OFFSET($H$3,0,0,'Données projet'!$E$11+1,1))</f>
        <v>207.93042467236967</v>
      </c>
      <c r="BJ47" s="59">
        <f t="shared" si="38"/>
        <v>250.70954318710835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2.0849808750900456</v>
      </c>
      <c r="BQ47" s="21">
        <f>EXP(-LN(2)/25)*BQ46+(1-EXP(-LN(2)/25))/(LN(2)/25)*Calculateur!BL47*Calculateur!BN47*VLOOKUP('Données projet'!$B$11,Paramètres!$A$1:$I$89,3,0)*0.475*44/12</f>
        <v>11.735198232554572</v>
      </c>
      <c r="BR47" s="21">
        <f>EXP(-LN(2)/2)*BR46+(1-EXP(-LN(2)/2))/(LN(2)/2)*BL47*BO47*VLOOKUP('Données projet'!$B$11,Paramètres!$A$1:$I$89,3,0)*0.475*44/12</f>
        <v>0.15834535429971863</v>
      </c>
      <c r="BS47" s="22">
        <f t="shared" si="9"/>
        <v>13.978524461944335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191.79999999999995</v>
      </c>
      <c r="BZ47" s="13">
        <f>BY47*VLOOKUP('Données projet'!$B$12,Paramètres!$A$1:$I$89,3,0)*VLOOKUP('Données projet'!$B$12,Paramètres!$A$1:$I$89,5,0)</f>
        <v>185.50895999999995</v>
      </c>
      <c r="CA47" s="13">
        <f t="shared" si="39"/>
        <v>46.545669588393835</v>
      </c>
      <c r="CB47" s="20">
        <f t="shared" si="10"/>
        <v>404.16181319978574</v>
      </c>
      <c r="CC47" s="59">
        <f t="shared" si="11"/>
        <v>697.49514653311905</v>
      </c>
      <c r="CD47" s="59">
        <f ca="1">AVERAGE(OFFSET($CC$3,0,0,'Données projet'!$E$12+1,1))-AVERAGE(OFFSET($H$3,0,0,'Données projet'!$E$12+1,1))</f>
        <v>347.8889410585312</v>
      </c>
      <c r="CE47" s="59">
        <f t="shared" si="40"/>
        <v>254.78167322479203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1.95122738498993</v>
      </c>
      <c r="CL47" s="21">
        <f>EXP(-LN(2)/25)*CL46+(1-EXP(-LN(2)/25))/(LN(2)/25)*Calculateur!CG47*Calculateur!CI47*VLOOKUP('Données projet'!$B$12,Paramètres!$A$1:$I$89,3,0)*0.475*44/12</f>
        <v>8.1809642811391416</v>
      </c>
      <c r="CM47" s="21">
        <f>EXP(-LN(2)/2)*CM46+(1-EXP(-LN(2)/2))/(LN(2)/2)*CG47*CJ47*VLOOKUP('Données projet'!$B$12,Paramètres!$A$1:$I$89,3,0)*0.475*44/12</f>
        <v>0.17999823275789442</v>
      </c>
      <c r="CN47" s="22">
        <f t="shared" si="12"/>
        <v>10.312189898886965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693.59116405690406</v>
      </c>
      <c r="S48" s="59">
        <f ca="1">AVERAGE(OFFSET($R$3,0,0,'Données projet'!$E$9+1,1))-AVERAGE(OFFSET($H$3,0,0,'Données projet'!$E$9+1,1))</f>
        <v>318.40875902853116</v>
      </c>
      <c r="T48" s="59">
        <f t="shared" si="34"/>
        <v>234.87694492493506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9.1999999999999993</v>
      </c>
      <c r="AI48" s="13">
        <f>IF('Données projet'!$A$62&gt;35,AI47+AH48-AQ47,IF(A48&lt;'Données projet'!$A$62,$AF$205^A48,IF(A48='Données projet'!$A$62,'Données projet'!$B$62,AI47+AH48-AQ47)))</f>
        <v>238.99999999999989</v>
      </c>
      <c r="AJ48" s="13">
        <f>AI48*VLOOKUP('Données projet'!$B$10,Paramètres!$A$1:$I$89,3,0)*VLOOKUP('Données projet'!$B$10,Paramètres!$A$1:$I$89,5,0)</f>
        <v>190.14839999999992</v>
      </c>
      <c r="AK48" s="13">
        <f t="shared" si="35"/>
        <v>47.572760493232991</v>
      </c>
      <c r="AL48" s="20">
        <f t="shared" si="4"/>
        <v>414.03102119238065</v>
      </c>
      <c r="AM48" s="59">
        <f t="shared" si="5"/>
        <v>707.36435452571391</v>
      </c>
      <c r="AN48" s="59">
        <f ca="1">AVERAGE(OFFSET($AM$3,0,0,'Données projet'!$E$10+1,1))-AVERAGE(OFFSET($H$3,0,0,'Données projet'!$E$10+1,1))</f>
        <v>260.20517190557814</v>
      </c>
      <c r="AO48" s="59">
        <f t="shared" si="36"/>
        <v>307.22009971147133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2.4243925410222547</v>
      </c>
      <c r="AV48" s="21">
        <f>EXP(-LN(2)/25)*AV47+(1-EXP(-LN(2)/25))/(LN(2)/25)*Calculateur!AQ48*Calculateur!AS48*VLOOKUP('Données projet'!$B$10,Paramètres!$A$1:$I$89,3,0)*0.475*44/12</f>
        <v>13.537889060643337</v>
      </c>
      <c r="AW48" s="21">
        <f>EXP(-LN(2)/2)*AW47+(1-EXP(-LN(2)/2))/(LN(2)/2)*AQ48*AT48*VLOOKUP('Données projet'!$B$10,Paramètres!$A$1:$I$89,3,0)*0.475*44/12</f>
        <v>0.13279815729140912</v>
      </c>
      <c r="AX48" s="21">
        <f t="shared" si="6"/>
        <v>16.095079758956999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160.32119999999992</v>
      </c>
      <c r="BF48" s="13">
        <f t="shared" si="37"/>
        <v>40.914954505069986</v>
      </c>
      <c r="BG48" s="20">
        <f t="shared" si="7"/>
        <v>350.48630242966345</v>
      </c>
      <c r="BH48" s="59">
        <f t="shared" si="8"/>
        <v>643.81963576299677</v>
      </c>
      <c r="BI48" s="59">
        <f ca="1">AVERAGE(OFFSET($BH$3,0,0,'Données projet'!$E$11+1,1))-AVERAGE(OFFSET($H$3,0,0,'Données projet'!$E$11+1,1))</f>
        <v>207.93042467236967</v>
      </c>
      <c r="BJ48" s="59">
        <f t="shared" si="38"/>
        <v>250.70954318710835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2.0440956718422925</v>
      </c>
      <c r="BQ48" s="21">
        <f>EXP(-LN(2)/25)*BQ47+(1-EXP(-LN(2)/25))/(LN(2)/25)*Calculateur!BL48*Calculateur!BN48*VLOOKUP('Données projet'!$B$11,Paramètres!$A$1:$I$89,3,0)*0.475*44/12</f>
        <v>11.414298619758114</v>
      </c>
      <c r="BR48" s="21">
        <f>EXP(-LN(2)/2)*BR47+(1-EXP(-LN(2)/2))/(LN(2)/2)*BL48*BO48*VLOOKUP('Données projet'!$B$11,Paramètres!$A$1:$I$89,3,0)*0.475*44/12</f>
        <v>0.11196707379471749</v>
      </c>
      <c r="BS48" s="22">
        <f t="shared" si="9"/>
        <v>13.570361365395124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202.99999999999994</v>
      </c>
      <c r="BZ48" s="13">
        <f>BY48*VLOOKUP('Données projet'!$B$12,Paramètres!$A$1:$I$89,3,0)*VLOOKUP('Données projet'!$B$12,Paramètres!$A$1:$I$89,5,0)</f>
        <v>196.34159999999994</v>
      </c>
      <c r="CA48" s="13">
        <f t="shared" si="39"/>
        <v>48.939300310809159</v>
      </c>
      <c r="CB48" s="20">
        <f t="shared" si="10"/>
        <v>427.19756804132584</v>
      </c>
      <c r="CC48" s="59">
        <f t="shared" si="11"/>
        <v>720.53090137465915</v>
      </c>
      <c r="CD48" s="59">
        <f ca="1">AVERAGE(OFFSET($CC$3,0,0,'Données projet'!$E$12+1,1))-AVERAGE(OFFSET($H$3,0,0,'Données projet'!$E$12+1,1))</f>
        <v>347.8889410585312</v>
      </c>
      <c r="CE48" s="59">
        <f t="shared" si="40"/>
        <v>254.78167322479203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1.9129650061014667</v>
      </c>
      <c r="CL48" s="21">
        <f>EXP(-LN(2)/25)*CL47+(1-EXP(-LN(2)/25))/(LN(2)/25)*Calculateur!CG48*Calculateur!CI48*VLOOKUP('Données projet'!$B$12,Paramètres!$A$1:$I$89,3,0)*0.475*44/12</f>
        <v>7.9572553826531784</v>
      </c>
      <c r="CM48" s="21">
        <f>EXP(-LN(2)/2)*CM47+(1-EXP(-LN(2)/2))/(LN(2)/2)*CG48*CJ48*VLOOKUP('Données projet'!$B$12,Paramètres!$A$1:$I$89,3,0)*0.475*44/12</f>
        <v>0.1272779709847017</v>
      </c>
      <c r="CN48" s="22">
        <f t="shared" si="12"/>
        <v>9.9974983597393479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715.14596026645904</v>
      </c>
      <c r="S49" s="59">
        <f ca="1">AVERAGE(OFFSET($R$3,0,0,'Données projet'!$E$9+1,1))-AVERAGE(OFFSET($H$3,0,0,'Données projet'!$E$9+1,1))</f>
        <v>318.40875902853116</v>
      </c>
      <c r="T49" s="59">
        <f t="shared" si="34"/>
        <v>234.87694492493506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9.1999999999999993</v>
      </c>
      <c r="AI49" s="13">
        <f>IF('Données projet'!$A$62&gt;35,AI48+AH49-AQ48,IF(A49&lt;'Données projet'!$A$62,$AF$205^A49,IF(A49='Données projet'!$A$62,'Données projet'!$B$62,AI48+AH49-AQ48)))</f>
        <v>248.19999999999987</v>
      </c>
      <c r="AJ49" s="13">
        <f>AI49*VLOOKUP('Données projet'!$B$10,Paramètres!$A$1:$I$89,3,0)*VLOOKUP('Données projet'!$B$10,Paramètres!$A$1:$I$89,5,0)</f>
        <v>197.46791999999991</v>
      </c>
      <c r="AK49" s="13">
        <f t="shared" si="35"/>
        <v>49.187281204902298</v>
      </c>
      <c r="AL49" s="20">
        <f t="shared" si="4"/>
        <v>429.591142098538</v>
      </c>
      <c r="AM49" s="59">
        <f t="shared" si="5"/>
        <v>722.92447543187131</v>
      </c>
      <c r="AN49" s="59">
        <f ca="1">AVERAGE(OFFSET($AM$3,0,0,'Données projet'!$E$10+1,1))-AVERAGE(OFFSET($H$3,0,0,'Données projet'!$E$10+1,1))</f>
        <v>260.20517190557814</v>
      </c>
      <c r="AO49" s="59">
        <f t="shared" si="36"/>
        <v>307.22009971147133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2.3768516820262455</v>
      </c>
      <c r="AV49" s="21">
        <f>EXP(-LN(2)/25)*AV48+(1-EXP(-LN(2)/25))/(LN(2)/25)*Calculateur!AQ49*Calculateur!AS49*VLOOKUP('Données projet'!$B$10,Paramètres!$A$1:$I$89,3,0)*0.475*44/12</f>
        <v>13.167694772353402</v>
      </c>
      <c r="AW49" s="21">
        <f>EXP(-LN(2)/2)*AW48+(1-EXP(-LN(2)/2))/(LN(2)/2)*AQ49*AT49*VLOOKUP('Données projet'!$B$10,Paramètres!$A$1:$I$89,3,0)*0.475*44/12</f>
        <v>9.3902477549833149E-2</v>
      </c>
      <c r="AX49" s="21">
        <f t="shared" si="6"/>
        <v>15.63844893192948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166.49255999999991</v>
      </c>
      <c r="BF49" s="13">
        <f t="shared" si="37"/>
        <v>42.303523105684178</v>
      </c>
      <c r="BG49" s="20">
        <f t="shared" si="7"/>
        <v>363.65317807573314</v>
      </c>
      <c r="BH49" s="59">
        <f t="shared" si="8"/>
        <v>656.98651140906645</v>
      </c>
      <c r="BI49" s="59">
        <f ca="1">AVERAGE(OFFSET($BH$3,0,0,'Données projet'!$E$11+1,1))-AVERAGE(OFFSET($H$3,0,0,'Données projet'!$E$11+1,1))</f>
        <v>207.93042467236967</v>
      </c>
      <c r="BJ49" s="59">
        <f t="shared" si="38"/>
        <v>250.70954318710835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2.0040122024927163</v>
      </c>
      <c r="BQ49" s="21">
        <f>EXP(-LN(2)/25)*BQ48+(1-EXP(-LN(2)/25))/(LN(2)/25)*Calculateur!BL49*Calculateur!BN49*VLOOKUP('Données projet'!$B$11,Paramètres!$A$1:$I$89,3,0)*0.475*44/12</f>
        <v>11.102174023748951</v>
      </c>
      <c r="BR49" s="21">
        <f>EXP(-LN(2)/2)*BR48+(1-EXP(-LN(2)/2))/(LN(2)/2)*BL49*BO49*VLOOKUP('Données projet'!$B$11,Paramètres!$A$1:$I$89,3,0)*0.475*44/12</f>
        <v>7.9172677149859316E-2</v>
      </c>
      <c r="BS49" s="22">
        <f t="shared" si="9"/>
        <v>13.185358903391528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214.19999999999993</v>
      </c>
      <c r="BZ49" s="13">
        <f>BY49*VLOOKUP('Données projet'!$B$12,Paramètres!$A$1:$I$89,3,0)*VLOOKUP('Données projet'!$B$12,Paramètres!$A$1:$I$89,5,0)</f>
        <v>207.17423999999991</v>
      </c>
      <c r="CA49" s="13">
        <f t="shared" si="39"/>
        <v>51.317600016110937</v>
      </c>
      <c r="CB49" s="20">
        <f t="shared" si="10"/>
        <v>450.20662136139305</v>
      </c>
      <c r="CC49" s="59">
        <f t="shared" si="11"/>
        <v>743.53995469472636</v>
      </c>
      <c r="CD49" s="59">
        <f ca="1">AVERAGE(OFFSET($CC$3,0,0,'Données projet'!$E$12+1,1))-AVERAGE(OFFSET($H$3,0,0,'Données projet'!$E$12+1,1))</f>
        <v>347.8889410585312</v>
      </c>
      <c r="CE49" s="59">
        <f t="shared" si="40"/>
        <v>254.78167322479203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1.8754529291252593</v>
      </c>
      <c r="CL49" s="21">
        <f>EXP(-LN(2)/25)*CL48+(1-EXP(-LN(2)/25))/(LN(2)/25)*Calculateur!CG49*Calculateur!CI49*VLOOKUP('Données projet'!$B$12,Paramètres!$A$1:$I$89,3,0)*0.475*44/12</f>
        <v>7.739663815760653</v>
      </c>
      <c r="CM49" s="21">
        <f>EXP(-LN(2)/2)*CM48+(1-EXP(-LN(2)/2))/(LN(2)/2)*CG49*CJ49*VLOOKUP('Données projet'!$B$12,Paramètres!$A$1:$I$89,3,0)*0.475*44/12</f>
        <v>8.9999116378947211E-2</v>
      </c>
      <c r="CN49" s="22">
        <f t="shared" si="12"/>
        <v>9.7051158612648596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736.67704935307256</v>
      </c>
      <c r="S50" s="59">
        <f ca="1">AVERAGE(OFFSET($R$3,0,0,'Données projet'!$E$9+1,1))-AVERAGE(OFFSET($H$3,0,0,'Données projet'!$E$9+1,1))</f>
        <v>318.40875902853116</v>
      </c>
      <c r="T50" s="59">
        <f t="shared" si="34"/>
        <v>234.87694492493506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9.1999999999999993</v>
      </c>
      <c r="AI50" s="13">
        <f>IF('Données projet'!$A$62&gt;35,AI49+AH50-AQ49,IF(A50&lt;'Données projet'!$A$62,$AF$205^A50,IF(A50='Données projet'!$A$62,'Données projet'!$B$62,AI49+AH50-AQ49)))</f>
        <v>257.39999999999986</v>
      </c>
      <c r="AJ50" s="13">
        <f>AI50*VLOOKUP('Données projet'!$B$10,Paramètres!$A$1:$I$89,3,0)*VLOOKUP('Données projet'!$B$10,Paramètres!$A$1:$I$89,5,0)</f>
        <v>204.78743999999992</v>
      </c>
      <c r="AK50" s="13">
        <f t="shared" si="35"/>
        <v>50.794849254094281</v>
      </c>
      <c r="AL50" s="20">
        <f t="shared" si="4"/>
        <v>445.1391537842141</v>
      </c>
      <c r="AM50" s="59">
        <f t="shared" si="5"/>
        <v>738.47248711754742</v>
      </c>
      <c r="AN50" s="59">
        <f ca="1">AVERAGE(OFFSET($AM$3,0,0,'Données projet'!$E$10+1,1))-AVERAGE(OFFSET($H$3,0,0,'Données projet'!$E$10+1,1))</f>
        <v>260.20517190557814</v>
      </c>
      <c r="AO50" s="59">
        <f t="shared" si="36"/>
        <v>307.22009971147133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2.3302430702780872</v>
      </c>
      <c r="AV50" s="21">
        <f>EXP(-LN(2)/25)*AV49+(1-EXP(-LN(2)/25))/(LN(2)/25)*Calculateur!AQ50*Calculateur!AS50*VLOOKUP('Données projet'!$B$10,Paramètres!$A$1:$I$89,3,0)*0.475*44/12</f>
        <v>12.807623466344426</v>
      </c>
      <c r="AW50" s="21">
        <f>EXP(-LN(2)/2)*AW49+(1-EXP(-LN(2)/2))/(LN(2)/2)*AQ50*AT50*VLOOKUP('Données projet'!$B$10,Paramètres!$A$1:$I$89,3,0)*0.475*44/12</f>
        <v>6.639907864570456E-2</v>
      </c>
      <c r="AX50" s="21">
        <f t="shared" si="6"/>
        <v>15.204265615268216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172.66391999999993</v>
      </c>
      <c r="BF50" s="13">
        <f t="shared" si="37"/>
        <v>43.686112068665423</v>
      </c>
      <c r="BG50" s="20">
        <f t="shared" si="7"/>
        <v>376.80963918625883</v>
      </c>
      <c r="BH50" s="59">
        <f t="shared" si="8"/>
        <v>670.14297251959215</v>
      </c>
      <c r="BI50" s="59">
        <f ca="1">AVERAGE(OFFSET($BH$3,0,0,'Données projet'!$E$11+1,1))-AVERAGE(OFFSET($H$3,0,0,'Données projet'!$E$11+1,1))</f>
        <v>207.93042467236967</v>
      </c>
      <c r="BJ50" s="59">
        <f t="shared" si="38"/>
        <v>250.70954318710835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1.9647147455285829</v>
      </c>
      <c r="BQ50" s="21">
        <f>EXP(-LN(2)/25)*BQ49+(1-EXP(-LN(2)/25))/(LN(2)/25)*Calculateur!BL50*Calculateur!BN50*VLOOKUP('Données projet'!$B$11,Paramètres!$A$1:$I$89,3,0)*0.475*44/12</f>
        <v>10.798584491231578</v>
      </c>
      <c r="BR50" s="21">
        <f>EXP(-LN(2)/2)*BR49+(1-EXP(-LN(2)/2))/(LN(2)/2)*BL50*BO50*VLOOKUP('Données projet'!$B$11,Paramètres!$A$1:$I$89,3,0)*0.475*44/12</f>
        <v>5.5983536897358743E-2</v>
      </c>
      <c r="BS50" s="22">
        <f t="shared" si="9"/>
        <v>12.81928277365752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225.39999999999992</v>
      </c>
      <c r="BZ50" s="13">
        <f>BY50*VLOOKUP('Données projet'!$B$12,Paramètres!$A$1:$I$89,3,0)*VLOOKUP('Données projet'!$B$12,Paramètres!$A$1:$I$89,5,0)</f>
        <v>218.00687999999994</v>
      </c>
      <c r="CA50" s="13">
        <f t="shared" si="39"/>
        <v>53.681461751463267</v>
      </c>
      <c r="CB50" s="20">
        <f t="shared" si="10"/>
        <v>473.1905285504651</v>
      </c>
      <c r="CC50" s="59">
        <f t="shared" si="11"/>
        <v>766.52386188379842</v>
      </c>
      <c r="CD50" s="59">
        <f ca="1">AVERAGE(OFFSET($CC$3,0,0,'Données projet'!$E$12+1,1))-AVERAGE(OFFSET($H$3,0,0,'Données projet'!$E$12+1,1))</f>
        <v>347.8889410585312</v>
      </c>
      <c r="CE50" s="59">
        <f t="shared" si="40"/>
        <v>254.78167322479203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1.8386764410984477</v>
      </c>
      <c r="CL50" s="21">
        <f>EXP(-LN(2)/25)*CL49+(1-EXP(-LN(2)/25))/(LN(2)/25)*Calculateur!CG50*Calculateur!CI50*VLOOKUP('Données projet'!$B$12,Paramètres!$A$1:$I$89,3,0)*0.475*44/12</f>
        <v>7.5280223017074475</v>
      </c>
      <c r="CM50" s="21">
        <f>EXP(-LN(2)/2)*CM49+(1-EXP(-LN(2)/2))/(LN(2)/2)*CG50*CJ50*VLOOKUP('Données projet'!$B$12,Paramètres!$A$1:$I$89,3,0)*0.475*44/12</f>
        <v>6.363898549235085E-2</v>
      </c>
      <c r="CN50" s="22">
        <f t="shared" si="12"/>
        <v>9.4303377282982446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758.18574373900265</v>
      </c>
      <c r="S51" s="59">
        <f ca="1">AVERAGE(OFFSET($R$3,0,0,'Données projet'!$E$9+1,1))-AVERAGE(OFFSET($H$3,0,0,'Données projet'!$E$9+1,1))</f>
        <v>318.40875902853116</v>
      </c>
      <c r="T51" s="59">
        <f t="shared" si="34"/>
        <v>234.87694492493506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9.1999999999999993</v>
      </c>
      <c r="AI51" s="13">
        <f>IF('Données projet'!$A$62&gt;35,AI50+AH51-AQ50,IF(A51&lt;'Données projet'!$A$62,$AF$205^A51,IF(A51='Données projet'!$A$62,'Données projet'!$B$62,AI50+AH51-AQ50)))</f>
        <v>266.59999999999985</v>
      </c>
      <c r="AJ51" s="13">
        <f>AI51*VLOOKUP('Données projet'!$B$10,Paramètres!$A$1:$I$89,3,0)*VLOOKUP('Données projet'!$B$10,Paramètres!$A$1:$I$89,5,0)</f>
        <v>212.10695999999987</v>
      </c>
      <c r="AK51" s="13">
        <f t="shared" si="35"/>
        <v>52.395741612408194</v>
      </c>
      <c r="AL51" s="20">
        <f t="shared" si="4"/>
        <v>460.67553864161073</v>
      </c>
      <c r="AM51" s="59">
        <f t="shared" si="5"/>
        <v>754.00887197494399</v>
      </c>
      <c r="AN51" s="59">
        <f ca="1">AVERAGE(OFFSET($AM$3,0,0,'Données projet'!$E$10+1,1))-AVERAGE(OFFSET($H$3,0,0,'Données projet'!$E$10+1,1))</f>
        <v>260.20517190557814</v>
      </c>
      <c r="AO51" s="59">
        <f t="shared" si="36"/>
        <v>307.22009971147133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2.2845484249778645</v>
      </c>
      <c r="AV51" s="21">
        <f>EXP(-LN(2)/25)*AV50+(1-EXP(-LN(2)/25))/(LN(2)/25)*Calculateur!AQ51*Calculateur!AS51*VLOOKUP('Données projet'!$B$10,Paramètres!$A$1:$I$89,3,0)*0.475*44/12</f>
        <v>12.457398329133591</v>
      </c>
      <c r="AW51" s="21">
        <f>EXP(-LN(2)/2)*AW50+(1-EXP(-LN(2)/2))/(LN(2)/2)*AQ51*AT51*VLOOKUP('Données projet'!$B$10,Paramètres!$A$1:$I$89,3,0)*0.475*44/12</f>
        <v>4.6951238774916575E-2</v>
      </c>
      <c r="AX51" s="21">
        <f t="shared" si="6"/>
        <v>14.788897992886373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178.8352799999999</v>
      </c>
      <c r="BF51" s="13">
        <f t="shared" si="37"/>
        <v>45.062959603448384</v>
      </c>
      <c r="BG51" s="20">
        <f t="shared" si="7"/>
        <v>389.95610064267242</v>
      </c>
      <c r="BH51" s="59">
        <f t="shared" si="8"/>
        <v>683.28943397600574</v>
      </c>
      <c r="BI51" s="59">
        <f ca="1">AVERAGE(OFFSET($BH$3,0,0,'Données projet'!$E$11+1,1))-AVERAGE(OFFSET($H$3,0,0,'Données projet'!$E$11+1,1))</f>
        <v>207.93042467236967</v>
      </c>
      <c r="BJ51" s="59">
        <f t="shared" si="38"/>
        <v>250.70954318710835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1.9261878877264342</v>
      </c>
      <c r="BQ51" s="21">
        <f>EXP(-LN(2)/25)*BQ50+(1-EXP(-LN(2)/25))/(LN(2)/25)*Calculateur!BL51*Calculateur!BN51*VLOOKUP('Données projet'!$B$11,Paramètres!$A$1:$I$89,3,0)*0.475*44/12</f>
        <v>10.503296630445973</v>
      </c>
      <c r="BR51" s="21">
        <f>EXP(-LN(2)/2)*BR50+(1-EXP(-LN(2)/2))/(LN(2)/2)*BL51*BO51*VLOOKUP('Données projet'!$B$11,Paramètres!$A$1:$I$89,3,0)*0.475*44/12</f>
        <v>3.9586338574929658E-2</v>
      </c>
      <c r="BS51" s="22">
        <f t="shared" si="9"/>
        <v>12.469070856747338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236.59999999999991</v>
      </c>
      <c r="BZ51" s="13">
        <f>BY51*VLOOKUP('Données projet'!$B$12,Paramètres!$A$1:$I$89,3,0)*VLOOKUP('Données projet'!$B$12,Paramètres!$A$1:$I$89,5,0)</f>
        <v>228.83951999999994</v>
      </c>
      <c r="CA51" s="13">
        <f t="shared" si="39"/>
        <v>56.031684800405088</v>
      </c>
      <c r="CB51" s="20">
        <f t="shared" si="10"/>
        <v>496.15068169403884</v>
      </c>
      <c r="CC51" s="59">
        <f t="shared" si="11"/>
        <v>789.48401502737215</v>
      </c>
      <c r="CD51" s="59">
        <f ca="1">AVERAGE(OFFSET($CC$3,0,0,'Données projet'!$E$12+1,1))-AVERAGE(OFFSET($H$3,0,0,'Données projet'!$E$12+1,1))</f>
        <v>347.8889410585312</v>
      </c>
      <c r="CE51" s="59">
        <f t="shared" si="40"/>
        <v>254.78167322479203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1.8026211175703992</v>
      </c>
      <c r="CL51" s="21">
        <f>EXP(-LN(2)/25)*CL50+(1-EXP(-LN(2)/25))/(LN(2)/25)*Calculateur!CG51*Calculateur!CI51*VLOOKUP('Données projet'!$B$12,Paramètres!$A$1:$I$89,3,0)*0.475*44/12</f>
        <v>7.3221681359857698</v>
      </c>
      <c r="CM51" s="21">
        <f>EXP(-LN(2)/2)*CM50+(1-EXP(-LN(2)/2))/(LN(2)/2)*CG51*CJ51*VLOOKUP('Données projet'!$B$12,Paramètres!$A$1:$I$89,3,0)*0.475*44/12</f>
        <v>4.4999558189473605E-2</v>
      </c>
      <c r="CN51" s="22">
        <f t="shared" si="12"/>
        <v>9.1697888117456436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779.67322457222474</v>
      </c>
      <c r="S52" s="59">
        <f ca="1">AVERAGE(OFFSET($R$3,0,0,'Données projet'!$E$9+1,1))-AVERAGE(OFFSET($H$3,0,0,'Données projet'!$E$9+1,1))</f>
        <v>318.40875902853116</v>
      </c>
      <c r="T52" s="59">
        <f t="shared" si="34"/>
        <v>234.87694492493506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9.1999999999999993</v>
      </c>
      <c r="AI52" s="13">
        <f>IF('Données projet'!$A$62&gt;35,AI51+AH52-AQ51,IF(A52&lt;'Données projet'!$A$62,$AF$205^A52,IF(A52='Données projet'!$A$62,'Données projet'!$B$62,AI51+AH52-AQ51)))</f>
        <v>275.79999999999984</v>
      </c>
      <c r="AJ52" s="13">
        <f>AI52*VLOOKUP('Données projet'!$B$10,Paramètres!$A$1:$I$89,3,0)*VLOOKUP('Données projet'!$B$10,Paramètres!$A$1:$I$89,5,0)</f>
        <v>219.42647999999991</v>
      </c>
      <c r="AK52" s="13">
        <f t="shared" si="35"/>
        <v>53.990215051449674</v>
      </c>
      <c r="AL52" s="20">
        <f t="shared" si="4"/>
        <v>476.20074388127472</v>
      </c>
      <c r="AM52" s="59">
        <f t="shared" si="5"/>
        <v>769.53407721460803</v>
      </c>
      <c r="AN52" s="59">
        <f ca="1">AVERAGE(OFFSET($AM$3,0,0,'Données projet'!$E$10+1,1))-AVERAGE(OFFSET($H$3,0,0,'Données projet'!$E$10+1,1))</f>
        <v>260.20517190557814</v>
      </c>
      <c r="AO52" s="59">
        <f t="shared" si="36"/>
        <v>307.22009971147133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2.2397498238009974</v>
      </c>
      <c r="AV52" s="21">
        <f>EXP(-LN(2)/25)*AV51+(1-EXP(-LN(2)/25))/(LN(2)/25)*Calculateur!AQ52*Calculateur!AS52*VLOOKUP('Données projet'!$B$10,Paramètres!$A$1:$I$89,3,0)*0.475*44/12</f>
        <v>12.116750116717327</v>
      </c>
      <c r="AW52" s="21">
        <f>EXP(-LN(2)/2)*AW51+(1-EXP(-LN(2)/2))/(LN(2)/2)*AQ52*AT52*VLOOKUP('Données projet'!$B$10,Paramètres!$A$1:$I$89,3,0)*0.475*44/12</f>
        <v>3.319953932285228E-2</v>
      </c>
      <c r="AX52" s="21">
        <f t="shared" si="6"/>
        <v>14.389699479841177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185.00663999999989</v>
      </c>
      <c r="BF52" s="13">
        <f t="shared" si="37"/>
        <v>46.434286546462388</v>
      </c>
      <c r="BG52" s="20">
        <f t="shared" si="7"/>
        <v>403.09294706842178</v>
      </c>
      <c r="BH52" s="59">
        <f t="shared" si="8"/>
        <v>696.42628040175509</v>
      </c>
      <c r="BI52" s="59">
        <f ca="1">AVERAGE(OFFSET($BH$3,0,0,'Données projet'!$E$11+1,1))-AVERAGE(OFFSET($H$3,0,0,'Données projet'!$E$11+1,1))</f>
        <v>207.93042467236967</v>
      </c>
      <c r="BJ52" s="59">
        <f t="shared" si="38"/>
        <v>250.70954318710835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1.8884165181067227</v>
      </c>
      <c r="BQ52" s="21">
        <f>EXP(-LN(2)/25)*BQ51+(1-EXP(-LN(2)/25))/(LN(2)/25)*Calculateur!BL52*Calculateur!BN52*VLOOKUP('Données projet'!$B$11,Paramètres!$A$1:$I$89,3,0)*0.475*44/12</f>
        <v>10.216083431742064</v>
      </c>
      <c r="BR52" s="21">
        <f>EXP(-LN(2)/2)*BR51+(1-EXP(-LN(2)/2))/(LN(2)/2)*BL52*BO52*VLOOKUP('Données projet'!$B$11,Paramètres!$A$1:$I$89,3,0)*0.475*44/12</f>
        <v>2.7991768448679372E-2</v>
      </c>
      <c r="BS52" s="22">
        <f t="shared" si="9"/>
        <v>12.132491718297466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247.7999999999999</v>
      </c>
      <c r="BZ52" s="13">
        <f>BY52*VLOOKUP('Données projet'!$B$12,Paramètres!$A$1:$I$89,3,0)*VLOOKUP('Données projet'!$B$12,Paramètres!$A$1:$I$89,5,0)</f>
        <v>239.67215999999991</v>
      </c>
      <c r="CA52" s="13">
        <f t="shared" si="39"/>
        <v>58.368988498598384</v>
      </c>
      <c r="CB52" s="20">
        <f t="shared" si="10"/>
        <v>519.0883336350588</v>
      </c>
      <c r="CC52" s="59">
        <f t="shared" si="11"/>
        <v>812.42166696839217</v>
      </c>
      <c r="CD52" s="59">
        <f ca="1">AVERAGE(OFFSET($CC$3,0,0,'Données projet'!$E$12+1,1))-AVERAGE(OFFSET($H$3,0,0,'Données projet'!$E$12+1,1))</f>
        <v>347.8889410585312</v>
      </c>
      <c r="CE52" s="59">
        <f t="shared" si="40"/>
        <v>254.78167322479203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1.7672728169451597</v>
      </c>
      <c r="CL52" s="21">
        <f>EXP(-LN(2)/25)*CL51+(1-EXP(-LN(2)/25))/(LN(2)/25)*Calculateur!CG52*Calculateur!CI52*VLOOKUP('Données projet'!$B$12,Paramètres!$A$1:$I$89,3,0)*0.475*44/12</f>
        <v>7.1219430632511518</v>
      </c>
      <c r="CM52" s="21">
        <f>EXP(-LN(2)/2)*CM51+(1-EXP(-LN(2)/2))/(LN(2)/2)*CG52*CJ52*VLOOKUP('Données projet'!$B$12,Paramètres!$A$1:$I$89,3,0)*0.475*44/12</f>
        <v>3.1819492746175425E-2</v>
      </c>
      <c r="CN52" s="22">
        <f t="shared" si="12"/>
        <v>8.9210353729424856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801.14056019463919</v>
      </c>
      <c r="S53" s="59">
        <f ca="1">AVERAGE(OFFSET($R$3,0,0,'Données projet'!$E$9+1,1))-AVERAGE(OFFSET($H$3,0,0,'Données projet'!$E$9+1,1))</f>
        <v>318.40875902853116</v>
      </c>
      <c r="T53" s="59">
        <f t="shared" si="34"/>
        <v>234.87694492493506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285</v>
      </c>
      <c r="AG53" s="12">
        <f>VLOOKUP(A53,'Données projet'!$A$61:$I$81,9,0)</f>
        <v>9.1999999999999993</v>
      </c>
      <c r="AH53" s="12">
        <f t="array" ref="AH53">INDEX(AG:AG,MIN(IF(ISNUMBER(AG53:AG249),ROW(AG53:AG249),"")))</f>
        <v>9.1999999999999993</v>
      </c>
      <c r="AI53" s="13">
        <f>IF('Données projet'!$A$62&gt;35,AI52+AH53-AQ52,IF(A53&lt;'Données projet'!$A$62,$AF$205^A53,IF(A53='Données projet'!$A$62,'Données projet'!$B$62,AI52+AH53-AQ52)))</f>
        <v>284.99999999999983</v>
      </c>
      <c r="AJ53" s="13">
        <f>AI53*VLOOKUP('Données projet'!$B$10,Paramètres!$A$1:$I$89,3,0)*VLOOKUP('Données projet'!$B$10,Paramètres!$A$1:$I$89,5,0)</f>
        <v>226.74599999999987</v>
      </c>
      <c r="AK53" s="13">
        <f t="shared" si="35"/>
        <v>55.578508240245917</v>
      </c>
      <c r="AL53" s="20">
        <f t="shared" si="4"/>
        <v>491.71518518509475</v>
      </c>
      <c r="AM53" s="59">
        <f t="shared" si="5"/>
        <v>785.04851851842807</v>
      </c>
      <c r="AN53" s="59">
        <f ca="1">AVERAGE(OFFSET($AM$3,0,0,'Données projet'!$E$10+1,1))-AVERAGE(OFFSET($H$3,0,0,'Données projet'!$E$10+1,1))</f>
        <v>260.20517190557814</v>
      </c>
      <c r="AO53" s="59">
        <f t="shared" si="36"/>
        <v>307.22009971147133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2.1958296958687598</v>
      </c>
      <c r="AV53" s="21">
        <f>EXP(-LN(2)/25)*AV52+(1-EXP(-LN(2)/25))/(LN(2)/25)*Calculateur!AQ53*Calculateur!AS53*VLOOKUP('Données projet'!$B$10,Paramètres!$A$1:$I$89,3,0)*0.475*44/12</f>
        <v>11.785416947583496</v>
      </c>
      <c r="AW53" s="21">
        <f>EXP(-LN(2)/2)*AW52+(1-EXP(-LN(2)/2))/(LN(2)/2)*AQ53*AT53*VLOOKUP('Données projet'!$B$10,Paramètres!$A$1:$I$89,3,0)*0.475*44/12</f>
        <v>2.3475619387458287E-2</v>
      </c>
      <c r="AX53" s="21">
        <f t="shared" si="6"/>
        <v>14.004722262839714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191.17799999999988</v>
      </c>
      <c r="BF53" s="13">
        <f t="shared" si="37"/>
        <v>47.80029816501365</v>
      </c>
      <c r="BG53" s="20">
        <f t="shared" si="7"/>
        <v>416.22053597073187</v>
      </c>
      <c r="BH53" s="59">
        <f t="shared" si="8"/>
        <v>709.55386930406519</v>
      </c>
      <c r="BI53" s="59">
        <f ca="1">AVERAGE(OFFSET($BH$3,0,0,'Données projet'!$E$11+1,1))-AVERAGE(OFFSET($H$3,0,0,'Données projet'!$E$11+1,1))</f>
        <v>207.93042467236967</v>
      </c>
      <c r="BJ53" s="59">
        <f t="shared" si="38"/>
        <v>250.70954318710835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1.8513858220069932</v>
      </c>
      <c r="BQ53" s="21">
        <f>EXP(-LN(2)/25)*BQ52+(1-EXP(-LN(2)/25))/(LN(2)/25)*Calculateur!BL53*Calculateur!BN53*VLOOKUP('Données projet'!$B$11,Paramètres!$A$1:$I$89,3,0)*0.475*44/12</f>
        <v>9.9367240930605991</v>
      </c>
      <c r="BR53" s="21">
        <f>EXP(-LN(2)/2)*BR52+(1-EXP(-LN(2)/2))/(LN(2)/2)*BL53*BO53*VLOOKUP('Données projet'!$B$11,Paramètres!$A$1:$I$89,3,0)*0.475*44/12</f>
        <v>1.9793169287464829E-2</v>
      </c>
      <c r="BS53" s="22">
        <f t="shared" si="9"/>
        <v>11.807903084355056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259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258.99999999999989</v>
      </c>
      <c r="BZ53" s="13">
        <f>BY53*VLOOKUP('Données projet'!$B$12,Paramètres!$A$1:$I$89,3,0)*VLOOKUP('Données projet'!$B$12,Paramètres!$A$1:$I$89,5,0)</f>
        <v>250.5047999999999</v>
      </c>
      <c r="CA53" s="13">
        <f t="shared" si="39"/>
        <v>60.694023481225365</v>
      </c>
      <c r="CB53" s="20">
        <f t="shared" si="10"/>
        <v>542.00461756313393</v>
      </c>
      <c r="CC53" s="59">
        <f t="shared" si="11"/>
        <v>835.33795089646719</v>
      </c>
      <c r="CD53" s="59">
        <f ca="1">AVERAGE(OFFSET($CC$3,0,0,'Données projet'!$E$12+1,1))-AVERAGE(OFFSET($H$3,0,0,'Données projet'!$E$12+1,1))</f>
        <v>347.8889410585312</v>
      </c>
      <c r="CE53" s="59">
        <f t="shared" si="40"/>
        <v>254.78167322479203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1.7326176749348468</v>
      </c>
      <c r="CL53" s="21">
        <f>EXP(-LN(2)/25)*CL52+(1-EXP(-LN(2)/25))/(LN(2)/25)*Calculateur!CG53*Calculateur!CI53*VLOOKUP('Données projet'!$B$12,Paramètres!$A$1:$I$89,3,0)*0.475*44/12</f>
        <v>6.9271931556598405</v>
      </c>
      <c r="CM53" s="21">
        <f>EXP(-LN(2)/2)*CM52+(1-EXP(-LN(2)/2))/(LN(2)/2)*CG53*CJ53*VLOOKUP('Données projet'!$B$12,Paramètres!$A$1:$I$89,3,0)*0.475*44/12</f>
        <v>2.2499779094736803E-2</v>
      </c>
      <c r="CN53" s="22">
        <f t="shared" si="12"/>
        <v>8.6823106096894236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712.45293571275374</v>
      </c>
      <c r="S54" s="59">
        <f ca="1">AVERAGE(OFFSET($R$3,0,0,'Données projet'!$E$9+1,1))-AVERAGE(OFFSET($H$3,0,0,'Données projet'!$E$9+1,1))</f>
        <v>318.40875902853116</v>
      </c>
      <c r="T54" s="59">
        <f t="shared" si="34"/>
        <v>234.87694492493506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248.79999999999984</v>
      </c>
      <c r="AJ54" s="13">
        <f>AI54*VLOOKUP('Données projet'!$B$10,Paramètres!$A$1:$I$89,3,0)*VLOOKUP('Données projet'!$B$10,Paramètres!$A$1:$I$89,5,0)</f>
        <v>197.94527999999988</v>
      </c>
      <c r="AK54" s="13">
        <f t="shared" si="35"/>
        <v>49.29233142017484</v>
      </c>
      <c r="AL54" s="20">
        <f t="shared" si="4"/>
        <v>430.6055065568043</v>
      </c>
      <c r="AM54" s="59">
        <f t="shared" si="5"/>
        <v>723.93883989013761</v>
      </c>
      <c r="AN54" s="59">
        <f ca="1">AVERAGE(OFFSET($AM$3,0,0,'Données projet'!$E$10+1,1))-AVERAGE(OFFSET($H$3,0,0,'Données projet'!$E$10+1,1))</f>
        <v>260.20517190557814</v>
      </c>
      <c r="AO54" s="59">
        <f t="shared" si="36"/>
        <v>307.22009971147133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2.1527708148566407</v>
      </c>
      <c r="AV54" s="21">
        <f>EXP(-LN(2)/25)*AV53+(1-EXP(-LN(2)/25))/(LN(2)/25)*Calculateur!AQ54*Calculateur!AS54*VLOOKUP('Données projet'!$B$10,Paramètres!$A$1:$I$89,3,0)*0.475*44/12</f>
        <v>11.463144101383683</v>
      </c>
      <c r="AW54" s="21">
        <f>EXP(-LN(2)/2)*AW53+(1-EXP(-LN(2)/2))/(LN(2)/2)*AQ54*AT54*VLOOKUP('Données projet'!$B$10,Paramètres!$A$1:$I$89,3,0)*0.475*44/12</f>
        <v>1.659976966142614E-2</v>
      </c>
      <c r="AX54" s="21">
        <f t="shared" si="6"/>
        <v>13.63251468590175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166.89503999999988</v>
      </c>
      <c r="BF54" s="13">
        <f t="shared" si="37"/>
        <v>42.393871547398746</v>
      </c>
      <c r="BG54" s="20">
        <f t="shared" si="7"/>
        <v>364.51152094505261</v>
      </c>
      <c r="BH54" s="59">
        <f t="shared" si="8"/>
        <v>657.84485427838592</v>
      </c>
      <c r="BI54" s="59">
        <f ca="1">AVERAGE(OFFSET($BH$3,0,0,'Données projet'!$E$11+1,1))-AVERAGE(OFFSET($H$3,0,0,'Données projet'!$E$11+1,1))</f>
        <v>207.93042467236967</v>
      </c>
      <c r="BJ54" s="59">
        <f t="shared" si="38"/>
        <v>250.70954318710835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1.8150812752712848</v>
      </c>
      <c r="BQ54" s="21">
        <f>EXP(-LN(2)/25)*BQ53+(1-EXP(-LN(2)/25))/(LN(2)/25)*Calculateur!BL54*Calculateur!BN54*VLOOKUP('Données projet'!$B$11,Paramètres!$A$1:$I$89,3,0)*0.475*44/12</f>
        <v>9.6650038501862472</v>
      </c>
      <c r="BR54" s="21">
        <f>EXP(-LN(2)/2)*BR53+(1-EXP(-LN(2)/2))/(LN(2)/2)*BL54*BO54*VLOOKUP('Données projet'!$B$11,Paramètres!$A$1:$I$89,3,0)*0.475*44/12</f>
        <v>1.3995884224339686E-2</v>
      </c>
      <c r="BS54" s="22">
        <f t="shared" si="9"/>
        <v>11.494081009681871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212.7999999999999</v>
      </c>
      <c r="BZ54" s="13">
        <f>BY54*VLOOKUP('Données projet'!$B$12,Paramètres!$A$1:$I$89,3,0)*VLOOKUP('Données projet'!$B$12,Paramètres!$A$1:$I$89,5,0)</f>
        <v>205.82015999999987</v>
      </c>
      <c r="CA54" s="13">
        <f t="shared" si="39"/>
        <v>51.0211194797537</v>
      </c>
      <c r="CB54" s="20">
        <f t="shared" si="10"/>
        <v>447.33189509390405</v>
      </c>
      <c r="CC54" s="59">
        <f t="shared" si="11"/>
        <v>740.66522842723737</v>
      </c>
      <c r="CD54" s="59">
        <f ca="1">AVERAGE(OFFSET($CC$3,0,0,'Données projet'!$E$12+1,1))-AVERAGE(OFFSET($H$3,0,0,'Données projet'!$E$12+1,1))</f>
        <v>347.8889410585312</v>
      </c>
      <c r="CE54" s="59">
        <f t="shared" si="40"/>
        <v>254.78167322479203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1.6986420991218065</v>
      </c>
      <c r="CL54" s="21">
        <f>EXP(-LN(2)/25)*CL53+(1-EXP(-LN(2)/25))/(LN(2)/25)*Calculateur!CG54*Calculateur!CI54*VLOOKUP('Données projet'!$B$12,Paramètres!$A$1:$I$89,3,0)*0.475*44/12</f>
        <v>6.7377686945330666</v>
      </c>
      <c r="CM54" s="21">
        <f>EXP(-LN(2)/2)*CM53+(1-EXP(-LN(2)/2))/(LN(2)/2)*CG54*CJ54*VLOOKUP('Données projet'!$B$12,Paramètres!$A$1:$I$89,3,0)*0.475*44/12</f>
        <v>1.5909746373087712E-2</v>
      </c>
      <c r="CN54" s="22">
        <f t="shared" si="12"/>
        <v>8.4523205400279622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731.29642544982403</v>
      </c>
      <c r="S55" s="59">
        <f ca="1">AVERAGE(OFFSET($R$3,0,0,'Données projet'!$E$9+1,1))-AVERAGE(OFFSET($H$3,0,0,'Données projet'!$E$9+1,1))</f>
        <v>318.40875902853116</v>
      </c>
      <c r="T55" s="59">
        <f t="shared" si="34"/>
        <v>234.87694492493506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255.59999999999985</v>
      </c>
      <c r="AJ55" s="13">
        <f>AI55*VLOOKUP('Données projet'!$B$10,Paramètres!$A$1:$I$89,3,0)*VLOOKUP('Données projet'!$B$10,Paramètres!$A$1:$I$89,5,0)</f>
        <v>203.35535999999991</v>
      </c>
      <c r="AK55" s="13">
        <f t="shared" si="35"/>
        <v>50.480858741452501</v>
      </c>
      <c r="AL55" s="20">
        <f t="shared" si="4"/>
        <v>442.09808097469619</v>
      </c>
      <c r="AM55" s="59">
        <f t="shared" si="5"/>
        <v>735.4314143080295</v>
      </c>
      <c r="AN55" s="59">
        <f ca="1">AVERAGE(OFFSET($AM$3,0,0,'Données projet'!$E$10+1,1))-AVERAGE(OFFSET($H$3,0,0,'Données projet'!$E$10+1,1))</f>
        <v>260.20517190557814</v>
      </c>
      <c r="AO55" s="59">
        <f t="shared" si="36"/>
        <v>307.22009971147133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2.1105562922378449</v>
      </c>
      <c r="AV55" s="21">
        <f>EXP(-LN(2)/25)*AV54+(1-EXP(-LN(2)/25))/(LN(2)/25)*Calculateur!AQ55*Calculateur!AS55*VLOOKUP('Données projet'!$B$10,Paramètres!$A$1:$I$89,3,0)*0.475*44/12</f>
        <v>11.149683823110797</v>
      </c>
      <c r="AW55" s="21">
        <f>EXP(-LN(2)/2)*AW54+(1-EXP(-LN(2)/2))/(LN(2)/2)*AQ55*AT55*VLOOKUP('Données projet'!$B$10,Paramètres!$A$1:$I$89,3,0)*0.475*44/12</f>
        <v>1.1737809693729144E-2</v>
      </c>
      <c r="AX55" s="21">
        <f t="shared" si="6"/>
        <v>13.271977925042371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171.45647999999989</v>
      </c>
      <c r="BF55" s="13">
        <f t="shared" si="37"/>
        <v>43.416064516104512</v>
      </c>
      <c r="BG55" s="20">
        <f t="shared" si="7"/>
        <v>374.23634836554851</v>
      </c>
      <c r="BH55" s="59">
        <f t="shared" si="8"/>
        <v>667.56968169888182</v>
      </c>
      <c r="BI55" s="59">
        <f ca="1">AVERAGE(OFFSET($BH$3,0,0,'Données projet'!$E$11+1,1))-AVERAGE(OFFSET($H$3,0,0,'Données projet'!$E$11+1,1))</f>
        <v>207.93042467236967</v>
      </c>
      <c r="BJ55" s="59">
        <f t="shared" si="38"/>
        <v>250.70954318710835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1.7794886385534767</v>
      </c>
      <c r="BQ55" s="21">
        <f>EXP(-LN(2)/25)*BQ54+(1-EXP(-LN(2)/25))/(LN(2)/25)*Calculateur!BL55*Calculateur!BN55*VLOOKUP('Données projet'!$B$11,Paramètres!$A$1:$I$89,3,0)*0.475*44/12</f>
        <v>9.4007138116424418</v>
      </c>
      <c r="BR55" s="21">
        <f>EXP(-LN(2)/2)*BR54+(1-EXP(-LN(2)/2))/(LN(2)/2)*BL55*BO55*VLOOKUP('Données projet'!$B$11,Paramètres!$A$1:$I$89,3,0)*0.475*44/12</f>
        <v>9.8965846437324145E-3</v>
      </c>
      <c r="BS55" s="22">
        <f t="shared" si="9"/>
        <v>11.190099034839651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222.59999999999991</v>
      </c>
      <c r="BZ55" s="13">
        <f>BY55*VLOOKUP('Données projet'!$B$12,Paramètres!$A$1:$I$89,3,0)*VLOOKUP('Données projet'!$B$12,Paramètres!$A$1:$I$89,5,0)</f>
        <v>215.29871999999992</v>
      </c>
      <c r="CA55" s="13">
        <f t="shared" si="39"/>
        <v>53.091804704077084</v>
      </c>
      <c r="CB55" s="20">
        <f t="shared" si="10"/>
        <v>467.44683052626738</v>
      </c>
      <c r="CC55" s="59">
        <f t="shared" si="11"/>
        <v>760.78016385960063</v>
      </c>
      <c r="CD55" s="59">
        <f ca="1">AVERAGE(OFFSET($CC$3,0,0,'Données projet'!$E$12+1,1))-AVERAGE(OFFSET($H$3,0,0,'Données projet'!$E$12+1,1))</f>
        <v>347.8889410585312</v>
      </c>
      <c r="CE55" s="59">
        <f t="shared" si="40"/>
        <v>254.78167322479203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1.6653327636274049</v>
      </c>
      <c r="CL55" s="21">
        <f>EXP(-LN(2)/25)*CL54+(1-EXP(-LN(2)/25))/(LN(2)/25)*Calculateur!CG55*Calculateur!CI55*VLOOKUP('Données projet'!$B$12,Paramètres!$A$1:$I$89,3,0)*0.475*44/12</f>
        <v>6.5535240552572036</v>
      </c>
      <c r="CM55" s="21">
        <f>EXP(-LN(2)/2)*CM54+(1-EXP(-LN(2)/2))/(LN(2)/2)*CG55*CJ55*VLOOKUP('Données projet'!$B$12,Paramètres!$A$1:$I$89,3,0)*0.475*44/12</f>
        <v>1.1249889547368401E-2</v>
      </c>
      <c r="CN55" s="22">
        <f t="shared" si="12"/>
        <v>8.2301067084319772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750.12253011186112</v>
      </c>
      <c r="S56" s="59">
        <f ca="1">AVERAGE(OFFSET($R$3,0,0,'Données projet'!$E$9+1,1))-AVERAGE(OFFSET($H$3,0,0,'Données projet'!$E$9+1,1))</f>
        <v>318.40875902853116</v>
      </c>
      <c r="T56" s="59">
        <f t="shared" si="34"/>
        <v>234.87694492493506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262.39999999999986</v>
      </c>
      <c r="AJ56" s="13">
        <f>AI56*VLOOKUP('Données projet'!$B$10,Paramètres!$A$1:$I$89,3,0)*VLOOKUP('Données projet'!$B$10,Paramètres!$A$1:$I$89,5,0)</f>
        <v>208.7654399999999</v>
      </c>
      <c r="AK56" s="13">
        <f t="shared" si="35"/>
        <v>51.665710768737398</v>
      </c>
      <c r="AL56" s="20">
        <f t="shared" si="4"/>
        <v>453.58425425555083</v>
      </c>
      <c r="AM56" s="59">
        <f t="shared" si="5"/>
        <v>746.91758758888409</v>
      </c>
      <c r="AN56" s="59">
        <f ca="1">AVERAGE(OFFSET($AM$3,0,0,'Données projet'!$E$10+1,1))-AVERAGE(OFFSET($H$3,0,0,'Données projet'!$E$10+1,1))</f>
        <v>260.20517190557814</v>
      </c>
      <c r="AO56" s="59">
        <f t="shared" si="36"/>
        <v>307.22009971147133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2.0691695706592874</v>
      </c>
      <c r="AV56" s="21">
        <f>EXP(-LN(2)/25)*AV55+(1-EXP(-LN(2)/25))/(LN(2)/25)*Calculateur!AQ56*Calculateur!AS56*VLOOKUP('Données projet'!$B$10,Paramètres!$A$1:$I$89,3,0)*0.475*44/12</f>
        <v>10.844795132631443</v>
      </c>
      <c r="AW56" s="21">
        <f>EXP(-LN(2)/2)*AW55+(1-EXP(-LN(2)/2))/(LN(2)/2)*AQ56*AT56*VLOOKUP('Données projet'!$B$10,Paramètres!$A$1:$I$89,3,0)*0.475*44/12</f>
        <v>8.2998848307130699E-3</v>
      </c>
      <c r="AX56" s="21">
        <f t="shared" si="6"/>
        <v>12.922264588121443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176.01791999999992</v>
      </c>
      <c r="BF56" s="13">
        <f t="shared" si="37"/>
        <v>44.435096548069509</v>
      </c>
      <c r="BG56" s="20">
        <f t="shared" si="7"/>
        <v>383.95567048788757</v>
      </c>
      <c r="BH56" s="59">
        <f t="shared" si="8"/>
        <v>677.28900382122083</v>
      </c>
      <c r="BI56" s="59">
        <f ca="1">AVERAGE(OFFSET($BH$3,0,0,'Données projet'!$E$11+1,1))-AVERAGE(OFFSET($H$3,0,0,'Données projet'!$E$11+1,1))</f>
        <v>207.93042467236967</v>
      </c>
      <c r="BJ56" s="59">
        <f t="shared" si="38"/>
        <v>250.70954318710835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1.7445939517323401</v>
      </c>
      <c r="BQ56" s="21">
        <f>EXP(-LN(2)/25)*BQ55+(1-EXP(-LN(2)/25))/(LN(2)/25)*Calculateur!BL56*Calculateur!BN56*VLOOKUP('Données projet'!$B$11,Paramètres!$A$1:$I$89,3,0)*0.475*44/12</f>
        <v>9.1436507981010262</v>
      </c>
      <c r="BR56" s="21">
        <f>EXP(-LN(2)/2)*BR55+(1-EXP(-LN(2)/2))/(LN(2)/2)*BL56*BO56*VLOOKUP('Données projet'!$B$11,Paramètres!$A$1:$I$89,3,0)*0.475*44/12</f>
        <v>6.9979421121698429E-3</v>
      </c>
      <c r="BS56" s="22">
        <f t="shared" si="9"/>
        <v>10.895242691945535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232.39999999999992</v>
      </c>
      <c r="BZ56" s="13">
        <f>BY56*VLOOKUP('Données projet'!$B$12,Paramètres!$A$1:$I$89,3,0)*VLOOKUP('Données projet'!$B$12,Paramètres!$A$1:$I$89,5,0)</f>
        <v>224.77727999999991</v>
      </c>
      <c r="CA56" s="13">
        <f t="shared" si="39"/>
        <v>55.151902174183448</v>
      </c>
      <c r="CB56" s="20">
        <f t="shared" si="10"/>
        <v>487.54332562003589</v>
      </c>
      <c r="CC56" s="59">
        <f t="shared" si="11"/>
        <v>780.8766589533692</v>
      </c>
      <c r="CD56" s="59">
        <f ca="1">AVERAGE(OFFSET($CC$3,0,0,'Données projet'!$E$12+1,1))-AVERAGE(OFFSET($H$3,0,0,'Données projet'!$E$12+1,1))</f>
        <v>347.8889410585312</v>
      </c>
      <c r="CE56" s="59">
        <f t="shared" si="40"/>
        <v>254.78167322479203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1.63267660388536</v>
      </c>
      <c r="CL56" s="21">
        <f>EXP(-LN(2)/25)*CL55+(1-EXP(-LN(2)/25))/(LN(2)/25)*Calculateur!CG56*Calculateur!CI56*VLOOKUP('Données projet'!$B$12,Paramètres!$A$1:$I$89,3,0)*0.475*44/12</f>
        <v>6.3743175953313438</v>
      </c>
      <c r="CM56" s="21">
        <f>EXP(-LN(2)/2)*CM55+(1-EXP(-LN(2)/2))/(LN(2)/2)*CG56*CJ56*VLOOKUP('Données projet'!$B$12,Paramètres!$A$1:$I$89,3,0)*0.475*44/12</f>
        <v>7.9548731865438562E-3</v>
      </c>
      <c r="CN56" s="22">
        <f t="shared" si="12"/>
        <v>8.0149490724032475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768.93206662650141</v>
      </c>
      <c r="S57" s="59">
        <f ca="1">AVERAGE(OFFSET($R$3,0,0,'Données projet'!$E$9+1,1))-AVERAGE(OFFSET($H$3,0,0,'Données projet'!$E$9+1,1))</f>
        <v>318.40875902853116</v>
      </c>
      <c r="T57" s="59">
        <f t="shared" si="34"/>
        <v>234.87694492493506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269.19999999999987</v>
      </c>
      <c r="AJ57" s="13">
        <f>AI57*VLOOKUP('Données projet'!$B$10,Paramètres!$A$1:$I$89,3,0)*VLOOKUP('Données projet'!$B$10,Paramètres!$A$1:$I$89,5,0)</f>
        <v>214.17551999999992</v>
      </c>
      <c r="AK57" s="13">
        <f t="shared" si="35"/>
        <v>52.846993696165399</v>
      </c>
      <c r="AL57" s="20">
        <f t="shared" si="4"/>
        <v>465.06421135415462</v>
      </c>
      <c r="AM57" s="59">
        <f t="shared" si="5"/>
        <v>758.39754468748788</v>
      </c>
      <c r="AN57" s="59">
        <f ca="1">AVERAGE(OFFSET($AM$3,0,0,'Données projet'!$E$10+1,1))-AVERAGE(OFFSET($H$3,0,0,'Données projet'!$E$10+1,1))</f>
        <v>260.20517190557814</v>
      </c>
      <c r="AO57" s="59">
        <f t="shared" si="36"/>
        <v>307.22009971147133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2.0285944174474779</v>
      </c>
      <c r="AV57" s="21">
        <f>EXP(-LN(2)/25)*AV56+(1-EXP(-LN(2)/25))/(LN(2)/25)*Calculateur!AQ57*Calculateur!AS57*VLOOKUP('Données projet'!$B$10,Paramètres!$A$1:$I$89,3,0)*0.475*44/12</f>
        <v>10.548243639426646</v>
      </c>
      <c r="AW57" s="21">
        <f>EXP(-LN(2)/2)*AW56+(1-EXP(-LN(2)/2))/(LN(2)/2)*AQ57*AT57*VLOOKUP('Données projet'!$B$10,Paramètres!$A$1:$I$89,3,0)*0.475*44/12</f>
        <v>5.8689048468645718E-3</v>
      </c>
      <c r="AX57" s="21">
        <f t="shared" si="6"/>
        <v>12.582706961720989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180.57935999999992</v>
      </c>
      <c r="BF57" s="13">
        <f t="shared" si="37"/>
        <v>45.451058975564287</v>
      </c>
      <c r="BG57" s="20">
        <f t="shared" si="7"/>
        <v>393.66964638244093</v>
      </c>
      <c r="BH57" s="59">
        <f t="shared" si="8"/>
        <v>687.00297971577425</v>
      </c>
      <c r="BI57" s="59">
        <f ca="1">AVERAGE(OFFSET($BH$3,0,0,'Données projet'!$E$11+1,1))-AVERAGE(OFFSET($H$3,0,0,'Données projet'!$E$11+1,1))</f>
        <v>207.93042467236967</v>
      </c>
      <c r="BJ57" s="59">
        <f t="shared" si="38"/>
        <v>250.70954318710835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1.7103835284361086</v>
      </c>
      <c r="BQ57" s="21">
        <f>EXP(-LN(2)/25)*BQ56+(1-EXP(-LN(2)/25))/(LN(2)/25)*Calculateur!BL57*Calculateur!BN57*VLOOKUP('Données projet'!$B$11,Paramètres!$A$1:$I$89,3,0)*0.475*44/12</f>
        <v>8.8936171861832563</v>
      </c>
      <c r="BR57" s="21">
        <f>EXP(-LN(2)/2)*BR56+(1-EXP(-LN(2)/2))/(LN(2)/2)*BL57*BO57*VLOOKUP('Données projet'!$B$11,Paramètres!$A$1:$I$89,3,0)*0.475*44/12</f>
        <v>4.9482923218662073E-3</v>
      </c>
      <c r="BS57" s="22">
        <f t="shared" si="9"/>
        <v>10.608949006941232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242.19999999999993</v>
      </c>
      <c r="BZ57" s="13">
        <f>BY57*VLOOKUP('Données projet'!$B$12,Paramètres!$A$1:$I$89,3,0)*VLOOKUP('Données projet'!$B$12,Paramètres!$A$1:$I$89,5,0)</f>
        <v>234.25583999999995</v>
      </c>
      <c r="CA57" s="13">
        <f t="shared" si="39"/>
        <v>57.201909410446412</v>
      </c>
      <c r="CB57" s="20">
        <f t="shared" si="10"/>
        <v>507.62224688986066</v>
      </c>
      <c r="CC57" s="59">
        <f t="shared" si="11"/>
        <v>800.95558022319392</v>
      </c>
      <c r="CD57" s="59">
        <f ca="1">AVERAGE(OFFSET($CC$3,0,0,'Données projet'!$E$12+1,1))-AVERAGE(OFFSET($H$3,0,0,'Données projet'!$E$12+1,1))</f>
        <v>347.8889410585312</v>
      </c>
      <c r="CE57" s="59">
        <f t="shared" si="40"/>
        <v>254.78167322479203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1.600660811517566</v>
      </c>
      <c r="CL57" s="21">
        <f>EXP(-LN(2)/25)*CL56+(1-EXP(-LN(2)/25))/(LN(2)/25)*Calculateur!CG57*Calculateur!CI57*VLOOKUP('Données projet'!$B$12,Paramètres!$A$1:$I$89,3,0)*0.475*44/12</f>
        <v>6.2000115454762144</v>
      </c>
      <c r="CM57" s="21">
        <f>EXP(-LN(2)/2)*CM56+(1-EXP(-LN(2)/2))/(LN(2)/2)*CG57*CJ57*VLOOKUP('Données projet'!$B$12,Paramètres!$A$1:$I$89,3,0)*0.475*44/12</f>
        <v>5.6249447736842007E-3</v>
      </c>
      <c r="CN57" s="22">
        <f t="shared" si="12"/>
        <v>7.8062973017674651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787.72578207012941</v>
      </c>
      <c r="S58" s="59">
        <f ca="1">AVERAGE(OFFSET($R$3,0,0,'Données projet'!$E$9+1,1))-AVERAGE(OFFSET($H$3,0,0,'Données projet'!$E$9+1,1))</f>
        <v>318.40875902853116</v>
      </c>
      <c r="T58" s="59">
        <f t="shared" si="34"/>
        <v>234.87694492493506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275.99999999999989</v>
      </c>
      <c r="AJ58" s="13">
        <f>AI58*VLOOKUP('Données projet'!$B$10,Paramètres!$A$1:$I$89,3,0)*VLOOKUP('Données projet'!$B$10,Paramètres!$A$1:$I$89,5,0)</f>
        <v>219.58559999999991</v>
      </c>
      <c r="AK58" s="13">
        <f t="shared" si="35"/>
        <v>54.024808047218549</v>
      </c>
      <c r="AL58" s="20">
        <f t="shared" si="4"/>
        <v>476.53812734890556</v>
      </c>
      <c r="AM58" s="59">
        <f t="shared" si="5"/>
        <v>769.87146068223888</v>
      </c>
      <c r="AN58" s="59">
        <f ca="1">AVERAGE(OFFSET($AM$3,0,0,'Données projet'!$E$10+1,1))-AVERAGE(OFFSET($H$3,0,0,'Données projet'!$E$10+1,1))</f>
        <v>260.20517190557814</v>
      </c>
      <c r="AO58" s="59">
        <f t="shared" si="36"/>
        <v>307.22009971147133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1.9888149182417523</v>
      </c>
      <c r="AV58" s="21">
        <f>EXP(-LN(2)/25)*AV57+(1-EXP(-LN(2)/25))/(LN(2)/25)*Calculateur!AQ58*Calculateur!AS58*VLOOKUP('Données projet'!$B$10,Paramètres!$A$1:$I$89,3,0)*0.475*44/12</f>
        <v>10.2598013623985</v>
      </c>
      <c r="AW58" s="21">
        <f>EXP(-LN(2)/2)*AW57+(1-EXP(-LN(2)/2))/(LN(2)/2)*AQ58*AT58*VLOOKUP('Données projet'!$B$10,Paramètres!$A$1:$I$89,3,0)*0.475*44/12</f>
        <v>4.149942415356535E-3</v>
      </c>
      <c r="AX58" s="21">
        <f t="shared" si="6"/>
        <v>12.252766223055609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185.14079999999993</v>
      </c>
      <c r="BF58" s="13">
        <f t="shared" si="37"/>
        <v>46.464038253813463</v>
      </c>
      <c r="BG58" s="20">
        <f t="shared" si="7"/>
        <v>403.37842662539168</v>
      </c>
      <c r="BH58" s="59">
        <f t="shared" si="8"/>
        <v>696.711759958725</v>
      </c>
      <c r="BI58" s="59">
        <f ca="1">AVERAGE(OFFSET($BH$3,0,0,'Données projet'!$E$11+1,1))-AVERAGE(OFFSET($H$3,0,0,'Données projet'!$E$11+1,1))</f>
        <v>207.93042467236967</v>
      </c>
      <c r="BJ58" s="59">
        <f t="shared" si="38"/>
        <v>250.70954318710835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1.6768439506744184</v>
      </c>
      <c r="BQ58" s="21">
        <f>EXP(-LN(2)/25)*BQ57+(1-EXP(-LN(2)/25))/(LN(2)/25)*Calculateur!BL58*Calculateur!BN58*VLOOKUP('Données projet'!$B$11,Paramètres!$A$1:$I$89,3,0)*0.475*44/12</f>
        <v>8.6504207565320748</v>
      </c>
      <c r="BR58" s="21">
        <f>EXP(-LN(2)/2)*BR57+(1-EXP(-LN(2)/2))/(LN(2)/2)*BL58*BO58*VLOOKUP('Données projet'!$B$11,Paramètres!$A$1:$I$89,3,0)*0.475*44/12</f>
        <v>3.4989710560849215E-3</v>
      </c>
      <c r="BS58" s="22">
        <f t="shared" si="9"/>
        <v>10.33076367826258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251.99999999999994</v>
      </c>
      <c r="BZ58" s="13">
        <f>BY58*VLOOKUP('Données projet'!$B$12,Paramètres!$A$1:$I$89,3,0)*VLOOKUP('Données projet'!$B$12,Paramètres!$A$1:$I$89,5,0)</f>
        <v>243.73439999999994</v>
      </c>
      <c r="CA58" s="13">
        <f t="shared" si="39"/>
        <v>59.242281392848767</v>
      </c>
      <c r="CB58" s="20">
        <f t="shared" si="10"/>
        <v>527.68438675921141</v>
      </c>
      <c r="CC58" s="59">
        <f t="shared" si="11"/>
        <v>821.01772009254478</v>
      </c>
      <c r="CD58" s="59">
        <f ca="1">AVERAGE(OFFSET($CC$3,0,0,'Données projet'!$E$12+1,1))-AVERAGE(OFFSET($H$3,0,0,'Données projet'!$E$12+1,1))</f>
        <v>347.8889410585312</v>
      </c>
      <c r="CE58" s="59">
        <f t="shared" si="40"/>
        <v>254.78167322479203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1.5692728293103992</v>
      </c>
      <c r="CL58" s="21">
        <f>EXP(-LN(2)/25)*CL57+(1-EXP(-LN(2)/25))/(LN(2)/25)*Calculateur!CG58*Calculateur!CI58*VLOOKUP('Données projet'!$B$12,Paramètres!$A$1:$I$89,3,0)*0.475*44/12</f>
        <v>6.0304719037207306</v>
      </c>
      <c r="CM58" s="21">
        <f>EXP(-LN(2)/2)*CM57+(1-EXP(-LN(2)/2))/(LN(2)/2)*CG58*CJ58*VLOOKUP('Données projet'!$B$12,Paramètres!$A$1:$I$89,3,0)*0.475*44/12</f>
        <v>3.9774365932719281E-3</v>
      </c>
      <c r="CN58" s="22">
        <f t="shared" si="12"/>
        <v>7.6037221696244019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806.5043621230443</v>
      </c>
      <c r="S59" s="59">
        <f ca="1">AVERAGE(OFFSET($R$3,0,0,'Données projet'!$E$9+1,1))-AVERAGE(OFFSET($H$3,0,0,'Données projet'!$E$9+1,1))</f>
        <v>318.40875902853116</v>
      </c>
      <c r="T59" s="59">
        <f t="shared" si="34"/>
        <v>234.87694492493506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282.7999999999999</v>
      </c>
      <c r="AJ59" s="13">
        <f>AI59*VLOOKUP('Données projet'!$B$10,Paramètres!$A$1:$I$89,3,0)*VLOOKUP('Données projet'!$B$10,Paramètres!$A$1:$I$89,5,0)</f>
        <v>224.99567999999994</v>
      </c>
      <c r="AK59" s="13">
        <f t="shared" si="35"/>
        <v>55.199249109676629</v>
      </c>
      <c r="AL59" s="20">
        <f t="shared" si="4"/>
        <v>488.00616819935334</v>
      </c>
      <c r="AM59" s="59">
        <f t="shared" si="5"/>
        <v>781.33950153268665</v>
      </c>
      <c r="AN59" s="59">
        <f ca="1">AVERAGE(OFFSET($AM$3,0,0,'Données projet'!$E$10+1,1))-AVERAGE(OFFSET($H$3,0,0,'Données projet'!$E$10+1,1))</f>
        <v>260.20517190557814</v>
      </c>
      <c r="AO59" s="59">
        <f t="shared" si="36"/>
        <v>307.22009971147133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1.9498154707523523</v>
      </c>
      <c r="AV59" s="21">
        <f>EXP(-LN(2)/25)*AV58+(1-EXP(-LN(2)/25))/(LN(2)/25)*Calculateur!AQ59*Calculateur!AS59*VLOOKUP('Données projet'!$B$10,Paramètres!$A$1:$I$89,3,0)*0.475*44/12</f>
        <v>9.9792465546042077</v>
      </c>
      <c r="AW59" s="21">
        <f>EXP(-LN(2)/2)*AW58+(1-EXP(-LN(2)/2))/(LN(2)/2)*AQ59*AT59*VLOOKUP('Données projet'!$B$10,Paramètres!$A$1:$I$89,3,0)*0.475*44/12</f>
        <v>2.9344524234322859E-3</v>
      </c>
      <c r="AX59" s="21">
        <f t="shared" si="6"/>
        <v>11.931996477779991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189.70223999999993</v>
      </c>
      <c r="BF59" s="13">
        <f t="shared" si="37"/>
        <v>47.474116335075863</v>
      </c>
      <c r="BG59" s="20">
        <f t="shared" si="7"/>
        <v>413.08215395025701</v>
      </c>
      <c r="BH59" s="59">
        <f t="shared" si="8"/>
        <v>706.41548728359032</v>
      </c>
      <c r="BI59" s="59">
        <f ca="1">AVERAGE(OFFSET($BH$3,0,0,'Données projet'!$E$11+1,1))-AVERAGE(OFFSET($H$3,0,0,'Données projet'!$E$11+1,1))</f>
        <v>207.93042467236967</v>
      </c>
      <c r="BJ59" s="59">
        <f t="shared" si="38"/>
        <v>250.70954318710835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1.6439620635755123</v>
      </c>
      <c r="BQ59" s="21">
        <f>EXP(-LN(2)/25)*BQ58+(1-EXP(-LN(2)/25))/(LN(2)/25)*Calculateur!BL59*Calculateur!BN59*VLOOKUP('Données projet'!$B$11,Paramètres!$A$1:$I$89,3,0)*0.475*44/12</f>
        <v>8.4138745460388478</v>
      </c>
      <c r="BR59" s="21">
        <f>EXP(-LN(2)/2)*BR58+(1-EXP(-LN(2)/2))/(LN(2)/2)*BL59*BO59*VLOOKUP('Données projet'!$B$11,Paramètres!$A$1:$I$89,3,0)*0.475*44/12</f>
        <v>2.4741461609331036E-3</v>
      </c>
      <c r="BS59" s="22">
        <f t="shared" si="9"/>
        <v>10.060310755775294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261.79999999999995</v>
      </c>
      <c r="BZ59" s="13">
        <f>BY59*VLOOKUP('Données projet'!$B$12,Paramètres!$A$1:$I$89,3,0)*VLOOKUP('Données projet'!$B$12,Paramètres!$A$1:$I$89,5,0)</f>
        <v>253.21295999999998</v>
      </c>
      <c r="CA59" s="13">
        <f t="shared" si="39"/>
        <v>61.273435710297598</v>
      </c>
      <c r="CB59" s="20">
        <f t="shared" si="10"/>
        <v>547.73047252876825</v>
      </c>
      <c r="CC59" s="59">
        <f t="shared" si="11"/>
        <v>841.06380586210162</v>
      </c>
      <c r="CD59" s="59">
        <f ca="1">AVERAGE(OFFSET($CC$3,0,0,'Données projet'!$E$12+1,1))-AVERAGE(OFFSET($H$3,0,0,'Données projet'!$E$12+1,1))</f>
        <v>347.8889410585312</v>
      </c>
      <c r="CE59" s="59">
        <f t="shared" si="40"/>
        <v>254.78167322479203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1.5385003462895364</v>
      </c>
      <c r="CL59" s="21">
        <f>EXP(-LN(2)/25)*CL58+(1-EXP(-LN(2)/25))/(LN(2)/25)*Calculateur!CG59*Calculateur!CI59*VLOOKUP('Données projet'!$B$12,Paramètres!$A$1:$I$89,3,0)*0.475*44/12</f>
        <v>5.8655683323847523</v>
      </c>
      <c r="CM59" s="21">
        <f>EXP(-LN(2)/2)*CM58+(1-EXP(-LN(2)/2))/(LN(2)/2)*CG59*CJ59*VLOOKUP('Données projet'!$B$12,Paramètres!$A$1:$I$89,3,0)*0.475*44/12</f>
        <v>2.8124723868421003E-3</v>
      </c>
      <c r="CN59" s="22">
        <f t="shared" si="12"/>
        <v>7.406881151061131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825.26843822302021</v>
      </c>
      <c r="S60" s="59">
        <f ca="1">AVERAGE(OFFSET($R$3,0,0,'Données projet'!$E$9+1,1))-AVERAGE(OFFSET($H$3,0,0,'Données projet'!$E$9+1,1))</f>
        <v>318.40875902853116</v>
      </c>
      <c r="T60" s="59">
        <f t="shared" si="34"/>
        <v>234.87694492493506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289.59999999999991</v>
      </c>
      <c r="AJ60" s="13">
        <f>AI60*VLOOKUP('Données projet'!$B$10,Paramètres!$A$1:$I$89,3,0)*VLOOKUP('Données projet'!$B$10,Paramètres!$A$1:$I$89,5,0)</f>
        <v>230.40575999999996</v>
      </c>
      <c r="AK60" s="13">
        <f t="shared" si="35"/>
        <v>56.370407327556237</v>
      </c>
      <c r="AL60" s="20">
        <f t="shared" si="4"/>
        <v>499.46849142882706</v>
      </c>
      <c r="AM60" s="59">
        <f t="shared" si="5"/>
        <v>792.80182476216032</v>
      </c>
      <c r="AN60" s="59">
        <f ca="1">AVERAGE(OFFSET($AM$3,0,0,'Données projet'!$E$10+1,1))-AVERAGE(OFFSET($H$3,0,0,'Données projet'!$E$10+1,1))</f>
        <v>260.20517190557814</v>
      </c>
      <c r="AO60" s="59">
        <f t="shared" si="36"/>
        <v>307.22009971147133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1.9115807786409051</v>
      </c>
      <c r="AV60" s="21">
        <f>EXP(-LN(2)/25)*AV59+(1-EXP(-LN(2)/25))/(LN(2)/25)*Calculateur!AQ60*Calculateur!AS60*VLOOKUP('Données projet'!$B$10,Paramètres!$A$1:$I$89,3,0)*0.475*44/12</f>
        <v>9.7063635327827864</v>
      </c>
      <c r="AW60" s="21">
        <f>EXP(-LN(2)/2)*AW59+(1-EXP(-LN(2)/2))/(LN(2)/2)*AQ60*AT60*VLOOKUP('Données projet'!$B$10,Paramètres!$A$1:$I$89,3,0)*0.475*44/12</f>
        <v>2.0749712076782675E-3</v>
      </c>
      <c r="AX60" s="21">
        <f t="shared" si="6"/>
        <v>11.62001928263137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194.26367999999994</v>
      </c>
      <c r="BF60" s="13">
        <f t="shared" si="37"/>
        <v>48.481371005731333</v>
      </c>
      <c r="BG60" s="20">
        <f t="shared" si="7"/>
        <v>422.78096383498195</v>
      </c>
      <c r="BH60" s="59">
        <f t="shared" si="8"/>
        <v>716.11429716831526</v>
      </c>
      <c r="BI60" s="59">
        <f ca="1">AVERAGE(OFFSET($BH$3,0,0,'Données projet'!$E$11+1,1))-AVERAGE(OFFSET($H$3,0,0,'Données projet'!$E$11+1,1))</f>
        <v>207.93042467236967</v>
      </c>
      <c r="BJ60" s="59">
        <f t="shared" si="38"/>
        <v>250.70954318710835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1.6117249702266452</v>
      </c>
      <c r="BQ60" s="21">
        <f>EXP(-LN(2)/25)*BQ59+(1-EXP(-LN(2)/25))/(LN(2)/25)*Calculateur!BL60*Calculateur!BN60*VLOOKUP('Données projet'!$B$11,Paramètres!$A$1:$I$89,3,0)*0.475*44/12</f>
        <v>8.1837967041109838</v>
      </c>
      <c r="BR60" s="21">
        <f>EXP(-LN(2)/2)*BR59+(1-EXP(-LN(2)/2))/(LN(2)/2)*BL60*BO60*VLOOKUP('Données projet'!$B$11,Paramètres!$A$1:$I$89,3,0)*0.475*44/12</f>
        <v>1.7494855280424607E-3</v>
      </c>
      <c r="BS60" s="22">
        <f t="shared" si="9"/>
        <v>9.7972711598656712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271.59999999999997</v>
      </c>
      <c r="BZ60" s="13">
        <f>BY60*VLOOKUP('Données projet'!$B$12,Paramètres!$A$1:$I$89,3,0)*VLOOKUP('Données projet'!$B$12,Paramètres!$A$1:$I$89,5,0)</f>
        <v>262.69151999999997</v>
      </c>
      <c r="CA60" s="13">
        <f t="shared" si="39"/>
        <v>63.295756917241974</v>
      </c>
      <c r="CB60" s="20">
        <f t="shared" si="10"/>
        <v>567.76117396419647</v>
      </c>
      <c r="CC60" s="59">
        <f t="shared" si="11"/>
        <v>861.09450729752984</v>
      </c>
      <c r="CD60" s="59">
        <f ca="1">AVERAGE(OFFSET($CC$3,0,0,'Données projet'!$E$12+1,1))-AVERAGE(OFFSET($H$3,0,0,'Données projet'!$E$12+1,1))</f>
        <v>347.8889410585312</v>
      </c>
      <c r="CE60" s="59">
        <f t="shared" si="40"/>
        <v>254.78167322479203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1.5083312928913513</v>
      </c>
      <c r="CL60" s="21">
        <f>EXP(-LN(2)/25)*CL59+(1-EXP(-LN(2)/25))/(LN(2)/25)*Calculateur!CG60*Calculateur!CI60*VLOOKUP('Données projet'!$B$12,Paramètres!$A$1:$I$89,3,0)*0.475*44/12</f>
        <v>5.7051740578788586</v>
      </c>
      <c r="CM60" s="21">
        <f>EXP(-LN(2)/2)*CM59+(1-EXP(-LN(2)/2))/(LN(2)/2)*CG60*CJ60*VLOOKUP('Données projet'!$B$12,Paramètres!$A$1:$I$89,3,0)*0.475*44/12</f>
        <v>1.9887182966359641E-3</v>
      </c>
      <c r="CN60" s="22">
        <f t="shared" si="12"/>
        <v>7.2154940690668461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844.01859365737346</v>
      </c>
      <c r="S61" s="59">
        <f ca="1">AVERAGE(OFFSET($R$3,0,0,'Données projet'!$E$9+1,1))-AVERAGE(OFFSET($H$3,0,0,'Données projet'!$E$9+1,1))</f>
        <v>318.40875902853116</v>
      </c>
      <c r="T61" s="59">
        <f t="shared" si="34"/>
        <v>234.87694492493506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296.39999999999992</v>
      </c>
      <c r="AJ61" s="13">
        <f>AI61*VLOOKUP('Données projet'!$B$10,Paramètres!$A$1:$I$89,3,0)*VLOOKUP('Données projet'!$B$10,Paramètres!$A$1:$I$89,5,0)</f>
        <v>235.81583999999995</v>
      </c>
      <c r="AK61" s="13">
        <f t="shared" si="35"/>
        <v>57.538368655200898</v>
      </c>
      <c r="AL61" s="20">
        <f t="shared" si="4"/>
        <v>510.92524674114156</v>
      </c>
      <c r="AM61" s="59">
        <f t="shared" si="5"/>
        <v>804.25858007447482</v>
      </c>
      <c r="AN61" s="59">
        <f ca="1">AVERAGE(OFFSET($AM$3,0,0,'Données projet'!$E$10+1,1))-AVERAGE(OFFSET($H$3,0,0,'Données projet'!$E$10+1,1))</f>
        <v>260.20517190557814</v>
      </c>
      <c r="AO61" s="59">
        <f t="shared" si="36"/>
        <v>307.22009971147133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1.874095845520904</v>
      </c>
      <c r="AV61" s="21">
        <f>EXP(-LN(2)/25)*AV60+(1-EXP(-LN(2)/25))/(LN(2)/25)*Calculateur!AQ61*Calculateur!AS61*VLOOKUP('Données projet'!$B$10,Paramètres!$A$1:$I$89,3,0)*0.475*44/12</f>
        <v>9.4409425115433674</v>
      </c>
      <c r="AW61" s="21">
        <f>EXP(-LN(2)/2)*AW60+(1-EXP(-LN(2)/2))/(LN(2)/2)*AQ61*AT61*VLOOKUP('Données projet'!$B$10,Paramètres!$A$1:$I$89,3,0)*0.475*44/12</f>
        <v>1.467226211716143E-3</v>
      </c>
      <c r="AX61" s="21">
        <f t="shared" si="6"/>
        <v>11.316505583275987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198.82511999999997</v>
      </c>
      <c r="BF61" s="13">
        <f t="shared" si="37"/>
        <v>49.485876190816356</v>
      </c>
      <c r="BG61" s="20">
        <f t="shared" si="7"/>
        <v>432.47498503233845</v>
      </c>
      <c r="BH61" s="59">
        <f t="shared" si="8"/>
        <v>725.80831836567177</v>
      </c>
      <c r="BI61" s="59">
        <f ca="1">AVERAGE(OFFSET($BH$3,0,0,'Données projet'!$E$11+1,1))-AVERAGE(OFFSET($H$3,0,0,'Données projet'!$E$11+1,1))</f>
        <v>207.93042467236967</v>
      </c>
      <c r="BJ61" s="59">
        <f t="shared" si="38"/>
        <v>250.70954318710835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1.5801200266156639</v>
      </c>
      <c r="BQ61" s="21">
        <f>EXP(-LN(2)/25)*BQ60+(1-EXP(-LN(2)/25))/(LN(2)/25)*Calculateur!BL61*Calculateur!BN61*VLOOKUP('Données projet'!$B$11,Paramètres!$A$1:$I$89,3,0)*0.475*44/12</f>
        <v>7.9600103528699044</v>
      </c>
      <c r="BR61" s="21">
        <f>EXP(-LN(2)/2)*BR60+(1-EXP(-LN(2)/2))/(LN(2)/2)*BL61*BO61*VLOOKUP('Données projet'!$B$11,Paramètres!$A$1:$I$89,3,0)*0.475*44/12</f>
        <v>1.2370730804665518E-3</v>
      </c>
      <c r="BS61" s="22">
        <f t="shared" si="9"/>
        <v>9.5413674525660337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281.39999999999998</v>
      </c>
      <c r="BZ61" s="13">
        <f>BY61*VLOOKUP('Données projet'!$B$12,Paramètres!$A$1:$I$89,3,0)*VLOOKUP('Données projet'!$B$12,Paramètres!$A$1:$I$89,5,0)</f>
        <v>272.17007999999998</v>
      </c>
      <c r="CA61" s="13">
        <f t="shared" si="39"/>
        <v>65.309600243828299</v>
      </c>
      <c r="CB61" s="20">
        <f t="shared" si="10"/>
        <v>587.77710975800085</v>
      </c>
      <c r="CC61" s="59">
        <f t="shared" si="11"/>
        <v>881.11044309133422</v>
      </c>
      <c r="CD61" s="59">
        <f ca="1">AVERAGE(OFFSET($CC$3,0,0,'Données projet'!$E$12+1,1))-AVERAGE(OFFSET($H$3,0,0,'Données projet'!$E$12+1,1))</f>
        <v>347.8889410585312</v>
      </c>
      <c r="CE61" s="59">
        <f t="shared" si="40"/>
        <v>254.78167322479203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1.4787538362289989</v>
      </c>
      <c r="CL61" s="21">
        <f>EXP(-LN(2)/25)*CL60+(1-EXP(-LN(2)/25))/(LN(2)/25)*Calculateur!CG61*Calculateur!CI61*VLOOKUP('Données projet'!$B$12,Paramètres!$A$1:$I$89,3,0)*0.475*44/12</f>
        <v>5.5491657732440967</v>
      </c>
      <c r="CM61" s="21">
        <f>EXP(-LN(2)/2)*CM60+(1-EXP(-LN(2)/2))/(LN(2)/2)*CG61*CJ61*VLOOKUP('Données projet'!$B$12,Paramètres!$A$1:$I$89,3,0)*0.475*44/12</f>
        <v>1.4062361934210502E-3</v>
      </c>
      <c r="CN61" s="22">
        <f t="shared" si="12"/>
        <v>7.0293258456665164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862.75536878254479</v>
      </c>
      <c r="S62" s="59">
        <f ca="1">AVERAGE(OFFSET($R$3,0,0,'Données projet'!$E$9+1,1))-AVERAGE(OFFSET($H$3,0,0,'Données projet'!$E$9+1,1))</f>
        <v>318.40875902853116</v>
      </c>
      <c r="T62" s="59">
        <f t="shared" si="34"/>
        <v>234.87694492493506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303.19999999999993</v>
      </c>
      <c r="AJ62" s="13">
        <f>AI62*VLOOKUP('Données projet'!$B$10,Paramètres!$A$1:$I$89,3,0)*VLOOKUP('Données projet'!$B$10,Paramètres!$A$1:$I$89,5,0)</f>
        <v>241.22591999999997</v>
      </c>
      <c r="AK62" s="13">
        <f t="shared" si="35"/>
        <v>58.703214877960853</v>
      </c>
      <c r="AL62" s="20">
        <f t="shared" si="4"/>
        <v>522.37657657911507</v>
      </c>
      <c r="AM62" s="59">
        <f t="shared" si="5"/>
        <v>815.70990991244844</v>
      </c>
      <c r="AN62" s="59">
        <f ca="1">AVERAGE(OFFSET($AM$3,0,0,'Données projet'!$E$10+1,1))-AVERAGE(OFFSET($H$3,0,0,'Données projet'!$E$10+1,1))</f>
        <v>260.20517190557814</v>
      </c>
      <c r="AO62" s="59">
        <f t="shared" si="36"/>
        <v>307.22009971147133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1.8373459690758345</v>
      </c>
      <c r="AV62" s="21">
        <f>EXP(-LN(2)/25)*AV61+(1-EXP(-LN(2)/25))/(LN(2)/25)*Calculateur!AQ62*Calculateur!AS62*VLOOKUP('Données projet'!$B$10,Paramètres!$A$1:$I$89,3,0)*0.475*44/12</f>
        <v>9.1827794420876252</v>
      </c>
      <c r="AW62" s="21">
        <f>EXP(-LN(2)/2)*AW61+(1-EXP(-LN(2)/2))/(LN(2)/2)*AQ62*AT62*VLOOKUP('Données projet'!$B$10,Paramètres!$A$1:$I$89,3,0)*0.475*44/12</f>
        <v>1.0374856038391337E-3</v>
      </c>
      <c r="AX62" s="21">
        <f t="shared" si="6"/>
        <v>11.021162896767299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203.38655999999997</v>
      </c>
      <c r="BF62" s="13">
        <f t="shared" si="37"/>
        <v>50.487702229824656</v>
      </c>
      <c r="BG62" s="20">
        <f t="shared" si="7"/>
        <v>442.16434005027787</v>
      </c>
      <c r="BH62" s="59">
        <f t="shared" si="8"/>
        <v>735.49767338361119</v>
      </c>
      <c r="BI62" s="59">
        <f ca="1">AVERAGE(OFFSET($BH$3,0,0,'Données projet'!$E$11+1,1))-AVERAGE(OFFSET($H$3,0,0,'Données projet'!$E$11+1,1))</f>
        <v>207.93042467236967</v>
      </c>
      <c r="BJ62" s="59">
        <f t="shared" si="38"/>
        <v>250.70954318710835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1.5491348366717816</v>
      </c>
      <c r="BQ62" s="21">
        <f>EXP(-LN(2)/25)*BQ61+(1-EXP(-LN(2)/25))/(LN(2)/25)*Calculateur!BL62*Calculateur!BN62*VLOOKUP('Données projet'!$B$11,Paramètres!$A$1:$I$89,3,0)*0.475*44/12</f>
        <v>7.7423434511719256</v>
      </c>
      <c r="BR62" s="21">
        <f>EXP(-LN(2)/2)*BR61+(1-EXP(-LN(2)/2))/(LN(2)/2)*BL62*BO62*VLOOKUP('Données projet'!$B$11,Paramètres!$A$1:$I$89,3,0)*0.475*44/12</f>
        <v>8.7474276402123036E-4</v>
      </c>
      <c r="BS62" s="22">
        <f t="shared" si="9"/>
        <v>9.2923530306077282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291.2</v>
      </c>
      <c r="BZ62" s="13">
        <f>BY62*VLOOKUP('Données projet'!$B$12,Paramètres!$A$1:$I$89,3,0)*VLOOKUP('Données projet'!$B$12,Paramètres!$A$1:$I$89,5,0)</f>
        <v>281.64864</v>
      </c>
      <c r="CA62" s="13">
        <f t="shared" si="39"/>
        <v>67.315294774697747</v>
      </c>
      <c r="CB62" s="20">
        <f t="shared" si="10"/>
        <v>607.77885306593191</v>
      </c>
      <c r="CC62" s="59">
        <f t="shared" si="11"/>
        <v>901.11218639926528</v>
      </c>
      <c r="CD62" s="59">
        <f ca="1">AVERAGE(OFFSET($CC$3,0,0,'Données projet'!$E$12+1,1))-AVERAGE(OFFSET($H$3,0,0,'Données projet'!$E$12+1,1))</f>
        <v>347.8889410585312</v>
      </c>
      <c r="CE62" s="59">
        <f t="shared" si="40"/>
        <v>254.78167322479203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1.4497563754513281</v>
      </c>
      <c r="CL62" s="21">
        <f>EXP(-LN(2)/25)*CL61+(1-EXP(-LN(2)/25))/(LN(2)/25)*Calculateur!CG62*Calculateur!CI62*VLOOKUP('Données projet'!$B$12,Paramètres!$A$1:$I$89,3,0)*0.475*44/12</f>
        <v>5.3974235433567914</v>
      </c>
      <c r="CM62" s="21">
        <f>EXP(-LN(2)/2)*CM61+(1-EXP(-LN(2)/2))/(LN(2)/2)*CG62*CJ62*VLOOKUP('Données projet'!$B$12,Paramètres!$A$1:$I$89,3,0)*0.475*44/12</f>
        <v>9.9435914831798203E-4</v>
      </c>
      <c r="CN62" s="22">
        <f t="shared" si="12"/>
        <v>6.8481742779564376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881.4792655213032</v>
      </c>
      <c r="S63" s="59">
        <f ca="1">AVERAGE(OFFSET($R$3,0,0,'Données projet'!$E$9+1,1))-AVERAGE(OFFSET($H$3,0,0,'Données projet'!$E$9+1,1))</f>
        <v>318.40875902853116</v>
      </c>
      <c r="T63" s="59">
        <f t="shared" si="34"/>
        <v>234.87694492493506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309.99999999999994</v>
      </c>
      <c r="AJ63" s="13">
        <f>AI63*VLOOKUP('Données projet'!$B$10,Paramètres!$A$1:$I$89,3,0)*VLOOKUP('Données projet'!$B$10,Paramètres!$A$1:$I$89,5,0)</f>
        <v>246.63599999999997</v>
      </c>
      <c r="AK63" s="13">
        <f t="shared" si="35"/>
        <v>59.865023903294535</v>
      </c>
      <c r="AL63" s="20">
        <f t="shared" si="4"/>
        <v>533.82261663157112</v>
      </c>
      <c r="AM63" s="59">
        <f t="shared" si="5"/>
        <v>827.15594996490449</v>
      </c>
      <c r="AN63" s="59">
        <f ca="1">AVERAGE(OFFSET($AM$3,0,0,'Données projet'!$E$10+1,1))-AVERAGE(OFFSET($H$3,0,0,'Données projet'!$E$10+1,1))</f>
        <v>260.20517190557814</v>
      </c>
      <c r="AO63" s="59">
        <f t="shared" si="36"/>
        <v>307.22009971147133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30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1.8013167352926416</v>
      </c>
      <c r="AV63" s="21">
        <f>EXP(-LN(2)/25)*AV62+(1-EXP(-LN(2)/25))/(LN(2)/25)*Calculateur!AQ63*Calculateur!AS63*VLOOKUP('Données projet'!$B$10,Paramètres!$A$1:$I$89,3,0)*0.475*44/12</f>
        <v>8.9316758553423554</v>
      </c>
      <c r="AW63" s="21">
        <f>EXP(-LN(2)/2)*AW62+(1-EXP(-LN(2)/2))/(LN(2)/2)*AQ63*AT63*VLOOKUP('Données projet'!$B$10,Paramètres!$A$1:$I$89,3,0)*0.475*44/12</f>
        <v>7.3361310585807148E-4</v>
      </c>
      <c r="AX63" s="21">
        <f t="shared" si="6"/>
        <v>10.733726203740854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207.94799999999998</v>
      </c>
      <c r="BF63" s="13">
        <f t="shared" si="37"/>
        <v>51.486916127068838</v>
      </c>
      <c r="BG63" s="20">
        <f t="shared" si="7"/>
        <v>451.84914558797823</v>
      </c>
      <c r="BH63" s="59">
        <f t="shared" si="8"/>
        <v>745.18247892131149</v>
      </c>
      <c r="BI63" s="59">
        <f ca="1">AVERAGE(OFFSET($BH$3,0,0,'Données projet'!$E$11+1,1))-AVERAGE(OFFSET($H$3,0,0,'Données projet'!$E$11+1,1))</f>
        <v>207.93042467236967</v>
      </c>
      <c r="BJ63" s="59">
        <f t="shared" si="38"/>
        <v>250.70954318710835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1.5187572474035993</v>
      </c>
      <c r="BQ63" s="21">
        <f>EXP(-LN(2)/25)*BQ62+(1-EXP(-LN(2)/25))/(LN(2)/25)*Calculateur!BL63*Calculateur!BN63*VLOOKUP('Données projet'!$B$11,Paramètres!$A$1:$I$89,3,0)*0.475*44/12</f>
        <v>7.5306286623474827</v>
      </c>
      <c r="BR63" s="21">
        <f>EXP(-LN(2)/2)*BR62+(1-EXP(-LN(2)/2))/(LN(2)/2)*BL63*BO63*VLOOKUP('Données projet'!$B$11,Paramètres!$A$1:$I$89,3,0)*0.475*44/12</f>
        <v>6.1853654023327591E-4</v>
      </c>
      <c r="BS63" s="22">
        <f t="shared" si="9"/>
        <v>9.0500044462913163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301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301</v>
      </c>
      <c r="BZ63" s="13">
        <f>BY63*VLOOKUP('Données projet'!$B$12,Paramètres!$A$1:$I$89,3,0)*VLOOKUP('Données projet'!$B$12,Paramètres!$A$1:$I$89,5,0)</f>
        <v>291.12720000000002</v>
      </c>
      <c r="CA63" s="13">
        <f t="shared" si="39"/>
        <v>69.313146187847352</v>
      </c>
      <c r="CB63" s="20">
        <f t="shared" si="10"/>
        <v>627.76693627716747</v>
      </c>
      <c r="CC63" s="59">
        <f t="shared" si="11"/>
        <v>921.10026961050085</v>
      </c>
      <c r="CD63" s="59">
        <f ca="1">AVERAGE(OFFSET($CC$3,0,0,'Données projet'!$E$12+1,1))-AVERAGE(OFFSET($H$3,0,0,'Données projet'!$E$12+1,1))</f>
        <v>347.8889410585312</v>
      </c>
      <c r="CE63" s="59">
        <f t="shared" si="40"/>
        <v>254.78167322479203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1.4213275371928027</v>
      </c>
      <c r="CL63" s="21">
        <f>EXP(-LN(2)/25)*CL62+(1-EXP(-LN(2)/25))/(LN(2)/25)*Calculateur!CG63*Calculateur!CI63*VLOOKUP('Données projet'!$B$12,Paramètres!$A$1:$I$89,3,0)*0.475*44/12</f>
        <v>5.2498307127255321</v>
      </c>
      <c r="CM63" s="21">
        <f>EXP(-LN(2)/2)*CM62+(1-EXP(-LN(2)/2))/(LN(2)/2)*CG63*CJ63*VLOOKUP('Données projet'!$B$12,Paramètres!$A$1:$I$89,3,0)*0.475*44/12</f>
        <v>7.0311809671052509E-4</v>
      </c>
      <c r="CN63" s="22">
        <f t="shared" si="12"/>
        <v>6.6718613680150458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790.60101923170544</v>
      </c>
      <c r="S64" s="59">
        <f ca="1">AVERAGE(OFFSET($R$3,0,0,'Données projet'!$E$9+1,1))-AVERAGE(OFFSET($H$3,0,0,'Données projet'!$E$9+1,1))</f>
        <v>318.40875902853116</v>
      </c>
      <c r="T64" s="59">
        <f t="shared" si="34"/>
        <v>234.87694492493506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4.9000000000000004</v>
      </c>
      <c r="AI64" s="13">
        <f>IF('Données projet'!$A$62&gt;35,AI63+AH64-AQ63,IF(A64&lt;'Données projet'!$A$62,$AF$205^A64,IF(A64='Données projet'!$A$62,'Données projet'!$B$62,AI63+AH64-AQ63)))</f>
        <v>284.89999999999992</v>
      </c>
      <c r="AJ64" s="13">
        <f>AI64*VLOOKUP('Données projet'!$B$10,Paramètres!$A$1:$I$89,3,0)*VLOOKUP('Données projet'!$B$10,Paramètres!$A$1:$I$89,5,0)</f>
        <v>226.66643999999994</v>
      </c>
      <c r="AK64" s="13">
        <f t="shared" si="35"/>
        <v>55.561276600641385</v>
      </c>
      <c r="AL64" s="20">
        <f t="shared" si="4"/>
        <v>491.5466064127836</v>
      </c>
      <c r="AM64" s="59">
        <f t="shared" si="5"/>
        <v>784.87993974611686</v>
      </c>
      <c r="AN64" s="59">
        <f ca="1">AVERAGE(OFFSET($AM$3,0,0,'Données projet'!$E$10+1,1))-AVERAGE(OFFSET($H$3,0,0,'Données projet'!$E$10+1,1))</f>
        <v>260.20517190557814</v>
      </c>
      <c r="AO64" s="59">
        <f t="shared" si="36"/>
        <v>307.22009971147133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1.7659940128082743</v>
      </c>
      <c r="AV64" s="21">
        <f>EXP(-LN(2)/25)*AV63+(1-EXP(-LN(2)/25))/(LN(2)/25)*Calculateur!AQ64*Calculateur!AS64*VLOOKUP('Données projet'!$B$10,Paramètres!$A$1:$I$89,3,0)*0.475*44/12</f>
        <v>8.687438709381599</v>
      </c>
      <c r="AW64" s="21">
        <f>EXP(-LN(2)/2)*AW63+(1-EXP(-LN(2)/2))/(LN(2)/2)*AQ64*AT64*VLOOKUP('Données projet'!$B$10,Paramètres!$A$1:$I$89,3,0)*0.475*44/12</f>
        <v>5.1874280191956687E-4</v>
      </c>
      <c r="AX64" s="21">
        <f t="shared" si="6"/>
        <v>10.453951464991793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191.11091999999994</v>
      </c>
      <c r="BF64" s="13">
        <f t="shared" si="37"/>
        <v>47.785478092704217</v>
      </c>
      <c r="BG64" s="20">
        <f t="shared" si="7"/>
        <v>416.07789334479304</v>
      </c>
      <c r="BH64" s="59">
        <f t="shared" si="8"/>
        <v>709.41122667812635</v>
      </c>
      <c r="BI64" s="59">
        <f ca="1">AVERAGE(OFFSET($BH$3,0,0,'Données projet'!$E$11+1,1))-AVERAGE(OFFSET($H$3,0,0,'Données projet'!$E$11+1,1))</f>
        <v>207.93042467236967</v>
      </c>
      <c r="BJ64" s="59">
        <f t="shared" si="38"/>
        <v>250.70954318710835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1.488975344132466</v>
      </c>
      <c r="BQ64" s="21">
        <f>EXP(-LN(2)/25)*BQ63+(1-EXP(-LN(2)/25))/(LN(2)/25)*Calculateur!BL64*Calculateur!BN64*VLOOKUP('Données projet'!$B$11,Paramètres!$A$1:$I$89,3,0)*0.475*44/12</f>
        <v>7.324703225557041</v>
      </c>
      <c r="BR64" s="21">
        <f>EXP(-LN(2)/2)*BR63+(1-EXP(-LN(2)/2))/(LN(2)/2)*BL64*BO64*VLOOKUP('Données projet'!$B$11,Paramètres!$A$1:$I$89,3,0)*0.475*44/12</f>
        <v>4.3737138201061518E-4</v>
      </c>
      <c r="BS64" s="22">
        <f t="shared" si="9"/>
        <v>8.8141159410715186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253.5</v>
      </c>
      <c r="BZ64" s="13">
        <f>BY64*VLOOKUP('Données projet'!$B$12,Paramètres!$A$1:$I$89,3,0)*VLOOKUP('Données projet'!$B$12,Paramètres!$A$1:$I$89,5,0)</f>
        <v>245.18519999999998</v>
      </c>
      <c r="CA64" s="13">
        <f t="shared" si="39"/>
        <v>59.553759878357077</v>
      </c>
      <c r="CB64" s="20">
        <f t="shared" si="10"/>
        <v>530.75368845480523</v>
      </c>
      <c r="CC64" s="59">
        <f t="shared" si="11"/>
        <v>824.0870217881386</v>
      </c>
      <c r="CD64" s="59">
        <f ca="1">AVERAGE(OFFSET($CC$3,0,0,'Données projet'!$E$12+1,1))-AVERAGE(OFFSET($H$3,0,0,'Données projet'!$E$12+1,1))</f>
        <v>347.8889410585312</v>
      </c>
      <c r="CE64" s="59">
        <f t="shared" si="40"/>
        <v>254.78167322479203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1.3934561711126479</v>
      </c>
      <c r="CL64" s="21">
        <f>EXP(-LN(2)/25)*CL63+(1-EXP(-LN(2)/25))/(LN(2)/25)*Calculateur!CG64*Calculateur!CI64*VLOOKUP('Données projet'!$B$12,Paramètres!$A$1:$I$89,3,0)*0.475*44/12</f>
        <v>5.1062738158094536</v>
      </c>
      <c r="CM64" s="21">
        <f>EXP(-LN(2)/2)*CM63+(1-EXP(-LN(2)/2))/(LN(2)/2)*CG64*CJ64*VLOOKUP('Données projet'!$B$12,Paramètres!$A$1:$I$89,3,0)*0.475*44/12</f>
        <v>4.9717957415899101E-4</v>
      </c>
      <c r="CN64" s="22">
        <f t="shared" si="12"/>
        <v>6.500227166496261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806.8874453703927</v>
      </c>
      <c r="S65" s="59">
        <f ca="1">AVERAGE(OFFSET($R$3,0,0,'Données projet'!$E$9+1,1))-AVERAGE(OFFSET($H$3,0,0,'Données projet'!$E$9+1,1))</f>
        <v>318.40875902853116</v>
      </c>
      <c r="T65" s="59">
        <f t="shared" si="34"/>
        <v>234.87694492493506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4.9000000000000004</v>
      </c>
      <c r="AI65" s="13">
        <f>IF('Données projet'!$A$62&gt;35,AI64+AH65-AQ64,IF(A65&lt;'Données projet'!$A$62,$AF$205^A65,IF(A65='Données projet'!$A$62,'Données projet'!$B$62,AI64+AH65-AQ64)))</f>
        <v>289.7999999999999</v>
      </c>
      <c r="AJ65" s="13">
        <f>AI65*VLOOKUP('Données projet'!$B$10,Paramètres!$A$1:$I$89,3,0)*VLOOKUP('Données projet'!$B$10,Paramètres!$A$1:$I$89,5,0)</f>
        <v>230.56487999999993</v>
      </c>
      <c r="AK65" s="13">
        <f t="shared" si="35"/>
        <v>56.404804351341944</v>
      </c>
      <c r="AL65" s="20">
        <f t="shared" si="4"/>
        <v>499.80553357858707</v>
      </c>
      <c r="AM65" s="59">
        <f t="shared" si="5"/>
        <v>793.13886691192033</v>
      </c>
      <c r="AN65" s="59">
        <f ca="1">AVERAGE(OFFSET($AM$3,0,0,'Données projet'!$E$10+1,1))-AVERAGE(OFFSET($H$3,0,0,'Données projet'!$E$10+1,1))</f>
        <v>260.20517190557814</v>
      </c>
      <c r="AO65" s="59">
        <f t="shared" si="36"/>
        <v>307.22009971147133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1.7313639473670921</v>
      </c>
      <c r="AV65" s="21">
        <f>EXP(-LN(2)/25)*AV64+(1-EXP(-LN(2)/25))/(LN(2)/25)*Calculateur!AQ65*Calculateur!AS65*VLOOKUP('Données projet'!$B$10,Paramètres!$A$1:$I$89,3,0)*0.475*44/12</f>
        <v>8.4498802410210132</v>
      </c>
      <c r="AW65" s="21">
        <f>EXP(-LN(2)/2)*AW64+(1-EXP(-LN(2)/2))/(LN(2)/2)*AQ65*AT65*VLOOKUP('Données projet'!$B$10,Paramètres!$A$1:$I$89,3,0)*0.475*44/12</f>
        <v>3.6680655292903574E-4</v>
      </c>
      <c r="AX65" s="21">
        <f t="shared" si="6"/>
        <v>10.181610994941034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194.39783999999992</v>
      </c>
      <c r="BF65" s="13">
        <f t="shared" si="37"/>
        <v>48.510954167370699</v>
      </c>
      <c r="BG65" s="20">
        <f t="shared" si="7"/>
        <v>423.06614984150383</v>
      </c>
      <c r="BH65" s="59">
        <f t="shared" si="8"/>
        <v>716.39948317483709</v>
      </c>
      <c r="BI65" s="59">
        <f ca="1">AVERAGE(OFFSET($BH$3,0,0,'Données projet'!$E$11+1,1))-AVERAGE(OFFSET($H$3,0,0,'Données projet'!$E$11+1,1))</f>
        <v>207.93042467236967</v>
      </c>
      <c r="BJ65" s="59">
        <f t="shared" si="38"/>
        <v>250.70954318710835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1.4597774458193125</v>
      </c>
      <c r="BQ65" s="21">
        <f>EXP(-LN(2)/25)*BQ64+(1-EXP(-LN(2)/25))/(LN(2)/25)*Calculateur!BL65*Calculateur!BN65*VLOOKUP('Données projet'!$B$11,Paramètres!$A$1:$I$89,3,0)*0.475*44/12</f>
        <v>7.1244088306647821</v>
      </c>
      <c r="BR65" s="21">
        <f>EXP(-LN(2)/2)*BR64+(1-EXP(-LN(2)/2))/(LN(2)/2)*BL65*BO65*VLOOKUP('Données projet'!$B$11,Paramètres!$A$1:$I$89,3,0)*0.475*44/12</f>
        <v>3.0926827011663795E-4</v>
      </c>
      <c r="BS65" s="22">
        <f t="shared" si="9"/>
        <v>8.5844955447542119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262</v>
      </c>
      <c r="BZ65" s="13">
        <f>BY65*VLOOKUP('Données projet'!$B$12,Paramètres!$A$1:$I$89,3,0)*VLOOKUP('Données projet'!$B$12,Paramètres!$A$1:$I$89,5,0)</f>
        <v>253.40640000000002</v>
      </c>
      <c r="CA65" s="13">
        <f t="shared" si="39"/>
        <v>61.314794611201144</v>
      </c>
      <c r="CB65" s="20">
        <f t="shared" si="10"/>
        <v>548.13941394784206</v>
      </c>
      <c r="CC65" s="59">
        <f t="shared" si="11"/>
        <v>841.47274728117532</v>
      </c>
      <c r="CD65" s="59">
        <f ca="1">AVERAGE(OFFSET($CC$3,0,0,'Données projet'!$E$12+1,1))-AVERAGE(OFFSET($H$3,0,0,'Données projet'!$E$12+1,1))</f>
        <v>347.8889410585312</v>
      </c>
      <c r="CE65" s="59">
        <f t="shared" si="40"/>
        <v>254.78167322479203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1.3661313455214701</v>
      </c>
      <c r="CL65" s="21">
        <f>EXP(-LN(2)/25)*CL64+(1-EXP(-LN(2)/25))/(LN(2)/25)*Calculateur!CG65*Calculateur!CI65*VLOOKUP('Données projet'!$B$12,Paramètres!$A$1:$I$89,3,0)*0.475*44/12</f>
        <v>4.9666424897888746</v>
      </c>
      <c r="CM65" s="21">
        <f>EXP(-LN(2)/2)*CM64+(1-EXP(-LN(2)/2))/(LN(2)/2)*CG65*CJ65*VLOOKUP('Données projet'!$B$12,Paramètres!$A$1:$I$89,3,0)*0.475*44/12</f>
        <v>3.5155904835526254E-4</v>
      </c>
      <c r="CN65" s="22">
        <f t="shared" si="12"/>
        <v>6.3331253943587003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823.16297036734159</v>
      </c>
      <c r="S66" s="59">
        <f ca="1">AVERAGE(OFFSET($R$3,0,0,'Données projet'!$E$9+1,1))-AVERAGE(OFFSET($H$3,0,0,'Données projet'!$E$9+1,1))</f>
        <v>318.40875902853116</v>
      </c>
      <c r="T66" s="59">
        <f t="shared" si="34"/>
        <v>234.87694492493506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4.9000000000000004</v>
      </c>
      <c r="AI66" s="13">
        <f>IF('Données projet'!$A$62&gt;35,AI65+AH66-AQ65,IF(A66&lt;'Données projet'!$A$62,$AF$205^A66,IF(A66='Données projet'!$A$62,'Données projet'!$B$62,AI65+AH66-AQ65)))</f>
        <v>294.69999999999987</v>
      </c>
      <c r="AJ66" s="13">
        <f>AI66*VLOOKUP('Données projet'!$B$10,Paramètres!$A$1:$I$89,3,0)*VLOOKUP('Données projet'!$B$10,Paramètres!$A$1:$I$89,5,0)</f>
        <v>234.46331999999992</v>
      </c>
      <c r="AK66" s="13">
        <f t="shared" si="35"/>
        <v>57.24667349069928</v>
      </c>
      <c r="AL66" s="20">
        <f t="shared" si="4"/>
        <v>508.06157199630115</v>
      </c>
      <c r="AM66" s="59">
        <f t="shared" si="5"/>
        <v>801.39490532963441</v>
      </c>
      <c r="AN66" s="59">
        <f ca="1">AVERAGE(OFFSET($AM$3,0,0,'Données projet'!$E$10+1,1))-AVERAGE(OFFSET($H$3,0,0,'Données projet'!$E$10+1,1))</f>
        <v>260.20517190557814</v>
      </c>
      <c r="AO66" s="59">
        <f t="shared" si="36"/>
        <v>307.22009971147133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1.6974129563869573</v>
      </c>
      <c r="AV66" s="21">
        <f>EXP(-LN(2)/25)*AV65+(1-EXP(-LN(2)/25))/(LN(2)/25)*Calculateur!AQ66*Calculateur!AS66*VLOOKUP('Données projet'!$B$10,Paramètres!$A$1:$I$89,3,0)*0.475*44/12</f>
        <v>8.2188178214704042</v>
      </c>
      <c r="AW66" s="21">
        <f>EXP(-LN(2)/2)*AW65+(1-EXP(-LN(2)/2))/(LN(2)/2)*AQ66*AT66*VLOOKUP('Données projet'!$B$10,Paramètres!$A$1:$I$89,3,0)*0.475*44/12</f>
        <v>2.5937140095978344E-4</v>
      </c>
      <c r="AX66" s="21">
        <f t="shared" si="6"/>
        <v>9.9164901492583208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197.68475999999993</v>
      </c>
      <c r="BF66" s="13">
        <f t="shared" si="37"/>
        <v>49.235003753287103</v>
      </c>
      <c r="BG66" s="20">
        <f t="shared" si="7"/>
        <v>430.05192187030821</v>
      </c>
      <c r="BH66" s="59">
        <f t="shared" si="8"/>
        <v>723.38525520364146</v>
      </c>
      <c r="BI66" s="59">
        <f ca="1">AVERAGE(OFFSET($BH$3,0,0,'Données projet'!$E$11+1,1))-AVERAGE(OFFSET($H$3,0,0,'Données projet'!$E$11+1,1))</f>
        <v>207.93042467236967</v>
      </c>
      <c r="BJ66" s="59">
        <f t="shared" si="38"/>
        <v>250.70954318710835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1.4311521004831202</v>
      </c>
      <c r="BQ66" s="21">
        <f>EXP(-LN(2)/25)*BQ65+(1-EXP(-LN(2)/25))/(LN(2)/25)*Calculateur!BL66*Calculateur!BN66*VLOOKUP('Données projet'!$B$11,Paramètres!$A$1:$I$89,3,0)*0.475*44/12</f>
        <v>6.9295914965338765</v>
      </c>
      <c r="BR66" s="21">
        <f>EXP(-LN(2)/2)*BR65+(1-EXP(-LN(2)/2))/(LN(2)/2)*BL66*BO66*VLOOKUP('Données projet'!$B$11,Paramètres!$A$1:$I$89,3,0)*0.475*44/12</f>
        <v>2.1868569100530759E-4</v>
      </c>
      <c r="BS66" s="22">
        <f t="shared" si="9"/>
        <v>8.3609622827080017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270.5</v>
      </c>
      <c r="BZ66" s="13">
        <f>BY66*VLOOKUP('Données projet'!$B$12,Paramètres!$A$1:$I$89,3,0)*VLOOKUP('Données projet'!$B$12,Paramètres!$A$1:$I$89,5,0)</f>
        <v>261.62760000000003</v>
      </c>
      <c r="CA66" s="13">
        <f t="shared" si="39"/>
        <v>63.06919039602851</v>
      </c>
      <c r="CB66" s="20">
        <f t="shared" si="10"/>
        <v>565.51357660641634</v>
      </c>
      <c r="CC66" s="59">
        <f t="shared" si="11"/>
        <v>858.84690993974959</v>
      </c>
      <c r="CD66" s="59">
        <f ca="1">AVERAGE(OFFSET($CC$3,0,0,'Données projet'!$E$12+1,1))-AVERAGE(OFFSET($H$3,0,0,'Données projet'!$E$12+1,1))</f>
        <v>347.8889410585312</v>
      </c>
      <c r="CE66" s="59">
        <f t="shared" si="40"/>
        <v>254.78167322479203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1.3393423430936375</v>
      </c>
      <c r="CL66" s="21">
        <f>EXP(-LN(2)/25)*CL65+(1-EXP(-LN(2)/25))/(LN(2)/25)*Calculateur!CG66*Calculateur!CI66*VLOOKUP('Données projet'!$B$12,Paramètres!$A$1:$I$89,3,0)*0.475*44/12</f>
        <v>4.8308293897212211</v>
      </c>
      <c r="CM66" s="21">
        <f>EXP(-LN(2)/2)*CM65+(1-EXP(-LN(2)/2))/(LN(2)/2)*CG66*CJ66*VLOOKUP('Données projet'!$B$12,Paramètres!$A$1:$I$89,3,0)*0.475*44/12</f>
        <v>2.4858978707949551E-4</v>
      </c>
      <c r="CN66" s="22">
        <f t="shared" si="12"/>
        <v>6.1704203226019381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839.42797607406897</v>
      </c>
      <c r="S67" s="59">
        <f ca="1">AVERAGE(OFFSET($R$3,0,0,'Données projet'!$E$9+1,1))-AVERAGE(OFFSET($H$3,0,0,'Données projet'!$E$9+1,1))</f>
        <v>318.40875902853116</v>
      </c>
      <c r="T67" s="59">
        <f t="shared" si="34"/>
        <v>234.87694492493506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4.9000000000000004</v>
      </c>
      <c r="AI67" s="13">
        <f>IF('Données projet'!$A$62&gt;35,AI66+AH67-AQ66,IF(A67&lt;'Données projet'!$A$62,$AF$205^A67,IF(A67='Données projet'!$A$62,'Données projet'!$B$62,AI66+AH67-AQ66)))</f>
        <v>299.59999999999985</v>
      </c>
      <c r="AJ67" s="13">
        <f>AI67*VLOOKUP('Données projet'!$B$10,Paramètres!$A$1:$I$89,3,0)*VLOOKUP('Données projet'!$B$10,Paramètres!$A$1:$I$89,5,0)</f>
        <v>238.36175999999992</v>
      </c>
      <c r="AK67" s="13">
        <f t="shared" si="35"/>
        <v>58.086914779719031</v>
      </c>
      <c r="AL67" s="20">
        <f t="shared" si="4"/>
        <v>516.3147752413438</v>
      </c>
      <c r="AM67" s="59">
        <f t="shared" si="5"/>
        <v>809.64810857467705</v>
      </c>
      <c r="AN67" s="59">
        <f ca="1">AVERAGE(OFFSET($AM$3,0,0,'Données projet'!$E$10+1,1))-AVERAGE(OFFSET($H$3,0,0,'Données projet'!$E$10+1,1))</f>
        <v>260.20517190557814</v>
      </c>
      <c r="AO67" s="59">
        <f t="shared" si="36"/>
        <v>307.22009971147133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1.6641277236318832</v>
      </c>
      <c r="AV67" s="21">
        <f>EXP(-LN(2)/25)*AV66+(1-EXP(-LN(2)/25))/(LN(2)/25)*Calculateur!AQ67*Calculateur!AS67*VLOOKUP('Données projet'!$B$10,Paramètres!$A$1:$I$89,3,0)*0.475*44/12</f>
        <v>7.9940738159334508</v>
      </c>
      <c r="AW67" s="21">
        <f>EXP(-LN(2)/2)*AW66+(1-EXP(-LN(2)/2))/(LN(2)/2)*AQ67*AT67*VLOOKUP('Données projet'!$B$10,Paramètres!$A$1:$I$89,3,0)*0.475*44/12</f>
        <v>1.8340327646451787E-4</v>
      </c>
      <c r="AX67" s="21">
        <f t="shared" si="6"/>
        <v>9.6583849428417992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200.97167999999994</v>
      </c>
      <c r="BF67" s="13">
        <f t="shared" si="37"/>
        <v>49.957653306457651</v>
      </c>
      <c r="BG67" s="20">
        <f t="shared" si="7"/>
        <v>437.03525550874696</v>
      </c>
      <c r="BH67" s="59">
        <f t="shared" si="8"/>
        <v>730.36858884208027</v>
      </c>
      <c r="BI67" s="59">
        <f ca="1">AVERAGE(OFFSET($BH$3,0,0,'Données projet'!$E$11+1,1))-AVERAGE(OFFSET($H$3,0,0,'Données projet'!$E$11+1,1))</f>
        <v>207.93042467236967</v>
      </c>
      <c r="BJ67" s="59">
        <f t="shared" si="38"/>
        <v>250.70954318710835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1.4030880807092343</v>
      </c>
      <c r="BQ67" s="21">
        <f>EXP(-LN(2)/25)*BQ66+(1-EXP(-LN(2)/25))/(LN(2)/25)*Calculateur!BL67*Calculateur!BN67*VLOOKUP('Données projet'!$B$11,Paramètres!$A$1:$I$89,3,0)*0.475*44/12</f>
        <v>6.7401014526497782</v>
      </c>
      <c r="BR67" s="21">
        <f>EXP(-LN(2)/2)*BR66+(1-EXP(-LN(2)/2))/(LN(2)/2)*BL67*BO67*VLOOKUP('Données projet'!$B$11,Paramètres!$A$1:$I$89,3,0)*0.475*44/12</f>
        <v>1.5463413505831898E-4</v>
      </c>
      <c r="BS67" s="22">
        <f t="shared" si="9"/>
        <v>8.143344167494071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279</v>
      </c>
      <c r="BZ67" s="13">
        <f>BY67*VLOOKUP('Données projet'!$B$12,Paramètres!$A$1:$I$89,3,0)*VLOOKUP('Données projet'!$B$12,Paramètres!$A$1:$I$89,5,0)</f>
        <v>269.84879999999998</v>
      </c>
      <c r="CA67" s="13">
        <f t="shared" si="39"/>
        <v>64.817179785761795</v>
      </c>
      <c r="CB67" s="20">
        <f t="shared" si="10"/>
        <v>582.87658146020169</v>
      </c>
      <c r="CC67" s="59">
        <f t="shared" si="11"/>
        <v>876.20991479353506</v>
      </c>
      <c r="CD67" s="59">
        <f ca="1">AVERAGE(OFFSET($CC$3,0,0,'Données projet'!$E$12+1,1))-AVERAGE(OFFSET($H$3,0,0,'Données projet'!$E$12+1,1))</f>
        <v>347.8889410585312</v>
      </c>
      <c r="CE67" s="59">
        <f t="shared" si="40"/>
        <v>254.78167322479203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1.3130786566637367</v>
      </c>
      <c r="CL67" s="21">
        <f>EXP(-LN(2)/25)*CL66+(1-EXP(-LN(2)/25))/(LN(2)/25)*Calculateur!CG67*Calculateur!CI67*VLOOKUP('Données projet'!$B$12,Paramètres!$A$1:$I$89,3,0)*0.475*44/12</f>
        <v>4.6987301060170177</v>
      </c>
      <c r="CM67" s="21">
        <f>EXP(-LN(2)/2)*CM66+(1-EXP(-LN(2)/2))/(LN(2)/2)*CG67*CJ67*VLOOKUP('Données projet'!$B$12,Paramètres!$A$1:$I$89,3,0)*0.475*44/12</f>
        <v>1.7577952417763127E-4</v>
      </c>
      <c r="CN67" s="22">
        <f t="shared" si="12"/>
        <v>6.0119845422049316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855.68281975308992</v>
      </c>
      <c r="S68" s="59">
        <f ca="1">AVERAGE(OFFSET($R$3,0,0,'Données projet'!$E$9+1,1))-AVERAGE(OFFSET($H$3,0,0,'Données projet'!$E$9+1,1))</f>
        <v>318.40875902853116</v>
      </c>
      <c r="T68" s="59">
        <f t="shared" si="34"/>
        <v>234.87694492493506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4.9000000000000004</v>
      </c>
      <c r="AI68" s="13">
        <f>IF('Données projet'!$A$62&gt;35,AI67+AH68-AQ67,IF(A68&lt;'Données projet'!$A$62,$AF$205^A68,IF(A68='Données projet'!$A$62,'Données projet'!$B$62,AI67+AH68-AQ67)))</f>
        <v>304.49999999999983</v>
      </c>
      <c r="AJ68" s="13">
        <f>AI68*VLOOKUP('Données projet'!$B$10,Paramètres!$A$1:$I$89,3,0)*VLOOKUP('Données projet'!$B$10,Paramètres!$A$1:$I$89,5,0)</f>
        <v>242.26019999999986</v>
      </c>
      <c r="AK68" s="13">
        <f t="shared" si="35"/>
        <v>58.925557915516166</v>
      </c>
      <c r="AL68" s="20">
        <f t="shared" ref="AL68:AL131" si="58">(AJ68+AK68)*0.475*44/12</f>
        <v>524.5651950361904</v>
      </c>
      <c r="AM68" s="59">
        <f t="shared" ref="AM68:AM131" si="59">AL68+(AD68+AE68)*44/12</f>
        <v>817.89852836952377</v>
      </c>
      <c r="AN68" s="59">
        <f ca="1">AVERAGE(OFFSET($AM$3,0,0,'Données projet'!$E$10+1,1))-AVERAGE(OFFSET($H$3,0,0,'Données projet'!$E$10+1,1))</f>
        <v>260.20517190557814</v>
      </c>
      <c r="AO68" s="59">
        <f t="shared" si="36"/>
        <v>307.22009971147133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1.6314951939891487</v>
      </c>
      <c r="AV68" s="21">
        <f>EXP(-LN(2)/25)*AV67+(1-EXP(-LN(2)/25))/(LN(2)/25)*Calculateur!AQ68*Calculateur!AS68*VLOOKUP('Données projet'!$B$10,Paramètres!$A$1:$I$89,3,0)*0.475*44/12</f>
        <v>7.7754754470466789</v>
      </c>
      <c r="AW68" s="21">
        <f>EXP(-LN(2)/2)*AW67+(1-EXP(-LN(2)/2))/(LN(2)/2)*AQ68*AT68*VLOOKUP('Données projet'!$B$10,Paramètres!$A$1:$I$89,3,0)*0.475*44/12</f>
        <v>1.2968570047989172E-4</v>
      </c>
      <c r="AX68" s="21">
        <f t="shared" ref="AX68:AX131" si="60">SUM(AU68:AW68)</f>
        <v>9.4071003267363089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204.25859999999989</v>
      </c>
      <c r="BF68" s="13">
        <f t="shared" si="37"/>
        <v>50.678928367887181</v>
      </c>
      <c r="BG68" s="20">
        <f t="shared" ref="BG68:BG131" si="61">(BE68+BF68)*0.475*44/12</f>
        <v>444.01619524073664</v>
      </c>
      <c r="BH68" s="59">
        <f t="shared" ref="BH68:BH131" si="62">BG68+(AY68+AZ68)*44/12</f>
        <v>737.34952857406995</v>
      </c>
      <c r="BI68" s="59">
        <f ca="1">AVERAGE(OFFSET($BH$3,0,0,'Données projet'!$E$11+1,1))-AVERAGE(OFFSET($H$3,0,0,'Données projet'!$E$11+1,1))</f>
        <v>207.93042467236967</v>
      </c>
      <c r="BJ68" s="59">
        <f t="shared" si="38"/>
        <v>250.70954318710835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1.3755743792457522</v>
      </c>
      <c r="BQ68" s="21">
        <f>EXP(-LN(2)/25)*BQ67+(1-EXP(-LN(2)/25))/(LN(2)/25)*Calculateur!BL68*Calculateur!BN68*VLOOKUP('Données projet'!$B$11,Paramètres!$A$1:$I$89,3,0)*0.475*44/12</f>
        <v>6.5557930239805398</v>
      </c>
      <c r="BR68" s="21">
        <f>EXP(-LN(2)/2)*BR67+(1-EXP(-LN(2)/2))/(LN(2)/2)*BL68*BO68*VLOOKUP('Données projet'!$B$11,Paramètres!$A$1:$I$89,3,0)*0.475*44/12</f>
        <v>1.093428455026538E-4</v>
      </c>
      <c r="BS68" s="22">
        <f t="shared" ref="BS68:BS131" si="63">SUM(BP68:BR68)</f>
        <v>7.9314767460717945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287.5</v>
      </c>
      <c r="BZ68" s="13">
        <f>BY68*VLOOKUP('Données projet'!$B$12,Paramètres!$A$1:$I$89,3,0)*VLOOKUP('Données projet'!$B$12,Paramètres!$A$1:$I$89,5,0)</f>
        <v>278.07</v>
      </c>
      <c r="CA68" s="13">
        <f t="shared" si="39"/>
        <v>66.558980358276997</v>
      </c>
      <c r="CB68" s="20">
        <f t="shared" ref="CB68:CB131" si="64">(BZ68+CA68)*0.475*44/12</f>
        <v>600.22880745733244</v>
      </c>
      <c r="CC68" s="59">
        <f t="shared" ref="CC68:CC131" si="65">CB68+(BT68+BU68)*44/12</f>
        <v>893.56214079066581</v>
      </c>
      <c r="CD68" s="59">
        <f ca="1">AVERAGE(OFFSET($CC$3,0,0,'Données projet'!$E$12+1,1))-AVERAGE(OFFSET($H$3,0,0,'Données projet'!$E$12+1,1))</f>
        <v>347.8889410585312</v>
      </c>
      <c r="CE68" s="59">
        <f t="shared" si="40"/>
        <v>254.78167322479203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1.2873299851054592</v>
      </c>
      <c r="CL68" s="21">
        <f>EXP(-LN(2)/25)*CL67+(1-EXP(-LN(2)/25))/(LN(2)/25)*Calculateur!CG68*Calculateur!CI68*VLOOKUP('Données projet'!$B$12,Paramètres!$A$1:$I$89,3,0)*0.475*44/12</f>
        <v>4.570243084172505</v>
      </c>
      <c r="CM68" s="21">
        <f>EXP(-LN(2)/2)*CM67+(1-EXP(-LN(2)/2))/(LN(2)/2)*CG68*CJ68*VLOOKUP('Données projet'!$B$12,Paramètres!$A$1:$I$89,3,0)*0.475*44/12</f>
        <v>1.2429489353974775E-4</v>
      </c>
      <c r="CN68" s="22">
        <f t="shared" ref="CN68:CN131" si="66">SUM(CK68:CM68)</f>
        <v>5.8576973641715036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871.92783634092098</v>
      </c>
      <c r="S69" s="59">
        <f ca="1">AVERAGE(OFFSET($R$3,0,0,'Données projet'!$E$9+1,1))-AVERAGE(OFFSET($H$3,0,0,'Données projet'!$E$9+1,1))</f>
        <v>318.40875902853116</v>
      </c>
      <c r="T69" s="59">
        <f t="shared" ref="T69:T132" si="88">$T$3</f>
        <v>234.87694492493506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4.9000000000000004</v>
      </c>
      <c r="AI69" s="13">
        <f>IF('Données projet'!$A$62&gt;35,AI68+AH69-AQ68,IF(A69&lt;'Données projet'!$A$62,$AF$205^A69,IF(A69='Données projet'!$A$62,'Données projet'!$B$62,AI68+AH69-AQ68)))</f>
        <v>309.39999999999981</v>
      </c>
      <c r="AJ69" s="13">
        <f>AI69*VLOOKUP('Données projet'!$B$10,Paramètres!$A$1:$I$89,3,0)*VLOOKUP('Données projet'!$B$10,Paramètres!$A$1:$I$89,5,0)</f>
        <v>246.15863999999985</v>
      </c>
      <c r="AK69" s="13">
        <f t="shared" ref="AK69:AK132" si="89">EXP(-1.0587+0.8836*LN(AJ69)+0.284)</f>
        <v>59.762631584626781</v>
      </c>
      <c r="AL69" s="20">
        <f t="shared" si="58"/>
        <v>532.8128813432246</v>
      </c>
      <c r="AM69" s="59">
        <f t="shared" si="59"/>
        <v>826.14621467655797</v>
      </c>
      <c r="AN69" s="59">
        <f ca="1">AVERAGE(OFFSET($AM$3,0,0,'Données projet'!$E$10+1,1))-AVERAGE(OFFSET($H$3,0,0,'Données projet'!$E$10+1,1))</f>
        <v>260.20517190557814</v>
      </c>
      <c r="AO69" s="59">
        <f t="shared" ref="AO69:AO132" si="90">$AO$3</f>
        <v>307.22009971147133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1.5995025683488304</v>
      </c>
      <c r="AV69" s="21">
        <f>EXP(-LN(2)/25)*AV68+(1-EXP(-LN(2)/25))/(LN(2)/25)*Calculateur!AQ69*Calculateur!AS69*VLOOKUP('Données projet'!$B$10,Paramètres!$A$1:$I$89,3,0)*0.475*44/12</f>
        <v>7.5628546620527048</v>
      </c>
      <c r="AW69" s="21">
        <f>EXP(-LN(2)/2)*AW68+(1-EXP(-LN(2)/2))/(LN(2)/2)*AQ69*AT69*VLOOKUP('Données projet'!$B$10,Paramètres!$A$1:$I$89,3,0)*0.475*44/12</f>
        <v>9.1701638232258935E-5</v>
      </c>
      <c r="AX69" s="21">
        <f t="shared" si="60"/>
        <v>9.1624489320397693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207.54551999999987</v>
      </c>
      <c r="BF69" s="13">
        <f t="shared" ref="BF69:BF132" si="91">EXP(-1.0587+0.8836*LN(BE69)+0.284)</f>
        <v>51.398853609432223</v>
      </c>
      <c r="BG69" s="20">
        <f t="shared" si="61"/>
        <v>450.99478403642752</v>
      </c>
      <c r="BH69" s="59">
        <f t="shared" si="62"/>
        <v>744.32811736976078</v>
      </c>
      <c r="BI69" s="59">
        <f ca="1">AVERAGE(OFFSET($BH$3,0,0,'Données projet'!$E$11+1,1))-AVERAGE(OFFSET($H$3,0,0,'Données projet'!$E$11+1,1))</f>
        <v>207.93042467236967</v>
      </c>
      <c r="BJ69" s="59">
        <f t="shared" ref="BJ69:BJ132" si="92">$BJ$3</f>
        <v>250.70954318710835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1.3486002046862682</v>
      </c>
      <c r="BQ69" s="21">
        <f>EXP(-LN(2)/25)*BQ68+(1-EXP(-LN(2)/25))/(LN(2)/25)*Calculateur!BL69*Calculateur!BN69*VLOOKUP('Données projet'!$B$11,Paramètres!$A$1:$I$89,3,0)*0.475*44/12</f>
        <v>6.3765245189856206</v>
      </c>
      <c r="BR69" s="21">
        <f>EXP(-LN(2)/2)*BR68+(1-EXP(-LN(2)/2))/(LN(2)/2)*BL69*BO69*VLOOKUP('Données projet'!$B$11,Paramètres!$A$1:$I$89,3,0)*0.475*44/12</f>
        <v>7.7317067529159489E-5</v>
      </c>
      <c r="BS69" s="22">
        <f t="shared" si="63"/>
        <v>7.7252020407394175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296</v>
      </c>
      <c r="BZ69" s="13">
        <f>BY69*VLOOKUP('Données projet'!$B$12,Paramètres!$A$1:$I$89,3,0)*VLOOKUP('Données projet'!$B$12,Paramètres!$A$1:$I$89,5,0)</f>
        <v>286.2912</v>
      </c>
      <c r="CA69" s="13">
        <f t="shared" ref="CA69:CA132" si="93">EXP(-1.0587+0.8836*LN(BZ69)+0.284)</f>
        <v>68.294796094604408</v>
      </c>
      <c r="CB69" s="20">
        <f t="shared" si="64"/>
        <v>617.57060986476927</v>
      </c>
      <c r="CC69" s="59">
        <f t="shared" si="65"/>
        <v>910.90394319810252</v>
      </c>
      <c r="CD69" s="59">
        <f ca="1">AVERAGE(OFFSET($CC$3,0,0,'Données projet'!$E$12+1,1))-AVERAGE(OFFSET($H$3,0,0,'Données projet'!$E$12+1,1))</f>
        <v>347.8889410585312</v>
      </c>
      <c r="CE69" s="59">
        <f t="shared" ref="CE69:CE132" si="94">$CE$3</f>
        <v>254.78167322479203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1.2620862292913007</v>
      </c>
      <c r="CL69" s="21">
        <f>EXP(-LN(2)/25)*CL68+(1-EXP(-LN(2)/25))/(LN(2)/25)*Calculateur!CG69*Calculateur!CI69*VLOOKUP('Données projet'!$B$12,Paramètres!$A$1:$I$89,3,0)*0.475*44/12</f>
        <v>4.4452695466971699</v>
      </c>
      <c r="CM69" s="21">
        <f>EXP(-LN(2)/2)*CM68+(1-EXP(-LN(2)/2))/(LN(2)/2)*CG69*CJ69*VLOOKUP('Données projet'!$B$12,Paramètres!$A$1:$I$89,3,0)*0.475*44/12</f>
        <v>8.7889762088815636E-5</v>
      </c>
      <c r="CN69" s="22">
        <f t="shared" si="66"/>
        <v>5.7074436657505592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888.16334044383962</v>
      </c>
      <c r="S70" s="59">
        <f ca="1">AVERAGE(OFFSET($R$3,0,0,'Données projet'!$E$9+1,1))-AVERAGE(OFFSET($H$3,0,0,'Données projet'!$E$9+1,1))</f>
        <v>318.40875902853116</v>
      </c>
      <c r="T70" s="59">
        <f t="shared" si="88"/>
        <v>234.87694492493506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4.9000000000000004</v>
      </c>
      <c r="AI70" s="13">
        <f>IF('Données projet'!$A$62&gt;35,AI69+AH70-AQ69,IF(A70&lt;'Données projet'!$A$62,$AF$205^A70,IF(A70='Données projet'!$A$62,'Données projet'!$B$62,AI69+AH70-AQ69)))</f>
        <v>314.29999999999978</v>
      </c>
      <c r="AJ70" s="13">
        <f>AI70*VLOOKUP('Données projet'!$B$10,Paramètres!$A$1:$I$89,3,0)*VLOOKUP('Données projet'!$B$10,Paramètres!$A$1:$I$89,5,0)</f>
        <v>250.05707999999984</v>
      </c>
      <c r="AK70" s="13">
        <f t="shared" si="89"/>
        <v>60.598163512847748</v>
      </c>
      <c r="AL70" s="20">
        <f t="shared" si="58"/>
        <v>541.05788245154292</v>
      </c>
      <c r="AM70" s="59">
        <f t="shared" si="59"/>
        <v>834.39121578487629</v>
      </c>
      <c r="AN70" s="59">
        <f ca="1">AVERAGE(OFFSET($AM$3,0,0,'Données projet'!$E$10+1,1))-AVERAGE(OFFSET($H$3,0,0,'Données projet'!$E$10+1,1))</f>
        <v>260.20517190557814</v>
      </c>
      <c r="AO70" s="59">
        <f t="shared" si="90"/>
        <v>307.22009971147133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1.5681372985837441</v>
      </c>
      <c r="AV70" s="21">
        <f>EXP(-LN(2)/25)*AV69+(1-EXP(-LN(2)/25))/(LN(2)/25)*Calculateur!AQ70*Calculateur!AS70*VLOOKUP('Données projet'!$B$10,Paramètres!$A$1:$I$89,3,0)*0.475*44/12</f>
        <v>7.3560480036056317</v>
      </c>
      <c r="AW70" s="21">
        <f>EXP(-LN(2)/2)*AW69+(1-EXP(-LN(2)/2))/(LN(2)/2)*AQ70*AT70*VLOOKUP('Données projet'!$B$10,Paramètres!$A$1:$I$89,3,0)*0.475*44/12</f>
        <v>6.4842850239945859E-5</v>
      </c>
      <c r="AX70" s="21">
        <f t="shared" si="60"/>
        <v>8.9242501450396148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210.83243999999988</v>
      </c>
      <c r="BF70" s="13">
        <f t="shared" si="91"/>
        <v>52.117452876665347</v>
      </c>
      <c r="BG70" s="20">
        <f t="shared" si="61"/>
        <v>457.97106342685856</v>
      </c>
      <c r="BH70" s="59">
        <f t="shared" si="62"/>
        <v>751.30439676019182</v>
      </c>
      <c r="BI70" s="59">
        <f ca="1">AVERAGE(OFFSET($BH$3,0,0,'Données projet'!$E$11+1,1))-AVERAGE(OFFSET($H$3,0,0,'Données projet'!$E$11+1,1))</f>
        <v>207.93042467236967</v>
      </c>
      <c r="BJ70" s="59">
        <f t="shared" si="92"/>
        <v>250.70954318710835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1.3221549772372738</v>
      </c>
      <c r="BQ70" s="21">
        <f>EXP(-LN(2)/25)*BQ69+(1-EXP(-LN(2)/25))/(LN(2)/25)*Calculateur!BL70*Calculateur!BN70*VLOOKUP('Données projet'!$B$11,Paramètres!$A$1:$I$89,3,0)*0.475*44/12</f>
        <v>6.2021581206871081</v>
      </c>
      <c r="BR70" s="21">
        <f>EXP(-LN(2)/2)*BR69+(1-EXP(-LN(2)/2))/(LN(2)/2)*BL70*BO70*VLOOKUP('Données projet'!$B$11,Paramètres!$A$1:$I$89,3,0)*0.475*44/12</f>
        <v>5.4671422751326898E-5</v>
      </c>
      <c r="BS70" s="22">
        <f t="shared" si="63"/>
        <v>7.5243677693471334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304.5</v>
      </c>
      <c r="BZ70" s="13">
        <f>BY70*VLOOKUP('Données projet'!$B$12,Paramètres!$A$1:$I$89,3,0)*VLOOKUP('Données projet'!$B$12,Paramètres!$A$1:$I$89,5,0)</f>
        <v>294.51240000000001</v>
      </c>
      <c r="CA70" s="13">
        <f t="shared" si="93"/>
        <v>70.024818594373571</v>
      </c>
      <c r="CB70" s="20">
        <f t="shared" si="64"/>
        <v>634.9023223852007</v>
      </c>
      <c r="CC70" s="59">
        <f t="shared" si="65"/>
        <v>928.23565571853396</v>
      </c>
      <c r="CD70" s="59">
        <f ca="1">AVERAGE(OFFSET($CC$3,0,0,'Données projet'!$E$12+1,1))-AVERAGE(OFFSET($H$3,0,0,'Données projet'!$E$12+1,1))</f>
        <v>347.8889410585312</v>
      </c>
      <c r="CE70" s="59">
        <f t="shared" si="94"/>
        <v>254.78167322479203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1.2373374881314869</v>
      </c>
      <c r="CL70" s="21">
        <f>EXP(-LN(2)/25)*CL69+(1-EXP(-LN(2)/25))/(LN(2)/25)*Calculateur!CG70*Calculateur!CI70*VLOOKUP('Données projet'!$B$12,Paramètres!$A$1:$I$89,3,0)*0.475*44/12</f>
        <v>4.3237134171761697</v>
      </c>
      <c r="CM70" s="21">
        <f>EXP(-LN(2)/2)*CM69+(1-EXP(-LN(2)/2))/(LN(2)/2)*CG70*CJ70*VLOOKUP('Données projet'!$B$12,Paramètres!$A$1:$I$89,3,0)*0.475*44/12</f>
        <v>6.2147446769873877E-5</v>
      </c>
      <c r="CN70" s="22">
        <f t="shared" si="66"/>
        <v>5.5611130527544264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904.38962810453222</v>
      </c>
      <c r="S71" s="59">
        <f ca="1">AVERAGE(OFFSET($R$3,0,0,'Données projet'!$E$9+1,1))-AVERAGE(OFFSET($H$3,0,0,'Données projet'!$E$9+1,1))</f>
        <v>318.40875902853116</v>
      </c>
      <c r="T71" s="59">
        <f t="shared" si="88"/>
        <v>234.87694492493506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4.9000000000000004</v>
      </c>
      <c r="AI71" s="13">
        <f>IF('Données projet'!$A$62&gt;35,AI70+AH71-AQ70,IF(A71&lt;'Données projet'!$A$62,$AF$205^A71,IF(A71='Données projet'!$A$62,'Données projet'!$B$62,AI70+AH71-AQ70)))</f>
        <v>319.19999999999976</v>
      </c>
      <c r="AJ71" s="13">
        <f>AI71*VLOOKUP('Données projet'!$B$10,Paramètres!$A$1:$I$89,3,0)*VLOOKUP('Données projet'!$B$10,Paramètres!$A$1:$I$89,5,0)</f>
        <v>253.95551999999984</v>
      </c>
      <c r="AK71" s="13">
        <f t="shared" si="89"/>
        <v>61.432180511879196</v>
      </c>
      <c r="AL71" s="20">
        <f t="shared" si="58"/>
        <v>549.30024505818926</v>
      </c>
      <c r="AM71" s="59">
        <f t="shared" si="59"/>
        <v>842.63357839152263</v>
      </c>
      <c r="AN71" s="59">
        <f ca="1">AVERAGE(OFFSET($AM$3,0,0,'Données projet'!$E$10+1,1))-AVERAGE(OFFSET($H$3,0,0,'Données projet'!$E$10+1,1))</f>
        <v>260.20517190557814</v>
      </c>
      <c r="AO71" s="59">
        <f t="shared" si="90"/>
        <v>307.22009971147133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1.5373870826278255</v>
      </c>
      <c r="AV71" s="21">
        <f>EXP(-LN(2)/25)*AV70+(1-EXP(-LN(2)/25))/(LN(2)/25)*Calculateur!AQ71*Calculateur!AS71*VLOOKUP('Données projet'!$B$10,Paramètres!$A$1:$I$89,3,0)*0.475*44/12</f>
        <v>7.1548964841092833</v>
      </c>
      <c r="AW71" s="21">
        <f>EXP(-LN(2)/2)*AW70+(1-EXP(-LN(2)/2))/(LN(2)/2)*AQ71*AT71*VLOOKUP('Données projet'!$B$10,Paramètres!$A$1:$I$89,3,0)*0.475*44/12</f>
        <v>4.5850819116129467E-5</v>
      </c>
      <c r="AX71" s="21">
        <f t="shared" si="60"/>
        <v>8.6923294175562251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214.11935999999983</v>
      </c>
      <c r="BF71" s="13">
        <f t="shared" si="91"/>
        <v>52.834749228990347</v>
      </c>
      <c r="BG71" s="20">
        <f t="shared" si="61"/>
        <v>464.94507357382457</v>
      </c>
      <c r="BH71" s="59">
        <f t="shared" si="62"/>
        <v>758.27840690715789</v>
      </c>
      <c r="BI71" s="59">
        <f ca="1">AVERAGE(OFFSET($BH$3,0,0,'Données projet'!$E$11+1,1))-AVERAGE(OFFSET($H$3,0,0,'Données projet'!$E$11+1,1))</f>
        <v>207.93042467236967</v>
      </c>
      <c r="BJ71" s="59">
        <f t="shared" si="92"/>
        <v>250.70954318710835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1.2962283245685582</v>
      </c>
      <c r="BQ71" s="21">
        <f>EXP(-LN(2)/25)*BQ70+(1-EXP(-LN(2)/25))/(LN(2)/25)*Calculateur!BL71*Calculateur!BN71*VLOOKUP('Données projet'!$B$11,Paramètres!$A$1:$I$89,3,0)*0.475*44/12</f>
        <v>6.0325597807195992</v>
      </c>
      <c r="BR71" s="21">
        <f>EXP(-LN(2)/2)*BR70+(1-EXP(-LN(2)/2))/(LN(2)/2)*BL71*BO71*VLOOKUP('Données projet'!$B$11,Paramètres!$A$1:$I$89,3,0)*0.475*44/12</f>
        <v>3.8658533764579744E-5</v>
      </c>
      <c r="BS71" s="22">
        <f t="shared" si="63"/>
        <v>7.3288267638219216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313</v>
      </c>
      <c r="BZ71" s="13">
        <f>BY71*VLOOKUP('Données projet'!$B$12,Paramètres!$A$1:$I$89,3,0)*VLOOKUP('Données projet'!$B$12,Paramètres!$A$1:$I$89,5,0)</f>
        <v>302.73360000000002</v>
      </c>
      <c r="CA71" s="13">
        <f t="shared" si="93"/>
        <v>71.74922815172765</v>
      </c>
      <c r="CB71" s="20">
        <f t="shared" si="64"/>
        <v>652.22425903092574</v>
      </c>
      <c r="CC71" s="59">
        <f t="shared" si="65"/>
        <v>945.55759236425911</v>
      </c>
      <c r="CD71" s="59">
        <f ca="1">AVERAGE(OFFSET($CC$3,0,0,'Données projet'!$E$12+1,1))-AVERAGE(OFFSET($H$3,0,0,'Données projet'!$E$12+1,1))</f>
        <v>347.8889410585312</v>
      </c>
      <c r="CE71" s="59">
        <f t="shared" si="94"/>
        <v>254.78167322479203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1.2130740546905756</v>
      </c>
      <c r="CL71" s="21">
        <f>EXP(-LN(2)/25)*CL70+(1-EXP(-LN(2)/25))/(LN(2)/25)*Calculateur!CG71*Calculateur!CI71*VLOOKUP('Données projet'!$B$12,Paramètres!$A$1:$I$89,3,0)*0.475*44/12</f>
        <v>4.2054812464092803</v>
      </c>
      <c r="CM71" s="21">
        <f>EXP(-LN(2)/2)*CM70+(1-EXP(-LN(2)/2))/(LN(2)/2)*CG71*CJ71*VLOOKUP('Données projet'!$B$12,Paramètres!$A$1:$I$89,3,0)*0.475*44/12</f>
        <v>4.3944881044407818E-5</v>
      </c>
      <c r="CN71" s="22">
        <f t="shared" si="66"/>
        <v>5.4185992459809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920.60697837144539</v>
      </c>
      <c r="S72" s="59">
        <f ca="1">AVERAGE(OFFSET($R$3,0,0,'Données projet'!$E$9+1,1))-AVERAGE(OFFSET($H$3,0,0,'Données projet'!$E$9+1,1))</f>
        <v>318.40875902853116</v>
      </c>
      <c r="T72" s="59">
        <f t="shared" si="88"/>
        <v>234.87694492493506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4.9000000000000004</v>
      </c>
      <c r="AI72" s="13">
        <f>IF('Données projet'!$A$62&gt;35,AI71+AH72-AQ71,IF(A72&lt;'Données projet'!$A$62,$AF$205^A72,IF(A72='Données projet'!$A$62,'Données projet'!$B$62,AI71+AH72-AQ71)))</f>
        <v>324.09999999999974</v>
      </c>
      <c r="AJ72" s="13">
        <f>AI72*VLOOKUP('Données projet'!$B$10,Paramètres!$A$1:$I$89,3,0)*VLOOKUP('Données projet'!$B$10,Paramètres!$A$1:$I$89,5,0)</f>
        <v>257.8539599999998</v>
      </c>
      <c r="AK72" s="13">
        <f t="shared" si="89"/>
        <v>62.26470852302274</v>
      </c>
      <c r="AL72" s="20">
        <f t="shared" si="58"/>
        <v>557.54001434426425</v>
      </c>
      <c r="AM72" s="59">
        <f t="shared" si="59"/>
        <v>850.87334767759762</v>
      </c>
      <c r="AN72" s="59">
        <f ca="1">AVERAGE(OFFSET($AM$3,0,0,'Données projet'!$E$10+1,1))-AVERAGE(OFFSET($H$3,0,0,'Données projet'!$E$10+1,1))</f>
        <v>260.20517190557814</v>
      </c>
      <c r="AO72" s="59">
        <f t="shared" si="90"/>
        <v>307.22009971147133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1.5072398596510228</v>
      </c>
      <c r="AV72" s="21">
        <f>EXP(-LN(2)/25)*AV71+(1-EXP(-LN(2)/25))/(LN(2)/25)*Calculateur!AQ72*Calculateur!AS72*VLOOKUP('Données projet'!$B$10,Paramètres!$A$1:$I$89,3,0)*0.475*44/12</f>
        <v>6.9592454634916612</v>
      </c>
      <c r="AW72" s="21">
        <f>EXP(-LN(2)/2)*AW71+(1-EXP(-LN(2)/2))/(LN(2)/2)*AQ72*AT72*VLOOKUP('Données projet'!$B$10,Paramètres!$A$1:$I$89,3,0)*0.475*44/12</f>
        <v>3.2421425119972929E-5</v>
      </c>
      <c r="AX72" s="21">
        <f t="shared" si="60"/>
        <v>8.4665177445678044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217.40627999999984</v>
      </c>
      <c r="BF72" s="13">
        <f t="shared" si="91"/>
        <v>53.550764977224674</v>
      </c>
      <c r="BG72" s="20">
        <f t="shared" si="61"/>
        <v>471.91685333533269</v>
      </c>
      <c r="BH72" s="59">
        <f t="shared" si="62"/>
        <v>765.25018666866595</v>
      </c>
      <c r="BI72" s="59">
        <f ca="1">AVERAGE(OFFSET($BH$3,0,0,'Données projet'!$E$11+1,1))-AVERAGE(OFFSET($H$3,0,0,'Données projet'!$E$11+1,1))</f>
        <v>207.93042467236967</v>
      </c>
      <c r="BJ72" s="59">
        <f t="shared" si="92"/>
        <v>250.70954318710835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1.2708100777449793</v>
      </c>
      <c r="BQ72" s="21">
        <f>EXP(-LN(2)/25)*BQ71+(1-EXP(-LN(2)/25))/(LN(2)/25)*Calculateur!BL72*Calculateur!BN72*VLOOKUP('Données projet'!$B$11,Paramètres!$A$1:$I$89,3,0)*0.475*44/12</f>
        <v>5.8675991162772902</v>
      </c>
      <c r="BR72" s="21">
        <f>EXP(-LN(2)/2)*BR71+(1-EXP(-LN(2)/2))/(LN(2)/2)*BL72*BO72*VLOOKUP('Données projet'!$B$11,Paramètres!$A$1:$I$89,3,0)*0.475*44/12</f>
        <v>2.7335711375663449E-5</v>
      </c>
      <c r="BS72" s="22">
        <f t="shared" si="63"/>
        <v>7.138436529733645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321.5</v>
      </c>
      <c r="BZ72" s="13">
        <f>BY72*VLOOKUP('Données projet'!$B$12,Paramètres!$A$1:$I$89,3,0)*VLOOKUP('Données projet'!$B$12,Paramètres!$A$1:$I$89,5,0)</f>
        <v>310.95480000000003</v>
      </c>
      <c r="CA72" s="13">
        <f t="shared" si="93"/>
        <v>73.468194711079221</v>
      </c>
      <c r="CB72" s="20">
        <f t="shared" si="64"/>
        <v>669.53671578846297</v>
      </c>
      <c r="CC72" s="59">
        <f t="shared" si="65"/>
        <v>962.87004912179623</v>
      </c>
      <c r="CD72" s="59">
        <f ca="1">AVERAGE(OFFSET($CC$3,0,0,'Données projet'!$E$12+1,1))-AVERAGE(OFFSET($H$3,0,0,'Données projet'!$E$12+1,1))</f>
        <v>347.8889410585312</v>
      </c>
      <c r="CE72" s="59">
        <f t="shared" si="94"/>
        <v>254.78167322479203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1.1892864123802076</v>
      </c>
      <c r="CL72" s="21">
        <f>EXP(-LN(2)/25)*CL71+(1-EXP(-LN(2)/25))/(LN(2)/25)*Calculateur!CG72*Calculateur!CI72*VLOOKUP('Données projet'!$B$12,Paramètres!$A$1:$I$89,3,0)*0.475*44/12</f>
        <v>4.0904821405695717</v>
      </c>
      <c r="CM72" s="21">
        <f>EXP(-LN(2)/2)*CM71+(1-EXP(-LN(2)/2))/(LN(2)/2)*CG72*CJ72*VLOOKUP('Données projet'!$B$12,Paramètres!$A$1:$I$89,3,0)*0.475*44/12</f>
        <v>3.1073723384936938E-5</v>
      </c>
      <c r="CN72" s="22">
        <f t="shared" si="66"/>
        <v>5.2797996266731637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936.81565469749989</v>
      </c>
      <c r="S73" s="59">
        <f ca="1">AVERAGE(OFFSET($R$3,0,0,'Données projet'!$E$9+1,1))-AVERAGE(OFFSET($H$3,0,0,'Données projet'!$E$9+1,1))</f>
        <v>318.40875902853116</v>
      </c>
      <c r="T73" s="59">
        <f t="shared" si="88"/>
        <v>234.87694492493506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329</v>
      </c>
      <c r="AG73" s="12">
        <f>VLOOKUP(A73,'Données projet'!$A$61:$I$81,9,0)</f>
        <v>4.9000000000000004</v>
      </c>
      <c r="AH73" s="12">
        <f t="array" ref="AH73">INDEX(AG:AG,MIN(IF(ISNUMBER(AG73:AG269),ROW(AG73:AG269),"")))</f>
        <v>4.9000000000000004</v>
      </c>
      <c r="AI73" s="13">
        <f>IF('Données projet'!$A$62&gt;35,AI72+AH73-AQ72,IF(A73&lt;'Données projet'!$A$62,$AF$205^A73,IF(A73='Données projet'!$A$62,'Données projet'!$B$62,AI72+AH73-AQ72)))</f>
        <v>328.99999999999972</v>
      </c>
      <c r="AJ73" s="13">
        <f>AI73*VLOOKUP('Données projet'!$B$10,Paramètres!$A$1:$I$89,3,0)*VLOOKUP('Données projet'!$B$10,Paramètres!$A$1:$I$89,5,0)</f>
        <v>261.7523999999998</v>
      </c>
      <c r="AK73" s="13">
        <f t="shared" si="89"/>
        <v>63.095772658160975</v>
      </c>
      <c r="AL73" s="20">
        <f t="shared" si="58"/>
        <v>565.7772340462966</v>
      </c>
      <c r="AM73" s="59">
        <f t="shared" si="59"/>
        <v>859.11056737962986</v>
      </c>
      <c r="AN73" s="59">
        <f ca="1">AVERAGE(OFFSET($AM$3,0,0,'Données projet'!$E$10+1,1))-AVERAGE(OFFSET($H$3,0,0,'Données projet'!$E$10+1,1))</f>
        <v>260.20517190557814</v>
      </c>
      <c r="AO73" s="59">
        <f t="shared" si="90"/>
        <v>307.22009971147133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1.4776838053288048</v>
      </c>
      <c r="AV73" s="21">
        <f>EXP(-LN(2)/25)*AV72+(1-EXP(-LN(2)/25))/(LN(2)/25)*Calculateur!AQ73*Calculateur!AS73*VLOOKUP('Données projet'!$B$10,Paramètres!$A$1:$I$89,3,0)*0.475*44/12</f>
        <v>6.7689445303216687</v>
      </c>
      <c r="AW73" s="21">
        <f>EXP(-LN(2)/2)*AW72+(1-EXP(-LN(2)/2))/(LN(2)/2)*AQ73*AT73*VLOOKUP('Données projet'!$B$10,Paramètres!$A$1:$I$89,3,0)*0.475*44/12</f>
        <v>2.2925409558064734E-5</v>
      </c>
      <c r="AX73" s="21">
        <f t="shared" si="60"/>
        <v>8.2466512610600322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220.69319999999982</v>
      </c>
      <c r="BF73" s="13">
        <f t="shared" si="91"/>
        <v>54.265521718843871</v>
      </c>
      <c r="BG73" s="20">
        <f t="shared" si="61"/>
        <v>478.88644032698608</v>
      </c>
      <c r="BH73" s="59">
        <f t="shared" si="62"/>
        <v>772.21977366031933</v>
      </c>
      <c r="BI73" s="59">
        <f ca="1">AVERAGE(OFFSET($BH$3,0,0,'Données projet'!$E$11+1,1))-AVERAGE(OFFSET($H$3,0,0,'Données projet'!$E$11+1,1))</f>
        <v>207.93042467236967</v>
      </c>
      <c r="BJ73" s="59">
        <f t="shared" si="92"/>
        <v>250.70954318710835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1.2458902672380112</v>
      </c>
      <c r="BQ73" s="21">
        <f>EXP(-LN(2)/25)*BQ72+(1-EXP(-LN(2)/25))/(LN(2)/25)*Calculateur!BL73*Calculateur!BN73*VLOOKUP('Données projet'!$B$11,Paramètres!$A$1:$I$89,3,0)*0.475*44/12</f>
        <v>5.7071493098790604</v>
      </c>
      <c r="BR73" s="21">
        <f>EXP(-LN(2)/2)*BR72+(1-EXP(-LN(2)/2))/(LN(2)/2)*BL73*BO73*VLOOKUP('Données projet'!$B$11,Paramètres!$A$1:$I$89,3,0)*0.475*44/12</f>
        <v>1.9329266882289872E-5</v>
      </c>
      <c r="BS73" s="22">
        <f t="shared" si="63"/>
        <v>6.9530589063839541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330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330</v>
      </c>
      <c r="BZ73" s="13">
        <f>BY73*VLOOKUP('Données projet'!$B$12,Paramètres!$A$1:$I$89,3,0)*VLOOKUP('Données projet'!$B$12,Paramètres!$A$1:$I$89,5,0)</f>
        <v>319.17599999999999</v>
      </c>
      <c r="CA73" s="13">
        <f t="shared" si="93"/>
        <v>75.181878718947672</v>
      </c>
      <c r="CB73" s="20">
        <f t="shared" si="64"/>
        <v>686.83997210216705</v>
      </c>
      <c r="CC73" s="59">
        <f t="shared" si="65"/>
        <v>980.17330543550042</v>
      </c>
      <c r="CD73" s="59">
        <f ca="1">AVERAGE(OFFSET($CC$3,0,0,'Données projet'!$E$12+1,1))-AVERAGE(OFFSET($H$3,0,0,'Données projet'!$E$12+1,1))</f>
        <v>347.8889410585312</v>
      </c>
      <c r="CE73" s="59">
        <f t="shared" si="94"/>
        <v>254.78167322479203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1.1659652312265167</v>
      </c>
      <c r="CL73" s="21">
        <f>EXP(-LN(2)/25)*CL72+(1-EXP(-LN(2)/25))/(LN(2)/25)*Calculateur!CG73*Calculateur!CI73*VLOOKUP('Données projet'!$B$12,Paramètres!$A$1:$I$89,3,0)*0.475*44/12</f>
        <v>3.9786276913265901</v>
      </c>
      <c r="CM73" s="21">
        <f>EXP(-LN(2)/2)*CM72+(1-EXP(-LN(2)/2))/(LN(2)/2)*CG73*CJ73*VLOOKUP('Données projet'!$B$12,Paramètres!$A$1:$I$89,3,0)*0.475*44/12</f>
        <v>2.1972440522203909E-5</v>
      </c>
      <c r="CN73" s="22">
        <f t="shared" si="66"/>
        <v>5.1446148949936292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844.01859365737346</v>
      </c>
      <c r="S74" s="59">
        <f ca="1">AVERAGE(OFFSET($R$3,0,0,'Données projet'!$E$9+1,1))-AVERAGE(OFFSET($H$3,0,0,'Données projet'!$E$9+1,1))</f>
        <v>318.40875902853116</v>
      </c>
      <c r="T74" s="59">
        <f t="shared" si="88"/>
        <v>234.87694492493506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3.9</v>
      </c>
      <c r="AI74" s="13">
        <f>IF('Données projet'!$A$62&gt;35,AI73+AH74-AQ73,IF(A74&lt;'Données projet'!$A$62,$AF$205^A74,IF(A74='Données projet'!$A$62,'Données projet'!$B$62,AI73+AH74-AQ73)))</f>
        <v>306.89999999999969</v>
      </c>
      <c r="AJ74" s="13">
        <f>AI74*VLOOKUP('Données projet'!$B$10,Paramètres!$A$1:$I$89,3,0)*VLOOKUP('Données projet'!$B$10,Paramètres!$A$1:$I$89,5,0)</f>
        <v>244.16963999999976</v>
      </c>
      <c r="AK74" s="13">
        <f t="shared" si="89"/>
        <v>59.335747541340979</v>
      </c>
      <c r="AL74" s="20">
        <f t="shared" si="58"/>
        <v>528.60521663450174</v>
      </c>
      <c r="AM74" s="59">
        <f t="shared" si="59"/>
        <v>821.93854996783512</v>
      </c>
      <c r="AN74" s="59">
        <f ca="1">AVERAGE(OFFSET($AM$3,0,0,'Données projet'!$E$10+1,1))-AVERAGE(OFFSET($H$3,0,0,'Données projet'!$E$10+1,1))</f>
        <v>260.20517190557814</v>
      </c>
      <c r="AO74" s="59">
        <f t="shared" si="90"/>
        <v>307.22009971147133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1.4487073272044324</v>
      </c>
      <c r="AV74" s="21">
        <f>EXP(-LN(2)/25)*AV73+(1-EXP(-LN(2)/25))/(LN(2)/25)*Calculateur!AQ74*Calculateur!AS74*VLOOKUP('Données projet'!$B$10,Paramètres!$A$1:$I$89,3,0)*0.475*44/12</f>
        <v>6.5838473861767008</v>
      </c>
      <c r="AW74" s="21">
        <f>EXP(-LN(2)/2)*AW73+(1-EXP(-LN(2)/2))/(LN(2)/2)*AQ74*AT74*VLOOKUP('Données projet'!$B$10,Paramètres!$A$1:$I$89,3,0)*0.475*44/12</f>
        <v>1.6210712559986465E-5</v>
      </c>
      <c r="AX74" s="21">
        <f t="shared" si="60"/>
        <v>8.0325709240936938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205.86851999999982</v>
      </c>
      <c r="BF74" s="13">
        <f t="shared" si="91"/>
        <v>51.031711971467665</v>
      </c>
      <c r="BG74" s="20">
        <f t="shared" si="61"/>
        <v>447.43457068363909</v>
      </c>
      <c r="BH74" s="59">
        <f t="shared" si="62"/>
        <v>740.76790401697235</v>
      </c>
      <c r="BI74" s="59">
        <f ca="1">AVERAGE(OFFSET($BH$3,0,0,'Données projet'!$E$11+1,1))-AVERAGE(OFFSET($H$3,0,0,'Données projet'!$E$11+1,1))</f>
        <v>207.93042467236967</v>
      </c>
      <c r="BJ74" s="59">
        <f t="shared" si="92"/>
        <v>250.70954318710835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1.2214591190155011</v>
      </c>
      <c r="BQ74" s="21">
        <f>EXP(-LN(2)/25)*BQ73+(1-EXP(-LN(2)/25))/(LN(2)/25)*Calculateur!BL74*Calculateur!BN74*VLOOKUP('Données projet'!$B$11,Paramètres!$A$1:$I$89,3,0)*0.475*44/12</f>
        <v>5.5510870118744791</v>
      </c>
      <c r="BR74" s="21">
        <f>EXP(-LN(2)/2)*BR73+(1-EXP(-LN(2)/2))/(LN(2)/2)*BL74*BO74*VLOOKUP('Données projet'!$B$11,Paramètres!$A$1:$I$89,3,0)*0.475*44/12</f>
        <v>1.3667855687831724E-5</v>
      </c>
      <c r="BS74" s="22">
        <f t="shared" si="63"/>
        <v>6.772559798745668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281.39999999999998</v>
      </c>
      <c r="BZ74" s="13">
        <f>BY74*VLOOKUP('Données projet'!$B$12,Paramètres!$A$1:$I$89,3,0)*VLOOKUP('Données projet'!$B$12,Paramètres!$A$1:$I$89,5,0)</f>
        <v>272.17007999999998</v>
      </c>
      <c r="CA74" s="13">
        <f t="shared" si="93"/>
        <v>65.309600243828299</v>
      </c>
      <c r="CB74" s="20">
        <f t="shared" si="64"/>
        <v>587.77710975800085</v>
      </c>
      <c r="CC74" s="59">
        <f t="shared" si="65"/>
        <v>881.11044309133422</v>
      </c>
      <c r="CD74" s="59">
        <f ca="1">AVERAGE(OFFSET($CC$3,0,0,'Données projet'!$E$12+1,1))-AVERAGE(OFFSET($H$3,0,0,'Données projet'!$E$12+1,1))</f>
        <v>347.8889410585312</v>
      </c>
      <c r="CE74" s="59">
        <f t="shared" si="94"/>
        <v>254.78167322479203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1.1431013642107337</v>
      </c>
      <c r="CL74" s="21">
        <f>EXP(-LN(2)/25)*CL73+(1-EXP(-LN(2)/25))/(LN(2)/25)*Calculateur!CG74*Calculateur!CI74*VLOOKUP('Données projet'!$B$12,Paramètres!$A$1:$I$89,3,0)*0.475*44/12</f>
        <v>3.8698319078803274</v>
      </c>
      <c r="CM74" s="21">
        <f>EXP(-LN(2)/2)*CM73+(1-EXP(-LN(2)/2))/(LN(2)/2)*CG74*CJ74*VLOOKUP('Données projet'!$B$12,Paramètres!$A$1:$I$89,3,0)*0.475*44/12</f>
        <v>1.5536861692468469E-5</v>
      </c>
      <c r="CN74" s="22">
        <f t="shared" si="66"/>
        <v>5.0129488089527534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858.16798019625116</v>
      </c>
      <c r="S75" s="59">
        <f ca="1">AVERAGE(OFFSET($R$3,0,0,'Données projet'!$E$9+1,1))-AVERAGE(OFFSET($H$3,0,0,'Données projet'!$E$9+1,1))</f>
        <v>318.40875902853116</v>
      </c>
      <c r="T75" s="59">
        <f t="shared" si="88"/>
        <v>234.87694492493506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3.9</v>
      </c>
      <c r="AI75" s="13">
        <f>IF('Données projet'!$A$62&gt;35,AI74+AH75-AQ74,IF(A75&lt;'Données projet'!$A$62,$AF$205^A75,IF(A75='Données projet'!$A$62,'Données projet'!$B$62,AI74+AH75-AQ74)))</f>
        <v>310.79999999999967</v>
      </c>
      <c r="AJ75" s="13">
        <f>AI75*VLOOKUP('Données projet'!$B$10,Paramètres!$A$1:$I$89,3,0)*VLOOKUP('Données projet'!$B$10,Paramètres!$A$1:$I$89,5,0)</f>
        <v>247.27247999999975</v>
      </c>
      <c r="AK75" s="13">
        <f t="shared" si="89"/>
        <v>60.001511123918704</v>
      </c>
      <c r="AL75" s="20">
        <f t="shared" si="58"/>
        <v>535.16886787415797</v>
      </c>
      <c r="AM75" s="59">
        <f t="shared" si="59"/>
        <v>828.50220120749123</v>
      </c>
      <c r="AN75" s="59">
        <f ca="1">AVERAGE(OFFSET($AM$3,0,0,'Données projet'!$E$10+1,1))-AVERAGE(OFFSET($H$3,0,0,'Données projet'!$E$10+1,1))</f>
        <v>260.20517190557814</v>
      </c>
      <c r="AO75" s="59">
        <f t="shared" si="90"/>
        <v>307.22009971147133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1.4202990601421723</v>
      </c>
      <c r="AV75" s="21">
        <f>EXP(-LN(2)/25)*AV74+(1-EXP(-LN(2)/25))/(LN(2)/25)*Calculateur!AQ75*Calculateur!AS75*VLOOKUP('Données projet'!$B$10,Paramètres!$A$1:$I$89,3,0)*0.475*44/12</f>
        <v>6.4038117331722129</v>
      </c>
      <c r="AW75" s="21">
        <f>EXP(-LN(2)/2)*AW74+(1-EXP(-LN(2)/2))/(LN(2)/2)*AQ75*AT75*VLOOKUP('Données projet'!$B$10,Paramètres!$A$1:$I$89,3,0)*0.475*44/12</f>
        <v>1.1462704779032367E-5</v>
      </c>
      <c r="AX75" s="21">
        <f t="shared" si="60"/>
        <v>7.8241222560191641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208.48463999999979</v>
      </c>
      <c r="BF75" s="13">
        <f t="shared" si="91"/>
        <v>51.60430196645391</v>
      </c>
      <c r="BG75" s="20">
        <f t="shared" si="61"/>
        <v>452.98824059157351</v>
      </c>
      <c r="BH75" s="59">
        <f t="shared" si="62"/>
        <v>746.32157392490683</v>
      </c>
      <c r="BI75" s="59">
        <f ca="1">AVERAGE(OFFSET($BH$3,0,0,'Données projet'!$E$11+1,1))-AVERAGE(OFFSET($H$3,0,0,'Données projet'!$E$11+1,1))</f>
        <v>207.93042467236967</v>
      </c>
      <c r="BJ75" s="59">
        <f t="shared" si="92"/>
        <v>250.70954318710835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1.1975070507081054</v>
      </c>
      <c r="BQ75" s="21">
        <f>EXP(-LN(2)/25)*BQ74+(1-EXP(-LN(2)/25))/(LN(2)/25)*Calculateur!BL75*Calculateur!BN75*VLOOKUP('Données projet'!$B$11,Paramètres!$A$1:$I$89,3,0)*0.475*44/12</f>
        <v>5.3992922456157926</v>
      </c>
      <c r="BR75" s="21">
        <f>EXP(-LN(2)/2)*BR74+(1-EXP(-LN(2)/2))/(LN(2)/2)*BL75*BO75*VLOOKUP('Données projet'!$B$11,Paramètres!$A$1:$I$89,3,0)*0.475*44/12</f>
        <v>9.6646334411449361E-6</v>
      </c>
      <c r="BS75" s="22">
        <f t="shared" si="63"/>
        <v>6.5968089609573388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288.79999999999995</v>
      </c>
      <c r="BZ75" s="13">
        <f>BY75*VLOOKUP('Données projet'!$B$12,Paramètres!$A$1:$I$89,3,0)*VLOOKUP('Données projet'!$B$12,Paramètres!$A$1:$I$89,5,0)</f>
        <v>279.32736</v>
      </c>
      <c r="CA75" s="13">
        <f t="shared" si="93"/>
        <v>66.824840821041093</v>
      </c>
      <c r="CB75" s="20">
        <f t="shared" si="64"/>
        <v>602.88174976331322</v>
      </c>
      <c r="CC75" s="59">
        <f t="shared" si="65"/>
        <v>896.21508309664659</v>
      </c>
      <c r="CD75" s="59">
        <f ca="1">AVERAGE(OFFSET($CC$3,0,0,'Données projet'!$E$12+1,1))-AVERAGE(OFFSET($H$3,0,0,'Données projet'!$E$12+1,1))</f>
        <v>347.8889410585312</v>
      </c>
      <c r="CE75" s="59">
        <f t="shared" si="94"/>
        <v>254.78167322479203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1.1206858436815483</v>
      </c>
      <c r="CL75" s="21">
        <f>EXP(-LN(2)/25)*CL74+(1-EXP(-LN(2)/25))/(LN(2)/25)*Calculateur!CG75*Calculateur!CI75*VLOOKUP('Données projet'!$B$12,Paramètres!$A$1:$I$89,3,0)*0.475*44/12</f>
        <v>3.7640111508537246</v>
      </c>
      <c r="CM75" s="21">
        <f>EXP(-LN(2)/2)*CM74+(1-EXP(-LN(2)/2))/(LN(2)/2)*CG75*CJ75*VLOOKUP('Données projet'!$B$12,Paramètres!$A$1:$I$89,3,0)*0.475*44/12</f>
        <v>1.0986220261101954E-5</v>
      </c>
      <c r="CN75" s="22">
        <f t="shared" si="66"/>
        <v>4.8847079807555343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872.30995628558139</v>
      </c>
      <c r="S76" s="59">
        <f ca="1">AVERAGE(OFFSET($R$3,0,0,'Données projet'!$E$9+1,1))-AVERAGE(OFFSET($H$3,0,0,'Données projet'!$E$9+1,1))</f>
        <v>318.40875902853116</v>
      </c>
      <c r="T76" s="59">
        <f t="shared" si="88"/>
        <v>234.87694492493506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3.9</v>
      </c>
      <c r="AI76" s="13">
        <f>IF('Données projet'!$A$62&gt;35,AI75+AH76-AQ75,IF(A76&lt;'Données projet'!$A$62,$AF$205^A76,IF(A76='Données projet'!$A$62,'Données projet'!$B$62,AI75+AH76-AQ75)))</f>
        <v>314.69999999999965</v>
      </c>
      <c r="AJ76" s="13">
        <f>AI76*VLOOKUP('Données projet'!$B$10,Paramètres!$A$1:$I$89,3,0)*VLOOKUP('Données projet'!$B$10,Paramètres!$A$1:$I$89,5,0)</f>
        <v>250.37531999999973</v>
      </c>
      <c r="AK76" s="13">
        <f t="shared" si="89"/>
        <v>60.666302963242082</v>
      </c>
      <c r="AL76" s="20">
        <f t="shared" si="58"/>
        <v>541.73082666097946</v>
      </c>
      <c r="AM76" s="59">
        <f t="shared" si="59"/>
        <v>835.06415999431283</v>
      </c>
      <c r="AN76" s="59">
        <f ca="1">AVERAGE(OFFSET($AM$3,0,0,'Données projet'!$E$10+1,1))-AVERAGE(OFFSET($H$3,0,0,'Données projet'!$E$10+1,1))</f>
        <v>260.20517190557814</v>
      </c>
      <c r="AO76" s="59">
        <f t="shared" si="90"/>
        <v>307.22009971147133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1.3924478618696714</v>
      </c>
      <c r="AV76" s="21">
        <f>EXP(-LN(2)/25)*AV75+(1-EXP(-LN(2)/25))/(LN(2)/25)*Calculateur!AQ76*Calculateur!AS76*VLOOKUP('Données projet'!$B$10,Paramètres!$A$1:$I$89,3,0)*0.475*44/12</f>
        <v>6.2286991645667955</v>
      </c>
      <c r="AW76" s="21">
        <f>EXP(-LN(2)/2)*AW75+(1-EXP(-LN(2)/2))/(LN(2)/2)*AQ76*AT76*VLOOKUP('Données projet'!$B$10,Paramètres!$A$1:$I$89,3,0)*0.475*44/12</f>
        <v>8.1053562799932324E-6</v>
      </c>
      <c r="AX76" s="21">
        <f t="shared" si="60"/>
        <v>7.6211551317927473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211.10075999999978</v>
      </c>
      <c r="BF76" s="13">
        <f t="shared" si="91"/>
        <v>52.176056213616526</v>
      </c>
      <c r="BG76" s="20">
        <f t="shared" si="61"/>
        <v>458.54045490538175</v>
      </c>
      <c r="BH76" s="59">
        <f t="shared" si="62"/>
        <v>751.87378823871506</v>
      </c>
      <c r="BI76" s="59">
        <f ca="1">AVERAGE(OFFSET($BH$3,0,0,'Données projet'!$E$11+1,1))-AVERAGE(OFFSET($H$3,0,0,'Données projet'!$E$11+1,1))</f>
        <v>207.93042467236967</v>
      </c>
      <c r="BJ76" s="59">
        <f t="shared" si="92"/>
        <v>250.70954318710835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1.1740246678508985</v>
      </c>
      <c r="BQ76" s="21">
        <f>EXP(-LN(2)/25)*BQ75+(1-EXP(-LN(2)/25))/(LN(2)/25)*Calculateur!BL76*Calculateur!BN76*VLOOKUP('Données projet'!$B$11,Paramètres!$A$1:$I$89,3,0)*0.475*44/12</f>
        <v>5.2516483152229894</v>
      </c>
      <c r="BR76" s="21">
        <f>EXP(-LN(2)/2)*BR75+(1-EXP(-LN(2)/2))/(LN(2)/2)*BL76*BO76*VLOOKUP('Données projet'!$B$11,Paramètres!$A$1:$I$89,3,0)*0.475*44/12</f>
        <v>6.8339278439158622E-6</v>
      </c>
      <c r="BS76" s="22">
        <f t="shared" si="63"/>
        <v>6.4256798170017317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296.19999999999993</v>
      </c>
      <c r="BZ76" s="13">
        <f>BY76*VLOOKUP('Données projet'!$B$12,Paramètres!$A$1:$I$89,3,0)*VLOOKUP('Données projet'!$B$12,Paramètres!$A$1:$I$89,5,0)</f>
        <v>286.48463999999996</v>
      </c>
      <c r="CA76" s="13">
        <f t="shared" si="93"/>
        <v>68.335568330677489</v>
      </c>
      <c r="CB76" s="20">
        <f t="shared" si="64"/>
        <v>617.97852950926324</v>
      </c>
      <c r="CC76" s="59">
        <f t="shared" si="65"/>
        <v>911.31186284259661</v>
      </c>
      <c r="CD76" s="59">
        <f ca="1">AVERAGE(OFFSET($CC$3,0,0,'Données projet'!$E$12+1,1))-AVERAGE(OFFSET($H$3,0,0,'Données projet'!$E$12+1,1))</f>
        <v>347.8889410585312</v>
      </c>
      <c r="CE76" s="59">
        <f t="shared" si="94"/>
        <v>254.78167322479203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1.0987098778378228</v>
      </c>
      <c r="CL76" s="21">
        <f>EXP(-LN(2)/25)*CL75+(1-EXP(-LN(2)/25))/(LN(2)/25)*Calculateur!CG76*Calculateur!CI76*VLOOKUP('Données projet'!$B$12,Paramètres!$A$1:$I$89,3,0)*0.475*44/12</f>
        <v>3.6610840679928858</v>
      </c>
      <c r="CM76" s="21">
        <f>EXP(-LN(2)/2)*CM75+(1-EXP(-LN(2)/2))/(LN(2)/2)*CG76*CJ76*VLOOKUP('Données projet'!$B$12,Paramètres!$A$1:$I$89,3,0)*0.475*44/12</f>
        <v>7.7684308462342346E-6</v>
      </c>
      <c r="CN76" s="22">
        <f t="shared" si="66"/>
        <v>4.7598017142615543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886.44472835456645</v>
      </c>
      <c r="S77" s="59">
        <f ca="1">AVERAGE(OFFSET($R$3,0,0,'Données projet'!$E$9+1,1))-AVERAGE(OFFSET($H$3,0,0,'Données projet'!$E$9+1,1))</f>
        <v>318.40875902853116</v>
      </c>
      <c r="T77" s="59">
        <f t="shared" si="88"/>
        <v>234.87694492493506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3.9</v>
      </c>
      <c r="AI77" s="13">
        <f>IF('Données projet'!$A$62&gt;35,AI76+AH77-AQ76,IF(A77&lt;'Données projet'!$A$62,$AF$205^A77,IF(A77='Données projet'!$A$62,'Données projet'!$B$62,AI76+AH77-AQ76)))</f>
        <v>318.59999999999962</v>
      </c>
      <c r="AJ77" s="13">
        <f>AI77*VLOOKUP('Données projet'!$B$10,Paramètres!$A$1:$I$89,3,0)*VLOOKUP('Données projet'!$B$10,Paramètres!$A$1:$I$89,5,0)</f>
        <v>253.47815999999972</v>
      </c>
      <c r="AK77" s="13">
        <f t="shared" si="89"/>
        <v>61.330136494642396</v>
      </c>
      <c r="AL77" s="20">
        <f t="shared" si="58"/>
        <v>548.29111639483494</v>
      </c>
      <c r="AM77" s="59">
        <f t="shared" si="59"/>
        <v>841.6244497281682</v>
      </c>
      <c r="AN77" s="59">
        <f ca="1">AVERAGE(OFFSET($AM$3,0,0,'Données projet'!$E$10+1,1))-AVERAGE(OFFSET($H$3,0,0,'Données projet'!$E$10+1,1))</f>
        <v>260.20517190557814</v>
      </c>
      <c r="AO77" s="59">
        <f t="shared" si="90"/>
        <v>307.22009971147133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1.3651428086077406</v>
      </c>
      <c r="AV77" s="21">
        <f>EXP(-LN(2)/25)*AV76+(1-EXP(-LN(2)/25))/(LN(2)/25)*Calculateur!AQ77*Calculateur!AS77*VLOOKUP('Données projet'!$B$10,Paramètres!$A$1:$I$89,3,0)*0.475*44/12</f>
        <v>6.0583750583586635</v>
      </c>
      <c r="AW77" s="21">
        <f>EXP(-LN(2)/2)*AW76+(1-EXP(-LN(2)/2))/(LN(2)/2)*AQ77*AT77*VLOOKUP('Données projet'!$B$10,Paramètres!$A$1:$I$89,3,0)*0.475*44/12</f>
        <v>5.7313523895161834E-6</v>
      </c>
      <c r="AX77" s="21">
        <f t="shared" si="60"/>
        <v>7.423523598318793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213.71687999999978</v>
      </c>
      <c r="BF77" s="13">
        <f t="shared" si="91"/>
        <v>52.746986268012868</v>
      </c>
      <c r="BG77" s="20">
        <f t="shared" si="61"/>
        <v>464.09123375012194</v>
      </c>
      <c r="BH77" s="59">
        <f t="shared" si="62"/>
        <v>757.42456708345526</v>
      </c>
      <c r="BI77" s="59">
        <f ca="1">AVERAGE(OFFSET($BH$3,0,0,'Données projet'!$E$11+1,1))-AVERAGE(OFFSET($H$3,0,0,'Données projet'!$E$11+1,1))</f>
        <v>207.93042467236967</v>
      </c>
      <c r="BJ77" s="59">
        <f t="shared" si="92"/>
        <v>250.70954318710835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1.1510027601986823</v>
      </c>
      <c r="BQ77" s="21">
        <f>EXP(-LN(2)/25)*BQ76+(1-EXP(-LN(2)/25))/(LN(2)/25)*Calculateur!BL77*Calculateur!BN77*VLOOKUP('Données projet'!$B$11,Paramètres!$A$1:$I$89,3,0)*0.475*44/12</f>
        <v>5.1080417158710345</v>
      </c>
      <c r="BR77" s="21">
        <f>EXP(-LN(2)/2)*BR76+(1-EXP(-LN(2)/2))/(LN(2)/2)*BL77*BO77*VLOOKUP('Données projet'!$B$11,Paramètres!$A$1:$I$89,3,0)*0.475*44/12</f>
        <v>4.832316720572468E-6</v>
      </c>
      <c r="BS77" s="22">
        <f t="shared" si="63"/>
        <v>6.2590493083864374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303.59999999999991</v>
      </c>
      <c r="BZ77" s="13">
        <f>BY77*VLOOKUP('Données projet'!$B$12,Paramètres!$A$1:$I$89,3,0)*VLOOKUP('Données projet'!$B$12,Paramètres!$A$1:$I$89,5,0)</f>
        <v>293.64191999999991</v>
      </c>
      <c r="CA77" s="13">
        <f t="shared" si="93"/>
        <v>69.841908491013143</v>
      </c>
      <c r="CB77" s="20">
        <f t="shared" si="64"/>
        <v>633.06766795518104</v>
      </c>
      <c r="CC77" s="59">
        <f t="shared" si="65"/>
        <v>926.40100128851441</v>
      </c>
      <c r="CD77" s="59">
        <f ca="1">AVERAGE(OFFSET($CC$3,0,0,'Données projet'!$E$12+1,1))-AVERAGE(OFFSET($H$3,0,0,'Données projet'!$E$12+1,1))</f>
        <v>347.8889410585312</v>
      </c>
      <c r="CE77" s="59">
        <f t="shared" si="94"/>
        <v>254.78167322479203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1.0771648472802771</v>
      </c>
      <c r="CL77" s="21">
        <f>EXP(-LN(2)/25)*CL76+(1-EXP(-LN(2)/25))/(LN(2)/25)*Calculateur!CG77*Calculateur!CI77*VLOOKUP('Données projet'!$B$12,Paramètres!$A$1:$I$89,3,0)*0.475*44/12</f>
        <v>3.5609715316255768</v>
      </c>
      <c r="CM77" s="21">
        <f>EXP(-LN(2)/2)*CM76+(1-EXP(-LN(2)/2))/(LN(2)/2)*CG77*CJ77*VLOOKUP('Données projet'!$B$12,Paramètres!$A$1:$I$89,3,0)*0.475*44/12</f>
        <v>5.4931101305509772E-6</v>
      </c>
      <c r="CN77" s="22">
        <f t="shared" si="66"/>
        <v>4.6381418720159839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900.57249219557184</v>
      </c>
      <c r="S78" s="59">
        <f ca="1">AVERAGE(OFFSET($R$3,0,0,'Données projet'!$E$9+1,1))-AVERAGE(OFFSET($H$3,0,0,'Données projet'!$E$9+1,1))</f>
        <v>318.40875902853116</v>
      </c>
      <c r="T78" s="59">
        <f t="shared" si="88"/>
        <v>234.87694492493506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3.9</v>
      </c>
      <c r="AI78" s="13">
        <f>IF('Données projet'!$A$62&gt;35,AI77+AH78-AQ77,IF(A78&lt;'Données projet'!$A$62,$AF$205^A78,IF(A78='Données projet'!$A$62,'Données projet'!$B$62,AI77+AH78-AQ77)))</f>
        <v>322.4999999999996</v>
      </c>
      <c r="AJ78" s="13">
        <f>AI78*VLOOKUP('Données projet'!$B$10,Paramètres!$A$1:$I$89,3,0)*VLOOKUP('Données projet'!$B$10,Paramètres!$A$1:$I$89,5,0)</f>
        <v>256.58099999999968</v>
      </c>
      <c r="AK78" s="13">
        <f t="shared" si="89"/>
        <v>61.993024805604399</v>
      </c>
      <c r="AL78" s="20">
        <f t="shared" si="58"/>
        <v>554.84975986976053</v>
      </c>
      <c r="AM78" s="59">
        <f t="shared" si="59"/>
        <v>848.1830932030939</v>
      </c>
      <c r="AN78" s="59">
        <f ca="1">AVERAGE(OFFSET($AM$3,0,0,'Données projet'!$E$10+1,1))-AVERAGE(OFFSET($H$3,0,0,'Données projet'!$E$10+1,1))</f>
        <v>260.20517190557814</v>
      </c>
      <c r="AO78" s="59">
        <f t="shared" si="90"/>
        <v>307.22009971147133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1.3383731907858383</v>
      </c>
      <c r="AV78" s="21">
        <f>EXP(-LN(2)/25)*AV77+(1-EXP(-LN(2)/25))/(LN(2)/25)*Calculateur!AQ78*Calculateur!AS78*VLOOKUP('Données projet'!$B$10,Paramètres!$A$1:$I$89,3,0)*0.475*44/12</f>
        <v>5.8927084737917479</v>
      </c>
      <c r="AW78" s="21">
        <f>EXP(-LN(2)/2)*AW77+(1-EXP(-LN(2)/2))/(LN(2)/2)*AQ78*AT78*VLOOKUP('Données projet'!$B$10,Paramètres!$A$1:$I$89,3,0)*0.475*44/12</f>
        <v>4.0526781399966162E-6</v>
      </c>
      <c r="AX78" s="21">
        <f t="shared" si="60"/>
        <v>7.2310857172557261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216.33299999999977</v>
      </c>
      <c r="BF78" s="13">
        <f t="shared" si="91"/>
        <v>53.317103385534544</v>
      </c>
      <c r="BG78" s="20">
        <f t="shared" si="61"/>
        <v>469.64059672980551</v>
      </c>
      <c r="BH78" s="59">
        <f t="shared" si="62"/>
        <v>762.97393006313882</v>
      </c>
      <c r="BI78" s="59">
        <f ca="1">AVERAGE(OFFSET($BH$3,0,0,'Données projet'!$E$11+1,1))-AVERAGE(OFFSET($H$3,0,0,'Données projet'!$E$11+1,1))</f>
        <v>207.93042467236967</v>
      </c>
      <c r="BJ78" s="59">
        <f t="shared" si="92"/>
        <v>250.70954318710835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1.1284322981135488</v>
      </c>
      <c r="BQ78" s="21">
        <f>EXP(-LN(2)/25)*BQ77+(1-EXP(-LN(2)/25))/(LN(2)/25)*Calculateur!BL78*Calculateur!BN78*VLOOKUP('Données projet'!$B$11,Paramètres!$A$1:$I$89,3,0)*0.475*44/12</f>
        <v>4.9683620465303022</v>
      </c>
      <c r="BR78" s="21">
        <f>EXP(-LN(2)/2)*BR77+(1-EXP(-LN(2)/2))/(LN(2)/2)*BL78*BO78*VLOOKUP('Données projet'!$B$11,Paramètres!$A$1:$I$89,3,0)*0.475*44/12</f>
        <v>3.4169639219579311E-6</v>
      </c>
      <c r="BS78" s="22">
        <f t="shared" si="63"/>
        <v>6.0967977616077729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310.99999999999989</v>
      </c>
      <c r="BZ78" s="13">
        <f>BY78*VLOOKUP('Données projet'!$B$12,Paramètres!$A$1:$I$89,3,0)*VLOOKUP('Données projet'!$B$12,Paramètres!$A$1:$I$89,5,0)</f>
        <v>300.79919999999993</v>
      </c>
      <c r="CA78" s="13">
        <f t="shared" si="93"/>
        <v>71.343980542341384</v>
      </c>
      <c r="CB78" s="20">
        <f t="shared" si="64"/>
        <v>648.14937277791114</v>
      </c>
      <c r="CC78" s="59">
        <f t="shared" si="65"/>
        <v>941.4827061112444</v>
      </c>
      <c r="CD78" s="59">
        <f ca="1">AVERAGE(OFFSET($CC$3,0,0,'Données projet'!$E$12+1,1))-AVERAGE(OFFSET($H$3,0,0,'Données projet'!$E$12+1,1))</f>
        <v>347.8889410585312</v>
      </c>
      <c r="CE78" s="59">
        <f t="shared" si="94"/>
        <v>254.78167322479203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1.0560423016307938</v>
      </c>
      <c r="CL78" s="21">
        <f>EXP(-LN(2)/25)*CL77+(1-EXP(-LN(2)/25))/(LN(2)/25)*Calculateur!CG78*Calculateur!CI78*VLOOKUP('Données projet'!$B$12,Paramètres!$A$1:$I$89,3,0)*0.475*44/12</f>
        <v>3.4635965778299211</v>
      </c>
      <c r="CM78" s="21">
        <f>EXP(-LN(2)/2)*CM77+(1-EXP(-LN(2)/2))/(LN(2)/2)*CG78*CJ78*VLOOKUP('Données projet'!$B$12,Paramètres!$A$1:$I$89,3,0)*0.475*44/12</f>
        <v>3.8842154231171173E-6</v>
      </c>
      <c r="CN78" s="22">
        <f t="shared" si="66"/>
        <v>4.5196427636761376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914.69343375208086</v>
      </c>
      <c r="S79" s="59">
        <f ca="1">AVERAGE(OFFSET($R$3,0,0,'Données projet'!$E$9+1,1))-AVERAGE(OFFSET($H$3,0,0,'Données projet'!$E$9+1,1))</f>
        <v>318.40875902853116</v>
      </c>
      <c r="T79" s="59">
        <f t="shared" si="88"/>
        <v>234.87694492493506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3.9</v>
      </c>
      <c r="AI79" s="13">
        <f>IF('Données projet'!$A$62&gt;35,AI78+AH79-AQ78,IF(A79&lt;'Données projet'!$A$62,$AF$205^A79,IF(A79='Données projet'!$A$62,'Données projet'!$B$62,AI78+AH79-AQ78)))</f>
        <v>326.39999999999958</v>
      </c>
      <c r="AJ79" s="13">
        <f>AI79*VLOOKUP('Données projet'!$B$10,Paramètres!$A$1:$I$89,3,0)*VLOOKUP('Données projet'!$B$10,Paramètres!$A$1:$I$89,5,0)</f>
        <v>259.68383999999969</v>
      </c>
      <c r="AK79" s="13">
        <f t="shared" si="89"/>
        <v>62.654980648867301</v>
      </c>
      <c r="AL79" s="20">
        <f t="shared" si="58"/>
        <v>561.40677929677668</v>
      </c>
      <c r="AM79" s="59">
        <f t="shared" si="59"/>
        <v>854.74011263010993</v>
      </c>
      <c r="AN79" s="59">
        <f ca="1">AVERAGE(OFFSET($AM$3,0,0,'Données projet'!$E$10+1,1))-AVERAGE(OFFSET($H$3,0,0,'Données projet'!$E$10+1,1))</f>
        <v>260.20517190557814</v>
      </c>
      <c r="AO79" s="59">
        <f t="shared" si="90"/>
        <v>307.22009971147133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1.3121285088415688</v>
      </c>
      <c r="AV79" s="21">
        <f>EXP(-LN(2)/25)*AV78+(1-EXP(-LN(2)/25))/(LN(2)/25)*Calculateur!AQ79*Calculateur!AS79*VLOOKUP('Données projet'!$B$10,Paramètres!$A$1:$I$89,3,0)*0.475*44/12</f>
        <v>5.7315720506918417</v>
      </c>
      <c r="AW79" s="21">
        <f>EXP(-LN(2)/2)*AW78+(1-EXP(-LN(2)/2))/(LN(2)/2)*AQ79*AT79*VLOOKUP('Données projet'!$B$10,Paramètres!$A$1:$I$89,3,0)*0.475*44/12</f>
        <v>2.8656761947580917E-6</v>
      </c>
      <c r="AX79" s="21">
        <f t="shared" si="60"/>
        <v>7.043703425209606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218.94911999999971</v>
      </c>
      <c r="BF79" s="13">
        <f t="shared" si="91"/>
        <v>53.886418534175526</v>
      </c>
      <c r="BG79" s="20">
        <f t="shared" si="61"/>
        <v>475.18856294702186</v>
      </c>
      <c r="BH79" s="59">
        <f t="shared" si="62"/>
        <v>768.52189628035512</v>
      </c>
      <c r="BI79" s="59">
        <f ca="1">AVERAGE(OFFSET($BH$3,0,0,'Données projet'!$E$11+1,1))-AVERAGE(OFFSET($H$3,0,0,'Données projet'!$E$11+1,1))</f>
        <v>207.93042467236967</v>
      </c>
      <c r="BJ79" s="59">
        <f t="shared" si="92"/>
        <v>250.70954318710835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1.1063044290232824</v>
      </c>
      <c r="BQ79" s="21">
        <f>EXP(-LN(2)/25)*BQ78+(1-EXP(-LN(2)/25))/(LN(2)/25)*Calculateur!BL79*Calculateur!BN79*VLOOKUP('Données projet'!$B$11,Paramètres!$A$1:$I$89,3,0)*0.475*44/12</f>
        <v>4.8325019250931263</v>
      </c>
      <c r="BR79" s="21">
        <f>EXP(-LN(2)/2)*BR78+(1-EXP(-LN(2)/2))/(LN(2)/2)*BL79*BO79*VLOOKUP('Données projet'!$B$11,Paramètres!$A$1:$I$89,3,0)*0.475*44/12</f>
        <v>2.416158360286234E-6</v>
      </c>
      <c r="BS79" s="22">
        <f t="shared" si="63"/>
        <v>5.9388087702747692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318.39999999999986</v>
      </c>
      <c r="BZ79" s="13">
        <f>BY79*VLOOKUP('Données projet'!$B$12,Paramètres!$A$1:$I$89,3,0)*VLOOKUP('Données projet'!$B$12,Paramètres!$A$1:$I$89,5,0)</f>
        <v>307.95647999999989</v>
      </c>
      <c r="CA79" s="13">
        <f t="shared" si="93"/>
        <v>72.841897726847819</v>
      </c>
      <c r="CB79" s="20">
        <f t="shared" si="64"/>
        <v>663.22384120759318</v>
      </c>
      <c r="CC79" s="59">
        <f t="shared" si="65"/>
        <v>956.55717454092655</v>
      </c>
      <c r="CD79" s="59">
        <f ca="1">AVERAGE(OFFSET($CC$3,0,0,'Données projet'!$E$12+1,1))-AVERAGE(OFFSET($H$3,0,0,'Données projet'!$E$12+1,1))</f>
        <v>347.8889410585312</v>
      </c>
      <c r="CE79" s="59">
        <f t="shared" si="94"/>
        <v>254.78167322479203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1.0353339562180162</v>
      </c>
      <c r="CL79" s="21">
        <f>EXP(-LN(2)/25)*CL78+(1-EXP(-LN(2)/25))/(LN(2)/25)*Calculateur!CG79*Calculateur!CI79*VLOOKUP('Données projet'!$B$12,Paramètres!$A$1:$I$89,3,0)*0.475*44/12</f>
        <v>3.3688843472665342</v>
      </c>
      <c r="CM79" s="21">
        <f>EXP(-LN(2)/2)*CM78+(1-EXP(-LN(2)/2))/(LN(2)/2)*CG79*CJ79*VLOOKUP('Données projet'!$B$12,Paramètres!$A$1:$I$89,3,0)*0.475*44/12</f>
        <v>2.7465550652754886E-6</v>
      </c>
      <c r="CN79" s="22">
        <f t="shared" si="66"/>
        <v>4.4042210500396157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928.80772983133124</v>
      </c>
      <c r="S80" s="59">
        <f ca="1">AVERAGE(OFFSET($R$3,0,0,'Données projet'!$E$9+1,1))-AVERAGE(OFFSET($H$3,0,0,'Données projet'!$E$9+1,1))</f>
        <v>318.40875902853116</v>
      </c>
      <c r="T80" s="59">
        <f t="shared" si="88"/>
        <v>234.87694492493506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3.9</v>
      </c>
      <c r="AI80" s="13">
        <f>IF('Données projet'!$A$62&gt;35,AI79+AH80-AQ79,IF(A80&lt;'Données projet'!$A$62,$AF$205^A80,IF(A80='Données projet'!$A$62,'Données projet'!$B$62,AI79+AH80-AQ79)))</f>
        <v>330.29999999999956</v>
      </c>
      <c r="AJ80" s="13">
        <f>AI80*VLOOKUP('Données projet'!$B$10,Paramètres!$A$1:$I$89,3,0)*VLOOKUP('Données projet'!$B$10,Paramètres!$A$1:$I$89,5,0)</f>
        <v>262.78667999999965</v>
      </c>
      <c r="AK80" s="13">
        <f t="shared" si="89"/>
        <v>63.316016454882053</v>
      </c>
      <c r="AL80" s="20">
        <f t="shared" si="58"/>
        <v>567.96219632558564</v>
      </c>
      <c r="AM80" s="59">
        <f t="shared" si="59"/>
        <v>861.29552965891889</v>
      </c>
      <c r="AN80" s="59">
        <f ca="1">AVERAGE(OFFSET($AM$3,0,0,'Données projet'!$E$10+1,1))-AVERAGE(OFFSET($H$3,0,0,'Données projet'!$E$10+1,1))</f>
        <v>260.20517190557814</v>
      </c>
      <c r="AO80" s="59">
        <f t="shared" si="90"/>
        <v>307.22009971147133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1.2863984691025512</v>
      </c>
      <c r="AV80" s="21">
        <f>EXP(-LN(2)/25)*AV79+(1-EXP(-LN(2)/25))/(LN(2)/25)*Calculateur!AQ80*Calculateur!AS80*VLOOKUP('Données projet'!$B$10,Paramètres!$A$1:$I$89,3,0)*0.475*44/12</f>
        <v>5.5748419115553984</v>
      </c>
      <c r="AW80" s="21">
        <f>EXP(-LN(2)/2)*AW79+(1-EXP(-LN(2)/2))/(LN(2)/2)*AQ80*AT80*VLOOKUP('Données projet'!$B$10,Paramètres!$A$1:$I$89,3,0)*0.475*44/12</f>
        <v>2.0263390699983081E-6</v>
      </c>
      <c r="AX80" s="21">
        <f t="shared" si="60"/>
        <v>6.8612424069970199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221.5652399999997</v>
      </c>
      <c r="BF80" s="13">
        <f t="shared" si="91"/>
        <v>54.454942404745644</v>
      </c>
      <c r="BG80" s="20">
        <f t="shared" si="61"/>
        <v>480.73515102159814</v>
      </c>
      <c r="BH80" s="59">
        <f t="shared" si="62"/>
        <v>774.06848435493146</v>
      </c>
      <c r="BI80" s="59">
        <f ca="1">AVERAGE(OFFSET($BH$3,0,0,'Données projet'!$E$11+1,1))-AVERAGE(OFFSET($H$3,0,0,'Données projet'!$E$11+1,1))</f>
        <v>207.93042467236967</v>
      </c>
      <c r="BJ80" s="59">
        <f t="shared" si="92"/>
        <v>250.70954318710835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1.0846104739492086</v>
      </c>
      <c r="BQ80" s="21">
        <f>EXP(-LN(2)/25)*BQ79+(1-EXP(-LN(2)/25))/(LN(2)/25)*Calculateur!BL80*Calculateur!BN80*VLOOKUP('Données projet'!$B$11,Paramètres!$A$1:$I$89,3,0)*0.475*44/12</f>
        <v>4.7003569058212236</v>
      </c>
      <c r="BR80" s="21">
        <f>EXP(-LN(2)/2)*BR79+(1-EXP(-LN(2)/2))/(LN(2)/2)*BL80*BO80*VLOOKUP('Données projet'!$B$11,Paramètres!$A$1:$I$89,3,0)*0.475*44/12</f>
        <v>1.7084819609789656E-6</v>
      </c>
      <c r="BS80" s="22">
        <f t="shared" si="63"/>
        <v>5.7849690882523932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325.79999999999984</v>
      </c>
      <c r="BZ80" s="13">
        <f>BY80*VLOOKUP('Données projet'!$B$12,Paramètres!$A$1:$I$89,3,0)*VLOOKUP('Données projet'!$B$12,Paramètres!$A$1:$I$89,5,0)</f>
        <v>315.11375999999984</v>
      </c>
      <c r="CA80" s="13">
        <f t="shared" si="93"/>
        <v>74.335767722617277</v>
      </c>
      <c r="CB80" s="20">
        <f t="shared" si="64"/>
        <v>678.29126078355807</v>
      </c>
      <c r="CC80" s="59">
        <f t="shared" si="65"/>
        <v>971.62459411689133</v>
      </c>
      <c r="CD80" s="59">
        <f ca="1">AVERAGE(OFFSET($CC$3,0,0,'Données projet'!$E$12+1,1))-AVERAGE(OFFSET($H$3,0,0,'Données projet'!$E$12+1,1))</f>
        <v>347.8889410585312</v>
      </c>
      <c r="CE80" s="59">
        <f t="shared" si="94"/>
        <v>254.78167322479203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1.0150316888279396</v>
      </c>
      <c r="CL80" s="21">
        <f>EXP(-LN(2)/25)*CL79+(1-EXP(-LN(2)/25))/(LN(2)/25)*Calculateur!CG80*Calculateur!CI80*VLOOKUP('Données projet'!$B$12,Paramètres!$A$1:$I$89,3,0)*0.475*44/12</f>
        <v>3.2767620276286027</v>
      </c>
      <c r="CM80" s="21">
        <f>EXP(-LN(2)/2)*CM79+(1-EXP(-LN(2)/2))/(LN(2)/2)*CG80*CJ80*VLOOKUP('Données projet'!$B$12,Paramètres!$A$1:$I$89,3,0)*0.475*44/12</f>
        <v>1.9421077115585586E-6</v>
      </c>
      <c r="CN80" s="22">
        <f t="shared" si="66"/>
        <v>4.2917956585642543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942.91554875038378</v>
      </c>
      <c r="S81" s="59">
        <f ca="1">AVERAGE(OFFSET($R$3,0,0,'Données projet'!$E$9+1,1))-AVERAGE(OFFSET($H$3,0,0,'Données projet'!$E$9+1,1))</f>
        <v>318.40875902853116</v>
      </c>
      <c r="T81" s="59">
        <f t="shared" si="88"/>
        <v>234.87694492493506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3.9</v>
      </c>
      <c r="AI81" s="13">
        <f>IF('Données projet'!$A$62&gt;35,AI80+AH81-AQ80,IF(A81&lt;'Données projet'!$A$62,$AF$205^A81,IF(A81='Données projet'!$A$62,'Données projet'!$B$62,AI80+AH81-AQ80)))</f>
        <v>334.19999999999953</v>
      </c>
      <c r="AJ81" s="13">
        <f>AI81*VLOOKUP('Données projet'!$B$10,Paramètres!$A$1:$I$89,3,0)*VLOOKUP('Données projet'!$B$10,Paramètres!$A$1:$I$89,5,0)</f>
        <v>265.88951999999961</v>
      </c>
      <c r="AK81" s="13">
        <f t="shared" si="89"/>
        <v>63.97614434366357</v>
      </c>
      <c r="AL81" s="20">
        <f t="shared" si="58"/>
        <v>574.51603206521338</v>
      </c>
      <c r="AM81" s="59">
        <f t="shared" si="59"/>
        <v>867.84936539854675</v>
      </c>
      <c r="AN81" s="59">
        <f ca="1">AVERAGE(OFFSET($AM$3,0,0,'Données projet'!$E$10+1,1))-AVERAGE(OFFSET($H$3,0,0,'Données projet'!$E$10+1,1))</f>
        <v>260.20517190557814</v>
      </c>
      <c r="AO81" s="59">
        <f t="shared" si="90"/>
        <v>307.22009971147133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1.261172979749041</v>
      </c>
      <c r="AV81" s="21">
        <f>EXP(-LN(2)/25)*AV80+(1-EXP(-LN(2)/25))/(LN(2)/25)*Calculateur!AQ81*Calculateur!AS81*VLOOKUP('Données projet'!$B$10,Paramètres!$A$1:$I$89,3,0)*0.475*44/12</f>
        <v>5.4223975663157216</v>
      </c>
      <c r="AW81" s="21">
        <f>EXP(-LN(2)/2)*AW80+(1-EXP(-LN(2)/2))/(LN(2)/2)*AQ81*AT81*VLOOKUP('Données projet'!$B$10,Paramètres!$A$1:$I$89,3,0)*0.475*44/12</f>
        <v>1.4328380973790459E-6</v>
      </c>
      <c r="AX81" s="21">
        <f t="shared" si="60"/>
        <v>6.6835719789028598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224.18135999999967</v>
      </c>
      <c r="BF81" s="13">
        <f t="shared" si="91"/>
        <v>55.022685421064054</v>
      </c>
      <c r="BG81" s="20">
        <f t="shared" si="61"/>
        <v>486.28037910835252</v>
      </c>
      <c r="BH81" s="59">
        <f t="shared" si="62"/>
        <v>779.61371244168583</v>
      </c>
      <c r="BI81" s="59">
        <f ca="1">AVERAGE(OFFSET($BH$3,0,0,'Données projet'!$E$11+1,1))-AVERAGE(OFFSET($H$3,0,0,'Données projet'!$E$11+1,1))</f>
        <v>207.93042467236967</v>
      </c>
      <c r="BJ81" s="59">
        <f t="shared" si="92"/>
        <v>250.70954318710835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1.0633419241021314</v>
      </c>
      <c r="BQ81" s="21">
        <f>EXP(-LN(2)/25)*BQ80+(1-EXP(-LN(2)/25))/(LN(2)/25)*Calculateur!BL81*Calculateur!BN81*VLOOKUP('Données projet'!$B$11,Paramètres!$A$1:$I$89,3,0)*0.475*44/12</f>
        <v>4.5718253990505158</v>
      </c>
      <c r="BR81" s="21">
        <f>EXP(-LN(2)/2)*BR80+(1-EXP(-LN(2)/2))/(LN(2)/2)*BL81*BO81*VLOOKUP('Données projet'!$B$11,Paramètres!$A$1:$I$89,3,0)*0.475*44/12</f>
        <v>1.208079180143117E-6</v>
      </c>
      <c r="BS81" s="22">
        <f t="shared" si="63"/>
        <v>5.6351685312318267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333.19999999999982</v>
      </c>
      <c r="BZ81" s="13">
        <f>BY81*VLOOKUP('Données projet'!$B$12,Paramètres!$A$1:$I$89,3,0)*VLOOKUP('Données projet'!$B$12,Paramètres!$A$1:$I$89,5,0)</f>
        <v>322.27103999999986</v>
      </c>
      <c r="CA81" s="13">
        <f t="shared" si="93"/>
        <v>75.825693037097096</v>
      </c>
      <c r="CB81" s="20">
        <f t="shared" si="64"/>
        <v>693.35181003961054</v>
      </c>
      <c r="CC81" s="59">
        <f t="shared" si="65"/>
        <v>986.68514337294391</v>
      </c>
      <c r="CD81" s="59">
        <f ca="1">AVERAGE(OFFSET($CC$3,0,0,'Données projet'!$E$12+1,1))-AVERAGE(OFFSET($H$3,0,0,'Données projet'!$E$12+1,1))</f>
        <v>347.8889410585312</v>
      </c>
      <c r="CE81" s="59">
        <f t="shared" si="94"/>
        <v>254.78167322479203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0.99512753651822206</v>
      </c>
      <c r="CL81" s="21">
        <f>EXP(-LN(2)/25)*CL80+(1-EXP(-LN(2)/25))/(LN(2)/25)*Calculateur!CG81*Calculateur!CI81*VLOOKUP('Données projet'!$B$12,Paramètres!$A$1:$I$89,3,0)*0.475*44/12</f>
        <v>3.1871587976656728</v>
      </c>
      <c r="CM81" s="21">
        <f>EXP(-LN(2)/2)*CM80+(1-EXP(-LN(2)/2))/(LN(2)/2)*CG81*CJ81*VLOOKUP('Données projet'!$B$12,Paramètres!$A$1:$I$89,3,0)*0.475*44/12</f>
        <v>1.3732775326377443E-6</v>
      </c>
      <c r="CN81" s="22">
        <f t="shared" si="66"/>
        <v>4.1822877074614278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957.01705092317547</v>
      </c>
      <c r="S82" s="59">
        <f ca="1">AVERAGE(OFFSET($R$3,0,0,'Données projet'!$E$9+1,1))-AVERAGE(OFFSET($H$3,0,0,'Données projet'!$E$9+1,1))</f>
        <v>318.40875902853116</v>
      </c>
      <c r="T82" s="59">
        <f t="shared" si="88"/>
        <v>234.87694492493506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3.9</v>
      </c>
      <c r="AI82" s="13">
        <f>IF('Données projet'!$A$62&gt;35,AI81+AH82-AQ81,IF(A82&lt;'Données projet'!$A$62,$AF$205^A82,IF(A82='Données projet'!$A$62,'Données projet'!$B$62,AI81+AH82-AQ81)))</f>
        <v>338.09999999999951</v>
      </c>
      <c r="AJ82" s="13">
        <f>AI82*VLOOKUP('Données projet'!$B$10,Paramètres!$A$1:$I$89,3,0)*VLOOKUP('Données projet'!$B$10,Paramètres!$A$1:$I$89,5,0)</f>
        <v>268.99235999999962</v>
      </c>
      <c r="AK82" s="13">
        <f t="shared" si="89"/>
        <v>64.63537613607356</v>
      </c>
      <c r="AL82" s="20">
        <f t="shared" si="58"/>
        <v>581.06830710366069</v>
      </c>
      <c r="AM82" s="59">
        <f t="shared" si="59"/>
        <v>874.40164043699406</v>
      </c>
      <c r="AN82" s="59">
        <f ca="1">AVERAGE(OFFSET($AM$3,0,0,'Données projet'!$E$10+1,1))-AVERAGE(OFFSET($H$3,0,0,'Données projet'!$E$10+1,1))</f>
        <v>260.20517190557814</v>
      </c>
      <c r="AO82" s="59">
        <f t="shared" si="90"/>
        <v>307.22009971147133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1.2364421468557238</v>
      </c>
      <c r="AV82" s="21">
        <f>EXP(-LN(2)/25)*AV81+(1-EXP(-LN(2)/25))/(LN(2)/25)*Calculateur!AQ82*Calculateur!AS82*VLOOKUP('Données projet'!$B$10,Paramètres!$A$1:$I$89,3,0)*0.475*44/12</f>
        <v>5.2741218197133231</v>
      </c>
      <c r="AW82" s="21">
        <f>EXP(-LN(2)/2)*AW81+(1-EXP(-LN(2)/2))/(LN(2)/2)*AQ82*AT82*VLOOKUP('Données projet'!$B$10,Paramètres!$A$1:$I$89,3,0)*0.475*44/12</f>
        <v>1.013169534999154E-6</v>
      </c>
      <c r="AX82" s="21">
        <f t="shared" si="60"/>
        <v>6.5105649797385814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226.79747999999967</v>
      </c>
      <c r="BF82" s="13">
        <f t="shared" si="91"/>
        <v>55.589657749663466</v>
      </c>
      <c r="BG82" s="20">
        <f t="shared" si="61"/>
        <v>491.82426491399656</v>
      </c>
      <c r="BH82" s="59">
        <f t="shared" si="62"/>
        <v>785.15759824732982</v>
      </c>
      <c r="BI82" s="59">
        <f ca="1">AVERAGE(OFFSET($BH$3,0,0,'Données projet'!$E$11+1,1))-AVERAGE(OFFSET($H$3,0,0,'Données projet'!$E$11+1,1))</f>
        <v>207.93042467236967</v>
      </c>
      <c r="BJ82" s="59">
        <f t="shared" si="92"/>
        <v>250.70954318710835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1.0424904375450208</v>
      </c>
      <c r="BQ82" s="21">
        <f>EXP(-LN(2)/25)*BQ81+(1-EXP(-LN(2)/25))/(LN(2)/25)*Calculateur!BL82*Calculateur!BN82*VLOOKUP('Données projet'!$B$11,Paramètres!$A$1:$I$89,3,0)*0.475*44/12</f>
        <v>4.4468085930916308</v>
      </c>
      <c r="BR82" s="21">
        <f>EXP(-LN(2)/2)*BR81+(1-EXP(-LN(2)/2))/(LN(2)/2)*BL82*BO82*VLOOKUP('Données projet'!$B$11,Paramètres!$A$1:$I$89,3,0)*0.475*44/12</f>
        <v>8.5424098048948278E-7</v>
      </c>
      <c r="BS82" s="22">
        <f t="shared" si="63"/>
        <v>5.4892998848776315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340.5999999999998</v>
      </c>
      <c r="BZ82" s="13">
        <f>BY82*VLOOKUP('Données projet'!$B$12,Paramètres!$A$1:$I$89,3,0)*VLOOKUP('Données projet'!$B$12,Paramètres!$A$1:$I$89,5,0)</f>
        <v>329.42831999999981</v>
      </c>
      <c r="CA82" s="13">
        <f t="shared" si="93"/>
        <v>77.311771364622189</v>
      </c>
      <c r="CB82" s="20">
        <f t="shared" si="64"/>
        <v>708.40565912671661</v>
      </c>
      <c r="CC82" s="59">
        <f t="shared" si="65"/>
        <v>1001.73899246005</v>
      </c>
      <c r="CD82" s="59">
        <f ca="1">AVERAGE(OFFSET($CC$3,0,0,'Données projet'!$E$12+1,1))-AVERAGE(OFFSET($H$3,0,0,'Données projet'!$E$12+1,1))</f>
        <v>347.8889410585312</v>
      </c>
      <c r="CE82" s="59">
        <f t="shared" si="94"/>
        <v>254.78167322479203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0.97561369249496388</v>
      </c>
      <c r="CL82" s="21">
        <f>EXP(-LN(2)/25)*CL81+(1-EXP(-LN(2)/25))/(LN(2)/25)*Calculateur!CG82*Calculateur!CI82*VLOOKUP('Données projet'!$B$12,Paramètres!$A$1:$I$89,3,0)*0.475*44/12</f>
        <v>3.1000057727381081</v>
      </c>
      <c r="CM82" s="21">
        <f>EXP(-LN(2)/2)*CM81+(1-EXP(-LN(2)/2))/(LN(2)/2)*CG82*CJ82*VLOOKUP('Données projet'!$B$12,Paramètres!$A$1:$I$89,3,0)*0.475*44/12</f>
        <v>9.7105385577927932E-7</v>
      </c>
      <c r="CN82" s="22">
        <f t="shared" si="66"/>
        <v>4.0756204362869282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971.11238939511895</v>
      </c>
      <c r="S83" s="59">
        <f ca="1">AVERAGE(OFFSET($R$3,0,0,'Données projet'!$E$9+1,1))-AVERAGE(OFFSET($H$3,0,0,'Données projet'!$E$9+1,1))</f>
        <v>318.40875902853116</v>
      </c>
      <c r="T83" s="59">
        <f t="shared" si="88"/>
        <v>234.87694492493506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342</v>
      </c>
      <c r="AG83" s="12">
        <f>VLOOKUP(A83,'Données projet'!$A$61:$I$81,9,0)</f>
        <v>3.9</v>
      </c>
      <c r="AH83" s="12">
        <f t="array" ref="AH83">INDEX(AG:AG,MIN(IF(ISNUMBER(AG83:AG279),ROW(AG83:AG279),"")))</f>
        <v>3.9</v>
      </c>
      <c r="AI83" s="13">
        <f>IF('Données projet'!$A$62&gt;35,AI82+AH83-AQ82,IF(A83&lt;'Données projet'!$A$62,$AF$205^A83,IF(A83='Données projet'!$A$62,'Données projet'!$B$62,AI82+AH83-AQ82)))</f>
        <v>341.99999999999949</v>
      </c>
      <c r="AJ83" s="13">
        <f>AI83*VLOOKUP('Données projet'!$B$10,Paramètres!$A$1:$I$89,3,0)*VLOOKUP('Données projet'!$B$10,Paramètres!$A$1:$I$89,5,0)</f>
        <v>272.09519999999958</v>
      </c>
      <c r="AK83" s="13">
        <f t="shared" si="89"/>
        <v>65.293723364568322</v>
      </c>
      <c r="AL83" s="20">
        <f t="shared" si="58"/>
        <v>587.61904152662237</v>
      </c>
      <c r="AM83" s="59">
        <f t="shared" si="59"/>
        <v>880.95237485995563</v>
      </c>
      <c r="AN83" s="59">
        <f ca="1">AVERAGE(OFFSET($AM$3,0,0,'Données projet'!$E$10+1,1))-AVERAGE(OFFSET($H$3,0,0,'Données projet'!$E$10+1,1))</f>
        <v>260.20517190557814</v>
      </c>
      <c r="AO83" s="59">
        <f t="shared" si="90"/>
        <v>307.22009971147133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1.212196270511126</v>
      </c>
      <c r="AV83" s="21">
        <f>EXP(-LN(2)/25)*AV82+(1-EXP(-LN(2)/25))/(LN(2)/25)*Calculateur!AQ83*Calculateur!AS83*VLOOKUP('Données projet'!$B$10,Paramètres!$A$1:$I$89,3,0)*0.475*44/12</f>
        <v>5.12990068119925</v>
      </c>
      <c r="AW83" s="21">
        <f>EXP(-LN(2)/2)*AW82+(1-EXP(-LN(2)/2))/(LN(2)/2)*AQ83*AT83*VLOOKUP('Données projet'!$B$10,Paramètres!$A$1:$I$89,3,0)*0.475*44/12</f>
        <v>7.1641904868952293E-7</v>
      </c>
      <c r="AX83" s="21">
        <f t="shared" si="60"/>
        <v>6.3420976681294245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229.41359999999966</v>
      </c>
      <c r="BF83" s="13">
        <f t="shared" si="91"/>
        <v>56.155869309033378</v>
      </c>
      <c r="BG83" s="20">
        <f t="shared" si="61"/>
        <v>497.36682571323246</v>
      </c>
      <c r="BH83" s="59">
        <f t="shared" si="62"/>
        <v>790.70015904656577</v>
      </c>
      <c r="BI83" s="59">
        <f ca="1">AVERAGE(OFFSET($BH$3,0,0,'Données projet'!$E$11+1,1))-AVERAGE(OFFSET($H$3,0,0,'Données projet'!$E$11+1,1))</f>
        <v>207.93042467236967</v>
      </c>
      <c r="BJ83" s="59">
        <f t="shared" si="92"/>
        <v>250.70954318710835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1.0220478359211442</v>
      </c>
      <c r="BQ83" s="21">
        <f>EXP(-LN(2)/25)*BQ82+(1-EXP(-LN(2)/25))/(LN(2)/25)*Calculateur!BL83*Calculateur!BN83*VLOOKUP('Données projet'!$B$11,Paramètres!$A$1:$I$89,3,0)*0.475*44/12</f>
        <v>4.3252103782660392</v>
      </c>
      <c r="BR83" s="21">
        <f>EXP(-LN(2)/2)*BR82+(1-EXP(-LN(2)/2))/(LN(2)/2)*BL83*BO83*VLOOKUP('Données projet'!$B$11,Paramètres!$A$1:$I$89,3,0)*0.475*44/12</f>
        <v>6.040395900715585E-7</v>
      </c>
      <c r="BS83" s="22">
        <f t="shared" si="63"/>
        <v>5.3472588182267735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348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347.99999999999977</v>
      </c>
      <c r="BZ83" s="13">
        <f>BY83*VLOOKUP('Données projet'!$B$12,Paramètres!$A$1:$I$89,3,0)*VLOOKUP('Données projet'!$B$12,Paramètres!$A$1:$I$89,5,0)</f>
        <v>336.58559999999977</v>
      </c>
      <c r="CA83" s="13">
        <f t="shared" si="93"/>
        <v>78.794095911992599</v>
      </c>
      <c r="CB83" s="20">
        <f t="shared" si="64"/>
        <v>723.45297038005344</v>
      </c>
      <c r="CC83" s="59">
        <f t="shared" si="65"/>
        <v>1016.7863037133868</v>
      </c>
      <c r="CD83" s="59">
        <f ca="1">AVERAGE(OFFSET($CC$3,0,0,'Données projet'!$E$12+1,1))-AVERAGE(OFFSET($H$3,0,0,'Données projet'!$E$12+1,1))</f>
        <v>347.8889410585312</v>
      </c>
      <c r="CE83" s="59">
        <f t="shared" si="94"/>
        <v>254.78167322479203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0.95648250305073224</v>
      </c>
      <c r="CL83" s="21">
        <f>EXP(-LN(2)/25)*CL82+(1-EXP(-LN(2)/25))/(LN(2)/25)*Calculateur!CG83*Calculateur!CI83*VLOOKUP('Données projet'!$B$12,Paramètres!$A$1:$I$89,3,0)*0.475*44/12</f>
        <v>3.0152359518603662</v>
      </c>
      <c r="CM83" s="21">
        <f>EXP(-LN(2)/2)*CM82+(1-EXP(-LN(2)/2))/(LN(2)/2)*CG83*CJ83*VLOOKUP('Données projet'!$B$12,Paramètres!$A$1:$I$89,3,0)*0.475*44/12</f>
        <v>6.8663876631887215E-7</v>
      </c>
      <c r="CN83" s="22">
        <f t="shared" si="66"/>
        <v>3.9717191415498645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876.89498634592928</v>
      </c>
      <c r="S84" s="59">
        <f ca="1">AVERAGE(OFFSET($R$3,0,0,'Données projet'!$E$9+1,1))-AVERAGE(OFFSET($H$3,0,0,'Données projet'!$E$9+1,1))</f>
        <v>318.40875902853116</v>
      </c>
      <c r="T84" s="59">
        <f t="shared" si="88"/>
        <v>234.87694492493506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-5.1159076974727213E-13</v>
      </c>
      <c r="AJ84" s="13">
        <f>AI84*VLOOKUP('Données projet'!$B$10,Paramètres!$A$1:$I$89,3,0)*VLOOKUP('Données projet'!$B$10,Paramètres!$A$1:$I$89,5,0)</f>
        <v>-4.0702161641092972E-13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260.20517190557814</v>
      </c>
      <c r="AO84" s="59">
        <f t="shared" si="90"/>
        <v>307.22009971147133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1.1884258410131214</v>
      </c>
      <c r="AV84" s="21">
        <f>EXP(-LN(2)/25)*AV83+(1-EXP(-LN(2)/25))/(LN(2)/25)*Calculateur!AQ84*Calculateur!AS84*VLOOKUP('Données projet'!$B$10,Paramètres!$A$1:$I$89,3,0)*0.475*44/12</f>
        <v>4.9896232773021039</v>
      </c>
      <c r="AW84" s="21">
        <f>EXP(-LN(2)/2)*AW83+(1-EXP(-LN(2)/2))/(LN(2)/2)*AQ84*AT84*VLOOKUP('Données projet'!$B$10,Paramètres!$A$1:$I$89,3,0)*0.475*44/12</f>
        <v>5.0658476749957702E-7</v>
      </c>
      <c r="AX84" s="21">
        <f t="shared" si="60"/>
        <v>6.1780496248999937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-3.4317508834647017E-13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207.93042467236967</v>
      </c>
      <c r="BJ84" s="59">
        <f t="shared" si="92"/>
        <v>250.70954318710835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1.0020061012463561</v>
      </c>
      <c r="BQ84" s="21">
        <f>EXP(-LN(2)/25)*BQ83+(1-EXP(-LN(2)/25))/(LN(2)/25)*Calculateur!BL84*Calculateur!BN84*VLOOKUP('Données projet'!$B$11,Paramètres!$A$1:$I$89,3,0)*0.475*44/12</f>
        <v>4.2069372730194257</v>
      </c>
      <c r="BR84" s="21">
        <f>EXP(-LN(2)/2)*BR83+(1-EXP(-LN(2)/2))/(LN(2)/2)*BL84*BO84*VLOOKUP('Données projet'!$B$11,Paramètres!$A$1:$I$89,3,0)*0.475*44/12</f>
        <v>4.2712049024474139E-7</v>
      </c>
      <c r="BS84" s="22">
        <f t="shared" si="63"/>
        <v>5.2089438013862717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298.5999999999998</v>
      </c>
      <c r="BZ84" s="13">
        <f>BY84*VLOOKUP('Données projet'!$B$12,Paramètres!$A$1:$I$89,3,0)*VLOOKUP('Données projet'!$B$12,Paramètres!$A$1:$I$89,5,0)</f>
        <v>288.80591999999979</v>
      </c>
      <c r="CA84" s="13">
        <f t="shared" si="93"/>
        <v>68.824585908996056</v>
      </c>
      <c r="CB84" s="20">
        <f t="shared" si="64"/>
        <v>622.87313112483434</v>
      </c>
      <c r="CC84" s="59">
        <f t="shared" si="65"/>
        <v>916.2064644581676</v>
      </c>
      <c r="CD84" s="59">
        <f ca="1">AVERAGE(OFFSET($CC$3,0,0,'Données projet'!$E$12+1,1))-AVERAGE(OFFSET($H$3,0,0,'Données projet'!$E$12+1,1))</f>
        <v>347.8889410585312</v>
      </c>
      <c r="CE84" s="59">
        <f t="shared" si="94"/>
        <v>254.78167322479203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0.93772646456262865</v>
      </c>
      <c r="CL84" s="21">
        <f>EXP(-LN(2)/25)*CL83+(1-EXP(-LN(2)/25))/(LN(2)/25)*Calculateur!CG84*Calculateur!CI84*VLOOKUP('Données projet'!$B$12,Paramètres!$A$1:$I$89,3,0)*0.475*44/12</f>
        <v>2.932784166192377</v>
      </c>
      <c r="CM84" s="21">
        <f>EXP(-LN(2)/2)*CM83+(1-EXP(-LN(2)/2))/(LN(2)/2)*CG84*CJ84*VLOOKUP('Données projet'!$B$12,Paramètres!$A$1:$I$89,3,0)*0.475*44/12</f>
        <v>4.8552692788963966E-7</v>
      </c>
      <c r="CN84" s="22">
        <f t="shared" si="66"/>
        <v>3.8705111162819339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889.49996729349868</v>
      </c>
      <c r="S85" s="59">
        <f ca="1">AVERAGE(OFFSET($R$3,0,0,'Données projet'!$E$9+1,1))-AVERAGE(OFFSET($H$3,0,0,'Données projet'!$E$9+1,1))</f>
        <v>318.40875902853116</v>
      </c>
      <c r="T85" s="59">
        <f t="shared" si="88"/>
        <v>234.87694492493506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-5.1159076974727213E-13</v>
      </c>
      <c r="AJ85" s="13">
        <f>AI85*VLOOKUP('Données projet'!$B$10,Paramètres!$A$1:$I$89,3,0)*VLOOKUP('Données projet'!$B$10,Paramètres!$A$1:$I$89,5,0)</f>
        <v>-4.0702161641092972E-13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260.20517190557814</v>
      </c>
      <c r="AO85" s="59">
        <f t="shared" si="90"/>
        <v>307.22009971147133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1.1651215351390423</v>
      </c>
      <c r="AV85" s="21">
        <f>EXP(-LN(2)/25)*AV84+(1-EXP(-LN(2)/25))/(LN(2)/25)*Calculateur!AQ85*Calculateur!AS85*VLOOKUP('Données projet'!$B$10,Paramètres!$A$1:$I$89,3,0)*0.475*44/12</f>
        <v>4.8531817663913932</v>
      </c>
      <c r="AW85" s="21">
        <f>EXP(-LN(2)/2)*AW84+(1-EXP(-LN(2)/2))/(LN(2)/2)*AQ85*AT85*VLOOKUP('Données projet'!$B$10,Paramètres!$A$1:$I$89,3,0)*0.475*44/12</f>
        <v>3.5820952434476146E-7</v>
      </c>
      <c r="AX85" s="21">
        <f t="shared" si="60"/>
        <v>6.01830365973996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-3.4317508834647017E-13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207.93042467236967</v>
      </c>
      <c r="BJ85" s="59">
        <f t="shared" si="92"/>
        <v>250.70954318710835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0.98235737276428947</v>
      </c>
      <c r="BQ85" s="21">
        <f>EXP(-LN(2)/25)*BQ84+(1-EXP(-LN(2)/25))/(LN(2)/25)*Calculateur!BL85*Calculateur!BN85*VLOOKUP('Données projet'!$B$11,Paramètres!$A$1:$I$89,3,0)*0.475*44/12</f>
        <v>4.0918983520554937</v>
      </c>
      <c r="BR85" s="21">
        <f>EXP(-LN(2)/2)*BR84+(1-EXP(-LN(2)/2))/(LN(2)/2)*BL85*BO85*VLOOKUP('Données projet'!$B$11,Paramètres!$A$1:$I$89,3,0)*0.475*44/12</f>
        <v>3.0201979503577925E-7</v>
      </c>
      <c r="BS85" s="22">
        <f t="shared" si="63"/>
        <v>5.0742560268395778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305.19999999999982</v>
      </c>
      <c r="BZ85" s="13">
        <f>BY85*VLOOKUP('Données projet'!$B$12,Paramètres!$A$1:$I$89,3,0)*VLOOKUP('Données projet'!$B$12,Paramètres!$A$1:$I$89,5,0)</f>
        <v>295.18943999999982</v>
      </c>
      <c r="CA85" s="13">
        <f t="shared" si="93"/>
        <v>70.167038498921158</v>
      </c>
      <c r="CB85" s="20">
        <f t="shared" si="64"/>
        <v>636.32920005228732</v>
      </c>
      <c r="CC85" s="59">
        <f t="shared" si="65"/>
        <v>929.66253338562069</v>
      </c>
      <c r="CD85" s="59">
        <f ca="1">AVERAGE(OFFSET($CC$3,0,0,'Données projet'!$E$12+1,1))-AVERAGE(OFFSET($H$3,0,0,'Données projet'!$E$12+1,1))</f>
        <v>347.8889410585312</v>
      </c>
      <c r="CE85" s="59">
        <f t="shared" si="94"/>
        <v>254.78167322479203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0.91933822054922287</v>
      </c>
      <c r="CL85" s="21">
        <f>EXP(-LN(2)/25)*CL84+(1-EXP(-LN(2)/25))/(LN(2)/25)*Calculateur!CG85*Calculateur!CI85*VLOOKUP('Données projet'!$B$12,Paramètres!$A$1:$I$89,3,0)*0.475*44/12</f>
        <v>2.8525870289394302</v>
      </c>
      <c r="CM85" s="21">
        <f>EXP(-LN(2)/2)*CM84+(1-EXP(-LN(2)/2))/(LN(2)/2)*CG85*CJ85*VLOOKUP('Données projet'!$B$12,Paramètres!$A$1:$I$89,3,0)*0.475*44/12</f>
        <v>3.4331938315943608E-7</v>
      </c>
      <c r="CN85" s="22">
        <f t="shared" si="66"/>
        <v>3.7719255928080364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902.09940615379742</v>
      </c>
      <c r="S86" s="59">
        <f ca="1">AVERAGE(OFFSET($R$3,0,0,'Données projet'!$E$9+1,1))-AVERAGE(OFFSET($H$3,0,0,'Données projet'!$E$9+1,1))</f>
        <v>318.40875902853116</v>
      </c>
      <c r="T86" s="59">
        <f t="shared" si="88"/>
        <v>234.87694492493506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-5.1159076974727213E-13</v>
      </c>
      <c r="AJ86" s="13">
        <f>AI86*VLOOKUP('Données projet'!$B$10,Paramètres!$A$1:$I$89,3,0)*VLOOKUP('Données projet'!$B$10,Paramètres!$A$1:$I$89,5,0)</f>
        <v>-4.0702161641092972E-13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260.20517190557814</v>
      </c>
      <c r="AO86" s="59">
        <f t="shared" si="90"/>
        <v>307.22009971147133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1.1422742124889309</v>
      </c>
      <c r="AV86" s="21">
        <f>EXP(-LN(2)/25)*AV85+(1-EXP(-LN(2)/25))/(LN(2)/25)*Calculateur!AQ86*Calculateur!AS86*VLOOKUP('Données projet'!$B$10,Paramètres!$A$1:$I$89,3,0)*0.475*44/12</f>
        <v>4.7204712557716837</v>
      </c>
      <c r="AW86" s="21">
        <f>EXP(-LN(2)/2)*AW85+(1-EXP(-LN(2)/2))/(LN(2)/2)*AQ86*AT86*VLOOKUP('Données projet'!$B$10,Paramètres!$A$1:$I$89,3,0)*0.475*44/12</f>
        <v>2.5329238374978851E-7</v>
      </c>
      <c r="AX86" s="21">
        <f t="shared" si="60"/>
        <v>5.8627457215529981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-3.4317508834647017E-13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207.93042467236967</v>
      </c>
      <c r="BJ86" s="59">
        <f t="shared" si="92"/>
        <v>250.70954318710835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0.96309394386321512</v>
      </c>
      <c r="BQ86" s="21">
        <f>EXP(-LN(2)/25)*BQ85+(1-EXP(-LN(2)/25))/(LN(2)/25)*Calculateur!BL86*Calculateur!BN86*VLOOKUP('Données projet'!$B$11,Paramètres!$A$1:$I$89,3,0)*0.475*44/12</f>
        <v>3.980005176434954</v>
      </c>
      <c r="BR86" s="21">
        <f>EXP(-LN(2)/2)*BR85+(1-EXP(-LN(2)/2))/(LN(2)/2)*BL86*BO86*VLOOKUP('Données projet'!$B$11,Paramètres!$A$1:$I$89,3,0)*0.475*44/12</f>
        <v>2.1356024512237069E-7</v>
      </c>
      <c r="BS86" s="22">
        <f t="shared" si="63"/>
        <v>4.9430993338584139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311.79999999999984</v>
      </c>
      <c r="BZ86" s="13">
        <f>BY86*VLOOKUP('Données projet'!$B$12,Paramètres!$A$1:$I$89,3,0)*VLOOKUP('Données projet'!$B$12,Paramètres!$A$1:$I$89,5,0)</f>
        <v>301.57295999999985</v>
      </c>
      <c r="CA86" s="13">
        <f t="shared" si="93"/>
        <v>71.506115880067313</v>
      </c>
      <c r="CB86" s="20">
        <f t="shared" si="64"/>
        <v>649.77939049111694</v>
      </c>
      <c r="CC86" s="59">
        <f t="shared" si="65"/>
        <v>943.11272382445031</v>
      </c>
      <c r="CD86" s="59">
        <f ca="1">AVERAGE(OFFSET($CC$3,0,0,'Données projet'!$E$12+1,1))-AVERAGE(OFFSET($H$3,0,0,'Données projet'!$E$12+1,1))</f>
        <v>347.8889410585312</v>
      </c>
      <c r="CE86" s="59">
        <f t="shared" si="94"/>
        <v>254.78167322479203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0.90131055878519861</v>
      </c>
      <c r="CL86" s="21">
        <f>EXP(-LN(2)/25)*CL85+(1-EXP(-LN(2)/25))/(LN(2)/25)*Calculateur!CG86*Calculateur!CI86*VLOOKUP('Données projet'!$B$12,Paramètres!$A$1:$I$89,3,0)*0.475*44/12</f>
        <v>2.7745828866220492</v>
      </c>
      <c r="CM86" s="21">
        <f>EXP(-LN(2)/2)*CM85+(1-EXP(-LN(2)/2))/(LN(2)/2)*CG86*CJ86*VLOOKUP('Données projet'!$B$12,Paramètres!$A$1:$I$89,3,0)*0.475*44/12</f>
        <v>2.4276346394481983E-7</v>
      </c>
      <c r="CN86" s="22">
        <f t="shared" si="66"/>
        <v>3.6758936881707118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318.40875902853116</v>
      </c>
      <c r="T87" s="59">
        <f t="shared" si="88"/>
        <v>234.87694492493506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-5.1159076974727213E-13</v>
      </c>
      <c r="AJ87" s="13">
        <f>AI87*VLOOKUP('Données projet'!$B$10,Paramètres!$A$1:$I$89,3,0)*VLOOKUP('Données projet'!$B$10,Paramètres!$A$1:$I$89,5,0)</f>
        <v>-4.0702161641092972E-13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260.20517190557814</v>
      </c>
      <c r="AO87" s="59">
        <f t="shared" si="90"/>
        <v>307.22009971147133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1.1198749119004974</v>
      </c>
      <c r="AV87" s="21">
        <f>EXP(-LN(2)/25)*AV86+(1-EXP(-LN(2)/25))/(LN(2)/25)*Calculateur!AQ87*Calculateur!AS87*VLOOKUP('Données projet'!$B$10,Paramètres!$A$1:$I$89,3,0)*0.475*44/12</f>
        <v>4.5913897210438126</v>
      </c>
      <c r="AW87" s="21">
        <f>EXP(-LN(2)/2)*AW86+(1-EXP(-LN(2)/2))/(LN(2)/2)*AQ87*AT87*VLOOKUP('Données projet'!$B$10,Paramètres!$A$1:$I$89,3,0)*0.475*44/12</f>
        <v>1.7910476217238073E-7</v>
      </c>
      <c r="AX87" s="21">
        <f t="shared" si="60"/>
        <v>5.7112648120490723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-3.4317508834647017E-13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207.93042467236967</v>
      </c>
      <c r="BJ87" s="59">
        <f t="shared" si="92"/>
        <v>250.70954318710835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0.94420825905335937</v>
      </c>
      <c r="BQ87" s="21">
        <f>EXP(-LN(2)/25)*BQ86+(1-EXP(-LN(2)/25))/(LN(2)/25)*Calculateur!BL87*Calculateur!BN87*VLOOKUP('Données projet'!$B$11,Paramètres!$A$1:$I$89,3,0)*0.475*44/12</f>
        <v>3.8711717255859646</v>
      </c>
      <c r="BR87" s="21">
        <f>EXP(-LN(2)/2)*BR86+(1-EXP(-LN(2)/2))/(LN(2)/2)*BL87*BO87*VLOOKUP('Données projet'!$B$11,Paramètres!$A$1:$I$89,3,0)*0.475*44/12</f>
        <v>1.5100989751788963E-7</v>
      </c>
      <c r="BS87" s="22">
        <f t="shared" si="63"/>
        <v>4.8153801356492218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318.39999999999986</v>
      </c>
      <c r="BZ87" s="13">
        <f>BY87*VLOOKUP('Données projet'!$B$12,Paramètres!$A$1:$I$89,3,0)*VLOOKUP('Données projet'!$B$12,Paramètres!$A$1:$I$89,5,0)</f>
        <v>307.95647999999989</v>
      </c>
      <c r="CA87" s="13">
        <f t="shared" si="93"/>
        <v>72.841897726847819</v>
      </c>
      <c r="CB87" s="20">
        <f t="shared" si="64"/>
        <v>663.22384120759318</v>
      </c>
      <c r="CC87" s="59">
        <f t="shared" si="65"/>
        <v>956.55717454092655</v>
      </c>
      <c r="CD87" s="59">
        <f ca="1">AVERAGE(OFFSET($CC$3,0,0,'Données projet'!$E$12+1,1))-AVERAGE(OFFSET($H$3,0,0,'Données projet'!$E$12+1,1))</f>
        <v>347.8889410585312</v>
      </c>
      <c r="CE87" s="59">
        <f t="shared" si="94"/>
        <v>254.78167322479203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0.88363640847257885</v>
      </c>
      <c r="CL87" s="21">
        <f>EXP(-LN(2)/25)*CL86+(1-EXP(-LN(2)/25))/(LN(2)/25)*Calculateur!CG87*Calculateur!CI87*VLOOKUP('Données projet'!$B$12,Paramètres!$A$1:$I$89,3,0)*0.475*44/12</f>
        <v>2.6987117716783966</v>
      </c>
      <c r="CM87" s="21">
        <f>EXP(-LN(2)/2)*CM86+(1-EXP(-LN(2)/2))/(LN(2)/2)*CG87*CJ87*VLOOKUP('Données projet'!$B$12,Paramètres!$A$1:$I$89,3,0)*0.475*44/12</f>
        <v>1.7165969157971804E-7</v>
      </c>
      <c r="CN87" s="22">
        <f t="shared" si="66"/>
        <v>3.5823483518106674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927.28217517997336</v>
      </c>
      <c r="S88" s="59">
        <f ca="1">AVERAGE(OFFSET($R$3,0,0,'Données projet'!$E$9+1,1))-AVERAGE(OFFSET($H$3,0,0,'Données projet'!$E$9+1,1))</f>
        <v>318.40875902853116</v>
      </c>
      <c r="T88" s="59">
        <f t="shared" si="88"/>
        <v>234.87694492493506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-5.1159076974727213E-13</v>
      </c>
      <c r="AJ88" s="13">
        <f>AI88*VLOOKUP('Données projet'!$B$10,Paramètres!$A$1:$I$89,3,0)*VLOOKUP('Données projet'!$B$10,Paramètres!$A$1:$I$89,5,0)</f>
        <v>-4.0702161641092972E-13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260.20517190557814</v>
      </c>
      <c r="AO88" s="59">
        <f t="shared" si="90"/>
        <v>307.22009971147133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1.0979148479343788</v>
      </c>
      <c r="AV88" s="21">
        <f>EXP(-LN(2)/25)*AV87+(1-EXP(-LN(2)/25))/(LN(2)/25)*Calculateur!AQ88*Calculateur!AS88*VLOOKUP('Données projet'!$B$10,Paramètres!$A$1:$I$89,3,0)*0.475*44/12</f>
        <v>4.4658379276711777</v>
      </c>
      <c r="AW88" s="21">
        <f>EXP(-LN(2)/2)*AW87+(1-EXP(-LN(2)/2))/(LN(2)/2)*AQ88*AT88*VLOOKUP('Données projet'!$B$10,Paramètres!$A$1:$I$89,3,0)*0.475*44/12</f>
        <v>1.2664619187489426E-7</v>
      </c>
      <c r="AX88" s="21">
        <f t="shared" si="60"/>
        <v>5.5637529022517489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-3.4317508834647017E-13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207.93042467236967</v>
      </c>
      <c r="BJ88" s="59">
        <f t="shared" si="92"/>
        <v>250.70954318710835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0.9256929110034946</v>
      </c>
      <c r="BQ88" s="21">
        <f>EXP(-LN(2)/25)*BQ87+(1-EXP(-LN(2)/25))/(LN(2)/25)*Calculateur!BL88*Calculateur!BN88*VLOOKUP('Données projet'!$B$11,Paramètres!$A$1:$I$89,3,0)*0.475*44/12</f>
        <v>3.7653143311737431</v>
      </c>
      <c r="BR88" s="21">
        <f>EXP(-LN(2)/2)*BR87+(1-EXP(-LN(2)/2))/(LN(2)/2)*BL88*BO88*VLOOKUP('Données projet'!$B$11,Paramètres!$A$1:$I$89,3,0)*0.475*44/12</f>
        <v>1.0678012256118535E-7</v>
      </c>
      <c r="BS88" s="22">
        <f t="shared" si="63"/>
        <v>4.6910073489573598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324.99999999999989</v>
      </c>
      <c r="BZ88" s="13">
        <f>BY88*VLOOKUP('Données projet'!$B$12,Paramètres!$A$1:$I$89,3,0)*VLOOKUP('Données projet'!$B$12,Paramètres!$A$1:$I$89,5,0)</f>
        <v>314.33999999999986</v>
      </c>
      <c r="CA88" s="13">
        <f t="shared" si="93"/>
        <v>74.174460221814215</v>
      </c>
      <c r="CB88" s="20">
        <f t="shared" si="64"/>
        <v>676.66268488632613</v>
      </c>
      <c r="CC88" s="59">
        <f t="shared" si="65"/>
        <v>969.99601821965939</v>
      </c>
      <c r="CD88" s="59">
        <f ca="1">AVERAGE(OFFSET($CC$3,0,0,'Données projet'!$E$12+1,1))-AVERAGE(OFFSET($H$3,0,0,'Données projet'!$E$12+1,1))</f>
        <v>347.8889410585312</v>
      </c>
      <c r="CE88" s="59">
        <f t="shared" si="94"/>
        <v>254.78167322479203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0.86630883746742238</v>
      </c>
      <c r="CL88" s="21">
        <f>EXP(-LN(2)/25)*CL87+(1-EXP(-LN(2)/25))/(LN(2)/25)*Calculateur!CG88*Calculateur!CI88*VLOOKUP('Données projet'!$B$12,Paramètres!$A$1:$I$89,3,0)*0.475*44/12</f>
        <v>2.624915356362767</v>
      </c>
      <c r="CM88" s="21">
        <f>EXP(-LN(2)/2)*CM87+(1-EXP(-LN(2)/2))/(LN(2)/2)*CG88*CJ88*VLOOKUP('Données projet'!$B$12,Paramètres!$A$1:$I$89,3,0)*0.475*44/12</f>
        <v>1.2138173197240992E-7</v>
      </c>
      <c r="CN88" s="22">
        <f t="shared" si="66"/>
        <v>3.4912243152119209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939.86575015800327</v>
      </c>
      <c r="S89" s="59">
        <f ca="1">AVERAGE(OFFSET($R$3,0,0,'Données projet'!$E$9+1,1))-AVERAGE(OFFSET($H$3,0,0,'Données projet'!$E$9+1,1))</f>
        <v>318.40875902853116</v>
      </c>
      <c r="T89" s="59">
        <f t="shared" si="88"/>
        <v>234.87694492493506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-5.1159076974727213E-13</v>
      </c>
      <c r="AJ89" s="13">
        <f>AI89*VLOOKUP('Données projet'!$B$10,Paramètres!$A$1:$I$89,3,0)*VLOOKUP('Données projet'!$B$10,Paramètres!$A$1:$I$89,5,0)</f>
        <v>-4.0702161641092972E-13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260.20517190557814</v>
      </c>
      <c r="AO89" s="59">
        <f t="shared" si="90"/>
        <v>307.22009971147133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1.0763854074283192</v>
      </c>
      <c r="AV89" s="21">
        <f>EXP(-LN(2)/25)*AV88+(1-EXP(-LN(2)/25))/(LN(2)/25)*Calculateur!AQ89*Calculateur!AS89*VLOOKUP('Données projet'!$B$10,Paramètres!$A$1:$I$89,3,0)*0.475*44/12</f>
        <v>4.3437193546907995</v>
      </c>
      <c r="AW89" s="21">
        <f>EXP(-LN(2)/2)*AW88+(1-EXP(-LN(2)/2))/(LN(2)/2)*AQ89*AT89*VLOOKUP('Données projet'!$B$10,Paramètres!$A$1:$I$89,3,0)*0.475*44/12</f>
        <v>8.9552381086190366E-8</v>
      </c>
      <c r="AX89" s="21">
        <f t="shared" si="60"/>
        <v>5.4201048516714998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-3.4317508834647017E-13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207.93042467236967</v>
      </c>
      <c r="BJ89" s="59">
        <f t="shared" si="92"/>
        <v>250.70954318710835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0.90754063763564052</v>
      </c>
      <c r="BQ89" s="21">
        <f>EXP(-LN(2)/25)*BQ88+(1-EXP(-LN(2)/25))/(LN(2)/25)*Calculateur!BL89*Calculateur!BN89*VLOOKUP('Données projet'!$B$11,Paramètres!$A$1:$I$89,3,0)*0.475*44/12</f>
        <v>3.6623516127785223</v>
      </c>
      <c r="BR89" s="21">
        <f>EXP(-LN(2)/2)*BR88+(1-EXP(-LN(2)/2))/(LN(2)/2)*BL89*BO89*VLOOKUP('Données projet'!$B$11,Paramètres!$A$1:$I$89,3,0)*0.475*44/12</f>
        <v>7.5504948758944813E-8</v>
      </c>
      <c r="BS89" s="22">
        <f t="shared" si="63"/>
        <v>4.5698923259191115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331.59999999999991</v>
      </c>
      <c r="BZ89" s="13">
        <f>BY89*VLOOKUP('Données projet'!$B$12,Paramètres!$A$1:$I$89,3,0)*VLOOKUP('Données projet'!$B$12,Paramètres!$A$1:$I$89,5,0)</f>
        <v>320.72351999999995</v>
      </c>
      <c r="CA89" s="13">
        <f t="shared" si="93"/>
        <v>75.503876276445041</v>
      </c>
      <c r="CB89" s="20">
        <f t="shared" si="64"/>
        <v>690.09604851480833</v>
      </c>
      <c r="CC89" s="59">
        <f t="shared" si="65"/>
        <v>983.4293818481417</v>
      </c>
      <c r="CD89" s="59">
        <f ca="1">AVERAGE(OFFSET($CC$3,0,0,'Données projet'!$E$12+1,1))-AVERAGE(OFFSET($H$3,0,0,'Données projet'!$E$12+1,1))</f>
        <v>347.8889410585312</v>
      </c>
      <c r="CE89" s="59">
        <f t="shared" si="94"/>
        <v>254.78167322479203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0.84932104956090226</v>
      </c>
      <c r="CL89" s="21">
        <f>EXP(-LN(2)/25)*CL88+(1-EXP(-LN(2)/25))/(LN(2)/25)*Calculateur!CG89*Calculateur!CI89*VLOOKUP('Données projet'!$B$12,Paramètres!$A$1:$I$89,3,0)*0.475*44/12</f>
        <v>2.5531369079047277</v>
      </c>
      <c r="CM89" s="21">
        <f>EXP(-LN(2)/2)*CM88+(1-EXP(-LN(2)/2))/(LN(2)/2)*CG89*CJ89*VLOOKUP('Données projet'!$B$12,Paramètres!$A$1:$I$89,3,0)*0.475*44/12</f>
        <v>8.5829845789859019E-8</v>
      </c>
      <c r="CN89" s="22">
        <f t="shared" si="66"/>
        <v>3.4024580432954759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952.44427336845933</v>
      </c>
      <c r="S90" s="59">
        <f ca="1">AVERAGE(OFFSET($R$3,0,0,'Données projet'!$E$9+1,1))-AVERAGE(OFFSET($H$3,0,0,'Données projet'!$E$9+1,1))</f>
        <v>318.40875902853116</v>
      </c>
      <c r="T90" s="59">
        <f t="shared" si="88"/>
        <v>234.87694492493506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-5.1159076974727213E-13</v>
      </c>
      <c r="AJ90" s="13">
        <f>AI90*VLOOKUP('Données projet'!$B$10,Paramètres!$A$1:$I$89,3,0)*VLOOKUP('Données projet'!$B$10,Paramètres!$A$1:$I$89,5,0)</f>
        <v>-4.0702161641092972E-13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260.20517190557814</v>
      </c>
      <c r="AO90" s="59">
        <f t="shared" si="90"/>
        <v>307.22009971147133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1.0552781461189213</v>
      </c>
      <c r="AV90" s="21">
        <f>EXP(-LN(2)/25)*AV89+(1-EXP(-LN(2)/25))/(LN(2)/25)*Calculateur!AQ90*Calculateur!AS90*VLOOKUP('Données projet'!$B$10,Paramètres!$A$1:$I$89,3,0)*0.475*44/12</f>
        <v>4.2249401205105066</v>
      </c>
      <c r="AW90" s="21">
        <f>EXP(-LN(2)/2)*AW89+(1-EXP(-LN(2)/2))/(LN(2)/2)*AQ90*AT90*VLOOKUP('Données projet'!$B$10,Paramètres!$A$1:$I$89,3,0)*0.475*44/12</f>
        <v>6.3323095937447128E-8</v>
      </c>
      <c r="AX90" s="21">
        <f t="shared" si="60"/>
        <v>5.2802183299525236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-3.4317508834647017E-13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207.93042467236967</v>
      </c>
      <c r="BJ90" s="59">
        <f t="shared" si="92"/>
        <v>250.70954318710835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0.88974431927673658</v>
      </c>
      <c r="BQ90" s="21">
        <f>EXP(-LN(2)/25)*BQ89+(1-EXP(-LN(2)/25))/(LN(2)/25)*Calculateur!BL90*Calculateur!BN90*VLOOKUP('Données projet'!$B$11,Paramètres!$A$1:$I$89,3,0)*0.475*44/12</f>
        <v>3.5622044153323928</v>
      </c>
      <c r="BR90" s="21">
        <f>EXP(-LN(2)/2)*BR89+(1-EXP(-LN(2)/2))/(LN(2)/2)*BL90*BO90*VLOOKUP('Données projet'!$B$11,Paramètres!$A$1:$I$89,3,0)*0.475*44/12</f>
        <v>5.3390061280592674E-8</v>
      </c>
      <c r="BS90" s="22">
        <f t="shared" si="63"/>
        <v>4.451948787999191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338.19999999999993</v>
      </c>
      <c r="BZ90" s="13">
        <f>BY90*VLOOKUP('Données projet'!$B$12,Paramètres!$A$1:$I$89,3,0)*VLOOKUP('Données projet'!$B$12,Paramètres!$A$1:$I$89,5,0)</f>
        <v>327.10703999999998</v>
      </c>
      <c r="CA90" s="13">
        <f t="shared" si="93"/>
        <v>76.830215733860527</v>
      </c>
      <c r="CB90" s="20">
        <f t="shared" si="64"/>
        <v>703.52405373647377</v>
      </c>
      <c r="CC90" s="59">
        <f t="shared" si="65"/>
        <v>996.85738706980715</v>
      </c>
      <c r="CD90" s="59">
        <f ca="1">AVERAGE(OFFSET($CC$3,0,0,'Données projet'!$E$12+1,1))-AVERAGE(OFFSET($H$3,0,0,'Données projet'!$E$12+1,1))</f>
        <v>347.8889410585312</v>
      </c>
      <c r="CE90" s="59">
        <f t="shared" si="94"/>
        <v>254.78167322479203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0.83266638181370156</v>
      </c>
      <c r="CL90" s="21">
        <f>EXP(-LN(2)/25)*CL89+(1-EXP(-LN(2)/25))/(LN(2)/25)*Calculateur!CG90*Calculateur!CI90*VLOOKUP('Données projet'!$B$12,Paramètres!$A$1:$I$89,3,0)*0.475*44/12</f>
        <v>2.4833212448944382</v>
      </c>
      <c r="CM90" s="21">
        <f>EXP(-LN(2)/2)*CM89+(1-EXP(-LN(2)/2))/(LN(2)/2)*CG90*CJ90*VLOOKUP('Données projet'!$B$12,Paramètres!$A$1:$I$89,3,0)*0.475*44/12</f>
        <v>6.0690865986204958E-8</v>
      </c>
      <c r="CN90" s="22">
        <f t="shared" si="66"/>
        <v>3.315987687399006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965.01785476152986</v>
      </c>
      <c r="S91" s="59">
        <f ca="1">AVERAGE(OFFSET($R$3,0,0,'Données projet'!$E$9+1,1))-AVERAGE(OFFSET($H$3,0,0,'Données projet'!$E$9+1,1))</f>
        <v>318.40875902853116</v>
      </c>
      <c r="T91" s="59">
        <f t="shared" si="88"/>
        <v>234.87694492493506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-5.1159076974727213E-13</v>
      </c>
      <c r="AJ91" s="13">
        <f>AI91*VLOOKUP('Données projet'!$B$10,Paramètres!$A$1:$I$89,3,0)*VLOOKUP('Données projet'!$B$10,Paramètres!$A$1:$I$89,5,0)</f>
        <v>-4.0702161641092972E-13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260.20517190557814</v>
      </c>
      <c r="AO91" s="59">
        <f t="shared" si="90"/>
        <v>307.22009971147133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1.0345847853296426</v>
      </c>
      <c r="AV91" s="21">
        <f>EXP(-LN(2)/25)*AV90+(1-EXP(-LN(2)/25))/(LN(2)/25)*Calculateur!AQ91*Calculateur!AS91*VLOOKUP('Données projet'!$B$10,Paramètres!$A$1:$I$89,3,0)*0.475*44/12</f>
        <v>4.1094089107352021</v>
      </c>
      <c r="AW91" s="21">
        <f>EXP(-LN(2)/2)*AW90+(1-EXP(-LN(2)/2))/(LN(2)/2)*AQ91*AT91*VLOOKUP('Données projet'!$B$10,Paramètres!$A$1:$I$89,3,0)*0.475*44/12</f>
        <v>4.4776190543095183E-8</v>
      </c>
      <c r="AX91" s="21">
        <f t="shared" si="60"/>
        <v>5.1439937408410357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-3.4317508834647017E-13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207.93042467236967</v>
      </c>
      <c r="BJ91" s="59">
        <f t="shared" si="92"/>
        <v>250.70954318710835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0.87229697586616828</v>
      </c>
      <c r="BQ91" s="21">
        <f>EXP(-LN(2)/25)*BQ90+(1-EXP(-LN(2)/25))/(LN(2)/25)*Calculateur!BL91*Calculateur!BN91*VLOOKUP('Données projet'!$B$11,Paramètres!$A$1:$I$89,3,0)*0.475*44/12</f>
        <v>3.46479574826694</v>
      </c>
      <c r="BR91" s="21">
        <f>EXP(-LN(2)/2)*BR90+(1-EXP(-LN(2)/2))/(LN(2)/2)*BL91*BO91*VLOOKUP('Données projet'!$B$11,Paramètres!$A$1:$I$89,3,0)*0.475*44/12</f>
        <v>3.7752474379472407E-8</v>
      </c>
      <c r="BS91" s="22">
        <f t="shared" si="63"/>
        <v>4.3370927618855823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344.79999999999995</v>
      </c>
      <c r="BZ91" s="13">
        <f>BY91*VLOOKUP('Données projet'!$B$12,Paramètres!$A$1:$I$89,3,0)*VLOOKUP('Données projet'!$B$12,Paramètres!$A$1:$I$89,5,0)</f>
        <v>333.49055999999996</v>
      </c>
      <c r="CA91" s="13">
        <f t="shared" si="93"/>
        <v>78.153545555265694</v>
      </c>
      <c r="CB91" s="20">
        <f t="shared" si="64"/>
        <v>716.94681717542096</v>
      </c>
      <c r="CC91" s="59">
        <f t="shared" si="65"/>
        <v>1010.2801505087543</v>
      </c>
      <c r="CD91" s="59">
        <f ca="1">AVERAGE(OFFSET($CC$3,0,0,'Données projet'!$E$12+1,1))-AVERAGE(OFFSET($H$3,0,0,'Données projet'!$E$12+1,1))</f>
        <v>347.8889410585312</v>
      </c>
      <c r="CE91" s="59">
        <f t="shared" si="94"/>
        <v>254.78167322479203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0.8163383019426792</v>
      </c>
      <c r="CL91" s="21">
        <f>EXP(-LN(2)/25)*CL90+(1-EXP(-LN(2)/25))/(LN(2)/25)*Calculateur!CG91*Calculateur!CI91*VLOOKUP('Données projet'!$B$12,Paramètres!$A$1:$I$89,3,0)*0.475*44/12</f>
        <v>2.415414694860611</v>
      </c>
      <c r="CM91" s="21">
        <f>EXP(-LN(2)/2)*CM90+(1-EXP(-LN(2)/2))/(LN(2)/2)*CG91*CJ91*VLOOKUP('Données projet'!$B$12,Paramètres!$A$1:$I$89,3,0)*0.475*44/12</f>
        <v>4.291492289492951E-8</v>
      </c>
      <c r="CN91" s="22">
        <f t="shared" si="66"/>
        <v>3.231753039718213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977.58659983734037</v>
      </c>
      <c r="S92" s="59">
        <f ca="1">AVERAGE(OFFSET($R$3,0,0,'Données projet'!$E$9+1,1))-AVERAGE(OFFSET($H$3,0,0,'Données projet'!$E$9+1,1))</f>
        <v>318.40875902853116</v>
      </c>
      <c r="T92" s="59">
        <f t="shared" si="88"/>
        <v>234.87694492493506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-5.1159076974727213E-13</v>
      </c>
      <c r="AJ92" s="13">
        <f>AI92*VLOOKUP('Données projet'!$B$10,Paramètres!$A$1:$I$89,3,0)*VLOOKUP('Données projet'!$B$10,Paramètres!$A$1:$I$89,5,0)</f>
        <v>-4.0702161641092972E-13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260.20517190557814</v>
      </c>
      <c r="AO92" s="59">
        <f t="shared" si="90"/>
        <v>307.22009971147133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1.0142972087237379</v>
      </c>
      <c r="AV92" s="21">
        <f>EXP(-LN(2)/25)*AV91+(1-EXP(-LN(2)/25))/(LN(2)/25)*Calculateur!AQ92*Calculateur!AS92*VLOOKUP('Données projet'!$B$10,Paramètres!$A$1:$I$89,3,0)*0.475*44/12</f>
        <v>3.9970369079667254</v>
      </c>
      <c r="AW92" s="21">
        <f>EXP(-LN(2)/2)*AW91+(1-EXP(-LN(2)/2))/(LN(2)/2)*AQ92*AT92*VLOOKUP('Données projet'!$B$10,Paramètres!$A$1:$I$89,3,0)*0.475*44/12</f>
        <v>3.1661547968723564E-8</v>
      </c>
      <c r="AX92" s="21">
        <f t="shared" si="60"/>
        <v>5.0113341483520113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-3.4317508834647017E-13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207.93042467236967</v>
      </c>
      <c r="BJ92" s="59">
        <f t="shared" si="92"/>
        <v>250.70954318710835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0.85519176421805254</v>
      </c>
      <c r="BQ92" s="21">
        <f>EXP(-LN(2)/25)*BQ91+(1-EXP(-LN(2)/25))/(LN(2)/25)*Calculateur!BL92*Calculateur!BN92*VLOOKUP('Données projet'!$B$11,Paramètres!$A$1:$I$89,3,0)*0.475*44/12</f>
        <v>3.3700507263248909</v>
      </c>
      <c r="BR92" s="21">
        <f>EXP(-LN(2)/2)*BR91+(1-EXP(-LN(2)/2))/(LN(2)/2)*BL92*BO92*VLOOKUP('Données projet'!$B$11,Paramètres!$A$1:$I$89,3,0)*0.475*44/12</f>
        <v>2.6695030640296337E-8</v>
      </c>
      <c r="BS92" s="22">
        <f t="shared" si="63"/>
        <v>4.2252425172379748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</v>
      </c>
      <c r="BZ92" s="13">
        <f>BY92*VLOOKUP('Données projet'!$B$12,Paramètres!$A$1:$I$89,3,0)*VLOOKUP('Données projet'!$B$12,Paramètres!$A$1:$I$89,5,0)</f>
        <v>339.87407999999999</v>
      </c>
      <c r="CA92" s="13">
        <f t="shared" si="93"/>
        <v>79.473929991714684</v>
      </c>
      <c r="CB92" s="20">
        <f t="shared" si="64"/>
        <v>730.36445073556968</v>
      </c>
      <c r="CC92" s="59">
        <f t="shared" si="65"/>
        <v>1023.697784068903</v>
      </c>
      <c r="CD92" s="59">
        <f ca="1">AVERAGE(OFFSET($CC$3,0,0,'Données projet'!$E$12+1,1))-AVERAGE(OFFSET($H$3,0,0,'Données projet'!$E$12+1,1))</f>
        <v>347.8889410585312</v>
      </c>
      <c r="CE92" s="59">
        <f t="shared" si="94"/>
        <v>254.78167322479203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0.80033040575878223</v>
      </c>
      <c r="CL92" s="21">
        <f>EXP(-LN(2)/25)*CL91+(1-EXP(-LN(2)/25))/(LN(2)/25)*Calculateur!CG92*Calculateur!CI92*VLOOKUP('Données projet'!$B$12,Paramètres!$A$1:$I$89,3,0)*0.475*44/12</f>
        <v>2.3493650530085093</v>
      </c>
      <c r="CM92" s="21">
        <f>EXP(-LN(2)/2)*CM91+(1-EXP(-LN(2)/2))/(LN(2)/2)*CG92*CJ92*VLOOKUP('Données projet'!$B$12,Paramètres!$A$1:$I$89,3,0)*0.475*44/12</f>
        <v>3.0345432993102479E-8</v>
      </c>
      <c r="CN92" s="22">
        <f t="shared" si="66"/>
        <v>3.1496954891127245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990.15060990620213</v>
      </c>
      <c r="S93" s="59">
        <f ca="1">AVERAGE(OFFSET($R$3,0,0,'Données projet'!$E$9+1,1))-AVERAGE(OFFSET($H$3,0,0,'Données projet'!$E$9+1,1))</f>
        <v>318.40875902853116</v>
      </c>
      <c r="T93" s="59">
        <f t="shared" si="88"/>
        <v>234.87694492493506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-5.1159076974727213E-13</v>
      </c>
      <c r="AJ93" s="13">
        <f>AI93*VLOOKUP('Données projet'!$B$10,Paramètres!$A$1:$I$89,3,0)*VLOOKUP('Données projet'!$B$10,Paramètres!$A$1:$I$89,5,0)</f>
        <v>-4.0702161641092972E-13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260.20517190557814</v>
      </c>
      <c r="AO93" s="59">
        <f t="shared" si="90"/>
        <v>307.22009971147133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0.99440745912087503</v>
      </c>
      <c r="AV93" s="21">
        <f>EXP(-LN(2)/25)*AV92+(1-EXP(-LN(2)/25))/(LN(2)/25)*Calculateur!AQ93*Calculateur!AS93*VLOOKUP('Données projet'!$B$10,Paramètres!$A$1:$I$89,3,0)*0.475*44/12</f>
        <v>3.8877377235233395</v>
      </c>
      <c r="AW93" s="21">
        <f>EXP(-LN(2)/2)*AW92+(1-EXP(-LN(2)/2))/(LN(2)/2)*AQ93*AT93*VLOOKUP('Données projet'!$B$10,Paramètres!$A$1:$I$89,3,0)*0.475*44/12</f>
        <v>2.2388095271547592E-8</v>
      </c>
      <c r="AX93" s="21">
        <f t="shared" si="60"/>
        <v>4.8821452050323098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-3.4317508834647017E-13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207.93042467236967</v>
      </c>
      <c r="BJ93" s="59">
        <f t="shared" si="92"/>
        <v>250.70954318710835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0.83842197533720741</v>
      </c>
      <c r="BQ93" s="21">
        <f>EXP(-LN(2)/25)*BQ92+(1-EXP(-LN(2)/25))/(LN(2)/25)*Calculateur!BL93*Calculateur!BN93*VLOOKUP('Données projet'!$B$11,Paramètres!$A$1:$I$89,3,0)*0.475*44/12</f>
        <v>3.2778965119902712</v>
      </c>
      <c r="BR93" s="21">
        <f>EXP(-LN(2)/2)*BR92+(1-EXP(-LN(2)/2))/(LN(2)/2)*BL93*BO93*VLOOKUP('Données projet'!$B$11,Paramètres!$A$1:$I$89,3,0)*0.475*44/12</f>
        <v>1.8876237189736203E-8</v>
      </c>
      <c r="BS93" s="22">
        <f t="shared" si="63"/>
        <v>4.116318506203716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</v>
      </c>
      <c r="BZ93" s="13">
        <f>BY93*VLOOKUP('Données projet'!$B$12,Paramètres!$A$1:$I$89,3,0)*VLOOKUP('Données projet'!$B$12,Paramètres!$A$1:$I$89,5,0)</f>
        <v>346.25760000000002</v>
      </c>
      <c r="CA93" s="13">
        <f t="shared" si="93"/>
        <v>80.791430742606195</v>
      </c>
      <c r="CB93" s="20">
        <f t="shared" si="64"/>
        <v>743.77706187670583</v>
      </c>
      <c r="CC93" s="59">
        <f t="shared" si="65"/>
        <v>1037.1103952100391</v>
      </c>
      <c r="CD93" s="59">
        <f ca="1">AVERAGE(OFFSET($CC$3,0,0,'Données projet'!$E$12+1,1))-AVERAGE(OFFSET($H$3,0,0,'Données projet'!$E$12+1,1))</f>
        <v>347.8889410585312</v>
      </c>
      <c r="CE93" s="59">
        <f t="shared" si="94"/>
        <v>254.78167322479203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0.78463641465519884</v>
      </c>
      <c r="CL93" s="21">
        <f>EXP(-LN(2)/25)*CL92+(1-EXP(-LN(2)/25))/(LN(2)/25)*Calculateur!CG93*Calculateur!CI93*VLOOKUP('Données projet'!$B$12,Paramètres!$A$1:$I$89,3,0)*0.475*44/12</f>
        <v>2.285121542086253</v>
      </c>
      <c r="CM93" s="21">
        <f>EXP(-LN(2)/2)*CM92+(1-EXP(-LN(2)/2))/(LN(2)/2)*CG93*CJ93*VLOOKUP('Données projet'!$B$12,Paramètres!$A$1:$I$89,3,0)*0.475*44/12</f>
        <v>2.1457461447464755E-8</v>
      </c>
      <c r="CN93" s="22">
        <f t="shared" si="66"/>
        <v>3.0697579781989135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894.65494548957895</v>
      </c>
      <c r="S94" s="59">
        <f ca="1">AVERAGE(OFFSET($R$3,0,0,'Données projet'!$E$9+1,1))-AVERAGE(OFFSET($H$3,0,0,'Données projet'!$E$9+1,1))</f>
        <v>318.40875902853116</v>
      </c>
      <c r="T94" s="59">
        <f t="shared" si="88"/>
        <v>234.87694492493506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-5.1159076974727213E-13</v>
      </c>
      <c r="AJ94" s="13">
        <f>AI94*VLOOKUP('Données projet'!$B$10,Paramètres!$A$1:$I$89,3,0)*VLOOKUP('Données projet'!$B$10,Paramètres!$A$1:$I$89,5,0)</f>
        <v>-4.0702161641092972E-13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260.20517190557814</v>
      </c>
      <c r="AO94" s="59">
        <f t="shared" si="90"/>
        <v>307.22009971147133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0.97490773537617503</v>
      </c>
      <c r="AV94" s="21">
        <f>EXP(-LN(2)/25)*AV93+(1-EXP(-LN(2)/25))/(LN(2)/25)*Calculateur!AQ94*Calculateur!AS94*VLOOKUP('Données projet'!$B$10,Paramètres!$A$1:$I$89,3,0)*0.475*44/12</f>
        <v>3.7814273310263524</v>
      </c>
      <c r="AW94" s="21">
        <f>EXP(-LN(2)/2)*AW93+(1-EXP(-LN(2)/2))/(LN(2)/2)*AQ94*AT94*VLOOKUP('Données projet'!$B$10,Paramètres!$A$1:$I$89,3,0)*0.475*44/12</f>
        <v>1.5830773984361782E-8</v>
      </c>
      <c r="AX94" s="21">
        <f t="shared" si="60"/>
        <v>4.7563350822333019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-3.4317508834647017E-13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207.93042467236967</v>
      </c>
      <c r="BJ94" s="59">
        <f t="shared" si="92"/>
        <v>250.70954318710835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0.8219810317877545</v>
      </c>
      <c r="BQ94" s="21">
        <f>EXP(-LN(2)/25)*BQ93+(1-EXP(-LN(2)/25))/(LN(2)/25)*Calculateur!BL94*Calculateur!BN94*VLOOKUP('Données projet'!$B$11,Paramètres!$A$1:$I$89,3,0)*0.475*44/12</f>
        <v>3.1882622594928116</v>
      </c>
      <c r="BR94" s="21">
        <f>EXP(-LN(2)/2)*BR93+(1-EXP(-LN(2)/2))/(LN(2)/2)*BL94*BO94*VLOOKUP('Données projet'!$B$11,Paramètres!$A$1:$I$89,3,0)*0.475*44/12</f>
        <v>1.3347515320148168E-8</v>
      </c>
      <c r="BS94" s="22">
        <f t="shared" si="63"/>
        <v>4.010243304628081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5.9</v>
      </c>
      <c r="BY94" s="12">
        <f>IF('Données projet'!$A$114&gt;35,BY93+BX94-CG93,IF(A94&lt;'Données projet'!$A$114,$BV$205^A94,IF(A94='Données projet'!$A$114,'Données projet'!$B$114,BY93+BX94-CG93)))</f>
        <v>307.89999999999998</v>
      </c>
      <c r="BZ94" s="13">
        <f>BY94*VLOOKUP('Données projet'!$B$12,Paramètres!$A$1:$I$89,3,0)*VLOOKUP('Données projet'!$B$12,Paramètres!$A$1:$I$89,5,0)</f>
        <v>297.80088000000001</v>
      </c>
      <c r="CA94" s="13">
        <f t="shared" si="93"/>
        <v>70.715246231293804</v>
      </c>
      <c r="CB94" s="20">
        <f t="shared" si="64"/>
        <v>641.83225318617008</v>
      </c>
      <c r="CC94" s="59">
        <f t="shared" si="65"/>
        <v>935.16558651950345</v>
      </c>
      <c r="CD94" s="59">
        <f ca="1">AVERAGE(OFFSET($CC$3,0,0,'Données projet'!$E$12+1,1))-AVERAGE(OFFSET($H$3,0,0,'Données projet'!$E$12+1,1))</f>
        <v>347.8889410585312</v>
      </c>
      <c r="CE94" s="59">
        <f t="shared" si="94"/>
        <v>254.78167322479203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0.7692501731447674</v>
      </c>
      <c r="CL94" s="21">
        <f>EXP(-LN(2)/25)*CL93+(1-EXP(-LN(2)/25))/(LN(2)/25)*Calculateur!CG94*Calculateur!CI94*VLOOKUP('Données projet'!$B$12,Paramètres!$A$1:$I$89,3,0)*0.475*44/12</f>
        <v>2.2226347733485854</v>
      </c>
      <c r="CM94" s="21">
        <f>EXP(-LN(2)/2)*CM93+(1-EXP(-LN(2)/2))/(LN(2)/2)*CG94*CJ94*VLOOKUP('Données projet'!$B$12,Paramètres!$A$1:$I$89,3,0)*0.475*44/12</f>
        <v>1.5172716496551239E-8</v>
      </c>
      <c r="CN94" s="22">
        <f t="shared" si="66"/>
        <v>2.9918849616660692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905.91634374468663</v>
      </c>
      <c r="S95" s="59">
        <f ca="1">AVERAGE(OFFSET($R$3,0,0,'Données projet'!$E$9+1,1))-AVERAGE(OFFSET($H$3,0,0,'Données projet'!$E$9+1,1))</f>
        <v>318.40875902853116</v>
      </c>
      <c r="T95" s="59">
        <f t="shared" si="88"/>
        <v>234.87694492493506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-5.1159076974727213E-13</v>
      </c>
      <c r="AJ95" s="13">
        <f>AI95*VLOOKUP('Données projet'!$B$10,Paramètres!$A$1:$I$89,3,0)*VLOOKUP('Données projet'!$B$10,Paramètres!$A$1:$I$89,5,0)</f>
        <v>-4.0702161641092972E-13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260.20517190557814</v>
      </c>
      <c r="AO95" s="59">
        <f t="shared" si="90"/>
        <v>307.22009971147133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0.95579038932045146</v>
      </c>
      <c r="AV95" s="21">
        <f>EXP(-LN(2)/25)*AV94+(1-EXP(-LN(2)/25))/(LN(2)/25)*Calculateur!AQ95*Calculateur!AS95*VLOOKUP('Données projet'!$B$10,Paramètres!$A$1:$I$89,3,0)*0.475*44/12</f>
        <v>3.6780240018028159</v>
      </c>
      <c r="AW95" s="21">
        <f>EXP(-LN(2)/2)*AW94+(1-EXP(-LN(2)/2))/(LN(2)/2)*AQ95*AT95*VLOOKUP('Données projet'!$B$10,Paramètres!$A$1:$I$89,3,0)*0.475*44/12</f>
        <v>1.1194047635773796E-8</v>
      </c>
      <c r="AX95" s="21">
        <f t="shared" si="60"/>
        <v>4.6338144023173147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-3.4317508834647017E-13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207.93042467236967</v>
      </c>
      <c r="BJ95" s="59">
        <f t="shared" si="92"/>
        <v>250.70954318710835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0.80586248511332093</v>
      </c>
      <c r="BQ95" s="21">
        <f>EXP(-LN(2)/25)*BQ94+(1-EXP(-LN(2)/25))/(LN(2)/25)*Calculateur!BL95*Calculateur!BN95*VLOOKUP('Données projet'!$B$11,Paramètres!$A$1:$I$89,3,0)*0.475*44/12</f>
        <v>3.1010790603435554</v>
      </c>
      <c r="BR95" s="21">
        <f>EXP(-LN(2)/2)*BR94+(1-EXP(-LN(2)/2))/(LN(2)/2)*BL95*BO95*VLOOKUP('Données projet'!$B$11,Paramètres!$A$1:$I$89,3,0)*0.475*44/12</f>
        <v>9.4381185948681016E-9</v>
      </c>
      <c r="BS95" s="22">
        <f t="shared" si="63"/>
        <v>3.9069415548949951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5.9</v>
      </c>
      <c r="BY95" s="12">
        <f>IF('Données projet'!$A$114&gt;35,BY94+BX95-CG94,IF(A95&lt;'Données projet'!$A$114,$BV$205^A95,IF(A95='Données projet'!$A$114,'Données projet'!$B$114,BY94+BX95-CG94)))</f>
        <v>313.79999999999995</v>
      </c>
      <c r="BZ95" s="13">
        <f>BY95*VLOOKUP('Données projet'!$B$12,Paramètres!$A$1:$I$89,3,0)*VLOOKUP('Données projet'!$B$12,Paramètres!$A$1:$I$89,5,0)</f>
        <v>303.50736000000001</v>
      </c>
      <c r="CA95" s="13">
        <f t="shared" si="93"/>
        <v>71.911242710970484</v>
      </c>
      <c r="CB95" s="20">
        <f t="shared" si="64"/>
        <v>653.85406638827351</v>
      </c>
      <c r="CC95" s="59">
        <f t="shared" si="65"/>
        <v>947.18739972160688</v>
      </c>
      <c r="CD95" s="59">
        <f ca="1">AVERAGE(OFFSET($CC$3,0,0,'Données projet'!$E$12+1,1))-AVERAGE(OFFSET($H$3,0,0,'Données projet'!$E$12+1,1))</f>
        <v>347.8889410585312</v>
      </c>
      <c r="CE95" s="59">
        <f t="shared" si="94"/>
        <v>254.78167322479203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0.75416564644567485</v>
      </c>
      <c r="CL95" s="21">
        <f>EXP(-LN(2)/25)*CL94+(1-EXP(-LN(2)/25))/(LN(2)/25)*Calculateur!CG95*Calculateur!CI95*VLOOKUP('Données projet'!$B$12,Paramètres!$A$1:$I$89,3,0)*0.475*44/12</f>
        <v>2.1618567085880853</v>
      </c>
      <c r="CM95" s="21">
        <f>EXP(-LN(2)/2)*CM94+(1-EXP(-LN(2)/2))/(LN(2)/2)*CG95*CJ95*VLOOKUP('Données projet'!$B$12,Paramètres!$A$1:$I$89,3,0)*0.475*44/12</f>
        <v>1.0728730723732377E-8</v>
      </c>
      <c r="CN95" s="22">
        <f t="shared" si="66"/>
        <v>2.9160223657624909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917.17344854814246</v>
      </c>
      <c r="S96" s="59">
        <f ca="1">AVERAGE(OFFSET($R$3,0,0,'Données projet'!$E$9+1,1))-AVERAGE(OFFSET($H$3,0,0,'Données projet'!$E$9+1,1))</f>
        <v>318.40875902853116</v>
      </c>
      <c r="T96" s="59">
        <f t="shared" si="88"/>
        <v>234.87694492493506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-5.1159076974727213E-13</v>
      </c>
      <c r="AJ96" s="13">
        <f>AI96*VLOOKUP('Données projet'!$B$10,Paramètres!$A$1:$I$89,3,0)*VLOOKUP('Données projet'!$B$10,Paramètres!$A$1:$I$89,5,0)</f>
        <v>-4.0702161641092972E-13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260.20517190557814</v>
      </c>
      <c r="AO96" s="59">
        <f t="shared" si="90"/>
        <v>307.22009971147133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0.9370479227604509</v>
      </c>
      <c r="AV96" s="21">
        <f>EXP(-LN(2)/25)*AV95+(1-EXP(-LN(2)/25))/(LN(2)/25)*Calculateur!AQ96*Calculateur!AS96*VLOOKUP('Données projet'!$B$10,Paramètres!$A$1:$I$89,3,0)*0.475*44/12</f>
        <v>3.5774482420546416</v>
      </c>
      <c r="AW96" s="21">
        <f>EXP(-LN(2)/2)*AW95+(1-EXP(-LN(2)/2))/(LN(2)/2)*AQ96*AT96*VLOOKUP('Données projet'!$B$10,Paramètres!$A$1:$I$89,3,0)*0.475*44/12</f>
        <v>7.915386992180891E-9</v>
      </c>
      <c r="AX96" s="21">
        <f t="shared" si="60"/>
        <v>4.5144961727304791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-3.4317508834647017E-13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207.93042467236967</v>
      </c>
      <c r="BJ96" s="59">
        <f t="shared" si="92"/>
        <v>250.70954318710835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0.79006001330783027</v>
      </c>
      <c r="BQ96" s="21">
        <f>EXP(-LN(2)/25)*BQ95+(1-EXP(-LN(2)/25))/(LN(2)/25)*Calculateur!BL96*Calculateur!BN96*VLOOKUP('Données projet'!$B$11,Paramètres!$A$1:$I$89,3,0)*0.475*44/12</f>
        <v>3.0162798903598009</v>
      </c>
      <c r="BR96" s="21">
        <f>EXP(-LN(2)/2)*BR95+(1-EXP(-LN(2)/2))/(LN(2)/2)*BL96*BO96*VLOOKUP('Données projet'!$B$11,Paramètres!$A$1:$I$89,3,0)*0.475*44/12</f>
        <v>6.6737576600740842E-9</v>
      </c>
      <c r="BS96" s="22">
        <f t="shared" si="63"/>
        <v>3.8063399103413889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5.9</v>
      </c>
      <c r="BY96" s="12">
        <f>IF('Données projet'!$A$114&gt;35,BY95+BX96-CG95,IF(A96&lt;'Données projet'!$A$114,$BV$205^A96,IF(A96='Données projet'!$A$114,'Données projet'!$B$114,BY95+BX96-CG95)))</f>
        <v>319.69999999999993</v>
      </c>
      <c r="BZ96" s="13">
        <f>BY96*VLOOKUP('Données projet'!$B$12,Paramètres!$A$1:$I$89,3,0)*VLOOKUP('Données projet'!$B$12,Paramètres!$A$1:$I$89,5,0)</f>
        <v>309.21383999999995</v>
      </c>
      <c r="CA96" s="13">
        <f t="shared" si="93"/>
        <v>73.104624418450427</v>
      </c>
      <c r="CB96" s="20">
        <f t="shared" si="64"/>
        <v>665.87132552880109</v>
      </c>
      <c r="CC96" s="59">
        <f t="shared" si="65"/>
        <v>959.20465886213447</v>
      </c>
      <c r="CD96" s="59">
        <f ca="1">AVERAGE(OFFSET($CC$3,0,0,'Données projet'!$E$12+1,1))-AVERAGE(OFFSET($H$3,0,0,'Données projet'!$E$12+1,1))</f>
        <v>347.8889410585312</v>
      </c>
      <c r="CE96" s="59">
        <f t="shared" si="94"/>
        <v>254.78167322479203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0.73937691811449868</v>
      </c>
      <c r="CL96" s="21">
        <f>EXP(-LN(2)/25)*CL95+(1-EXP(-LN(2)/25))/(LN(2)/25)*Calculateur!CG96*Calculateur!CI96*VLOOKUP('Données projet'!$B$12,Paramètres!$A$1:$I$89,3,0)*0.475*44/12</f>
        <v>2.1027406232046406</v>
      </c>
      <c r="CM96" s="21">
        <f>EXP(-LN(2)/2)*CM95+(1-EXP(-LN(2)/2))/(LN(2)/2)*CG96*CJ96*VLOOKUP('Données projet'!$B$12,Paramètres!$A$1:$I$89,3,0)*0.475*44/12</f>
        <v>7.5863582482756197E-9</v>
      </c>
      <c r="CN96" s="22">
        <f t="shared" si="66"/>
        <v>2.8421175489054975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928.42634827284883</v>
      </c>
      <c r="S97" s="59">
        <f ca="1">AVERAGE(OFFSET($R$3,0,0,'Données projet'!$E$9+1,1))-AVERAGE(OFFSET($H$3,0,0,'Données projet'!$E$9+1,1))</f>
        <v>318.40875902853116</v>
      </c>
      <c r="T97" s="59">
        <f t="shared" si="88"/>
        <v>234.87694492493506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-5.1159076974727213E-13</v>
      </c>
      <c r="AJ97" s="13">
        <f>AI97*VLOOKUP('Données projet'!$B$10,Paramètres!$A$1:$I$89,3,0)*VLOOKUP('Données projet'!$B$10,Paramètres!$A$1:$I$89,5,0)</f>
        <v>-4.0702161641092972E-13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260.20517190557814</v>
      </c>
      <c r="AO97" s="59">
        <f t="shared" si="90"/>
        <v>307.22009971147133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0.91867298453791613</v>
      </c>
      <c r="AV97" s="21">
        <f>EXP(-LN(2)/25)*AV96+(1-EXP(-LN(2)/25))/(LN(2)/25)*Calculateur!AQ97*Calculateur!AS97*VLOOKUP('Données projet'!$B$10,Paramètres!$A$1:$I$89,3,0)*0.475*44/12</f>
        <v>3.4796227317458306</v>
      </c>
      <c r="AW97" s="21">
        <f>EXP(-LN(2)/2)*AW96+(1-EXP(-LN(2)/2))/(LN(2)/2)*AQ97*AT97*VLOOKUP('Données projet'!$B$10,Paramètres!$A$1:$I$89,3,0)*0.475*44/12</f>
        <v>5.5970238178868979E-9</v>
      </c>
      <c r="AX97" s="21">
        <f t="shared" si="60"/>
        <v>4.3982957218807712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-3.4317508834647017E-13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207.93042467236967</v>
      </c>
      <c r="BJ97" s="59">
        <f t="shared" si="92"/>
        <v>250.70954318710835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0.77456741833588927</v>
      </c>
      <c r="BQ97" s="21">
        <f>EXP(-LN(2)/25)*BQ96+(1-EXP(-LN(2)/25))/(LN(2)/25)*Calculateur!BL97*Calculateur!BN97*VLOOKUP('Données projet'!$B$11,Paramètres!$A$1:$I$89,3,0)*0.475*44/12</f>
        <v>2.9337995581386465</v>
      </c>
      <c r="BR97" s="21">
        <f>EXP(-LN(2)/2)*BR96+(1-EXP(-LN(2)/2))/(LN(2)/2)*BL97*BO97*VLOOKUP('Données projet'!$B$11,Paramètres!$A$1:$I$89,3,0)*0.475*44/12</f>
        <v>4.7190592974340508E-9</v>
      </c>
      <c r="BS97" s="22">
        <f t="shared" si="63"/>
        <v>3.7083669811935951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5.9</v>
      </c>
      <c r="BY97" s="12">
        <f>IF('Données projet'!$A$114&gt;35,BY96+BX97-CG96,IF(A97&lt;'Données projet'!$A$114,$BV$205^A97,IF(A97='Données projet'!$A$114,'Données projet'!$B$114,BY96+BX97-CG96)))</f>
        <v>325.59999999999991</v>
      </c>
      <c r="BZ97" s="13">
        <f>BY97*VLOOKUP('Données projet'!$B$12,Paramètres!$A$1:$I$89,3,0)*VLOOKUP('Données projet'!$B$12,Paramètres!$A$1:$I$89,5,0)</f>
        <v>314.92031999999989</v>
      </c>
      <c r="CA97" s="13">
        <f t="shared" si="93"/>
        <v>74.295445174069485</v>
      </c>
      <c r="CB97" s="20">
        <f t="shared" si="64"/>
        <v>677.88412434483746</v>
      </c>
      <c r="CC97" s="59">
        <f t="shared" si="65"/>
        <v>971.21745767817083</v>
      </c>
      <c r="CD97" s="59">
        <f ca="1">AVERAGE(OFFSET($CC$3,0,0,'Données projet'!$E$12+1,1))-AVERAGE(OFFSET($H$3,0,0,'Données projet'!$E$12+1,1))</f>
        <v>347.8889410585312</v>
      </c>
      <c r="CE97" s="59">
        <f t="shared" si="94"/>
        <v>254.78167322479203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0.72487818772566326</v>
      </c>
      <c r="CL97" s="21">
        <f>EXP(-LN(2)/25)*CL96+(1-EXP(-LN(2)/25))/(LN(2)/25)*Calculateur!CG97*Calculateur!CI97*VLOOKUP('Données projet'!$B$12,Paramètres!$A$1:$I$89,3,0)*0.475*44/12</f>
        <v>2.0452410702847863</v>
      </c>
      <c r="CM97" s="21">
        <f>EXP(-LN(2)/2)*CM96+(1-EXP(-LN(2)/2))/(LN(2)/2)*CG97*CJ97*VLOOKUP('Données projet'!$B$12,Paramètres!$A$1:$I$89,3,0)*0.475*44/12</f>
        <v>5.3643653618661887E-9</v>
      </c>
      <c r="CN97" s="22">
        <f t="shared" si="66"/>
        <v>2.7701192633748151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939.67512790562546</v>
      </c>
      <c r="S98" s="59">
        <f ca="1">AVERAGE(OFFSET($R$3,0,0,'Données projet'!$E$9+1,1))-AVERAGE(OFFSET($H$3,0,0,'Données projet'!$E$9+1,1))</f>
        <v>318.40875902853116</v>
      </c>
      <c r="T98" s="59">
        <f t="shared" si="88"/>
        <v>234.87694492493506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-5.1159076974727213E-13</v>
      </c>
      <c r="AJ98" s="13">
        <f>AI98*VLOOKUP('Données projet'!$B$10,Paramètres!$A$1:$I$89,3,0)*VLOOKUP('Données projet'!$B$10,Paramètres!$A$1:$I$89,5,0)</f>
        <v>-4.0702161641092972E-13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260.20517190557814</v>
      </c>
      <c r="AO98" s="59">
        <f t="shared" si="90"/>
        <v>307.22009971147133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0.90065836764631968</v>
      </c>
      <c r="AV98" s="21">
        <f>EXP(-LN(2)/25)*AV97+(1-EXP(-LN(2)/25))/(LN(2)/25)*Calculateur!AQ98*Calculateur!AS98*VLOOKUP('Données projet'!$B$10,Paramètres!$A$1:$I$89,3,0)*0.475*44/12</f>
        <v>3.3844722651608343</v>
      </c>
      <c r="AW98" s="21">
        <f>EXP(-LN(2)/2)*AW97+(1-EXP(-LN(2)/2))/(LN(2)/2)*AQ98*AT98*VLOOKUP('Données projet'!$B$10,Paramètres!$A$1:$I$89,3,0)*0.475*44/12</f>
        <v>3.9576934960904455E-9</v>
      </c>
      <c r="AX98" s="21">
        <f t="shared" si="60"/>
        <v>4.2851306367648476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-3.4317508834647017E-13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207.93042467236967</v>
      </c>
      <c r="BJ98" s="59">
        <f t="shared" si="92"/>
        <v>250.70954318710835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0.75937862370179809</v>
      </c>
      <c r="BQ98" s="21">
        <f>EXP(-LN(2)/25)*BQ97+(1-EXP(-LN(2)/25))/(LN(2)/25)*Calculateur!BL98*Calculateur!BN98*VLOOKUP('Données projet'!$B$11,Paramètres!$A$1:$I$89,3,0)*0.475*44/12</f>
        <v>2.8535746549395316</v>
      </c>
      <c r="BR98" s="21">
        <f>EXP(-LN(2)/2)*BR97+(1-EXP(-LN(2)/2))/(LN(2)/2)*BL98*BO98*VLOOKUP('Données projet'!$B$11,Paramètres!$A$1:$I$89,3,0)*0.475*44/12</f>
        <v>3.3368788300370421E-9</v>
      </c>
      <c r="BS98" s="22">
        <f t="shared" si="63"/>
        <v>3.6129532819782084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5.9</v>
      </c>
      <c r="BY98" s="12">
        <f>IF('Données projet'!$A$114&gt;35,BY97+BX98-CG97,IF(A98&lt;'Données projet'!$A$114,$BV$205^A98,IF(A98='Données projet'!$A$114,'Données projet'!$B$114,BY97+BX98-CG97)))</f>
        <v>331.49999999999989</v>
      </c>
      <c r="BZ98" s="13">
        <f>BY98*VLOOKUP('Données projet'!$B$12,Paramètres!$A$1:$I$89,3,0)*VLOOKUP('Données projet'!$B$12,Paramètres!$A$1:$I$89,5,0)</f>
        <v>320.62679999999989</v>
      </c>
      <c r="CA98" s="13">
        <f t="shared" si="93"/>
        <v>75.483756735990909</v>
      </c>
      <c r="CB98" s="20">
        <f t="shared" si="64"/>
        <v>689.89255298185071</v>
      </c>
      <c r="CC98" s="59">
        <f t="shared" si="65"/>
        <v>983.22588631518397</v>
      </c>
      <c r="CD98" s="59">
        <f ca="1">AVERAGE(OFFSET($CC$3,0,0,'Données projet'!$E$12+1,1))-AVERAGE(OFFSET($H$3,0,0,'Données projet'!$E$12+1,1))</f>
        <v>347.8889410585312</v>
      </c>
      <c r="CE98" s="59">
        <f t="shared" si="94"/>
        <v>254.78167322479203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0.71066376859640057</v>
      </c>
      <c r="CL98" s="21">
        <f>EXP(-LN(2)/25)*CL97+(1-EXP(-LN(2)/25))/(LN(2)/25)*Calculateur!CG98*Calculateur!CI98*VLOOKUP('Données projet'!$B$12,Paramètres!$A$1:$I$89,3,0)*0.475*44/12</f>
        <v>1.9893138456632955</v>
      </c>
      <c r="CM98" s="21">
        <f>EXP(-LN(2)/2)*CM97+(1-EXP(-LN(2)/2))/(LN(2)/2)*CG98*CJ98*VLOOKUP('Données projet'!$B$12,Paramètres!$A$1:$I$89,3,0)*0.475*44/12</f>
        <v>3.7931791241378099E-9</v>
      </c>
      <c r="CN98" s="22">
        <f t="shared" si="66"/>
        <v>2.6999776180528752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950.91986923486274</v>
      </c>
      <c r="S99" s="59">
        <f ca="1">AVERAGE(OFFSET($R$3,0,0,'Données projet'!$E$9+1,1))-AVERAGE(OFFSET($H$3,0,0,'Données projet'!$E$9+1,1))</f>
        <v>318.40875902853116</v>
      </c>
      <c r="T99" s="59">
        <f t="shared" si="88"/>
        <v>234.87694492493506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-5.1159076974727213E-13</v>
      </c>
      <c r="AJ99" s="13">
        <f>AI99*VLOOKUP('Données projet'!$B$10,Paramètres!$A$1:$I$89,3,0)*VLOOKUP('Données projet'!$B$10,Paramètres!$A$1:$I$89,5,0)</f>
        <v>-4.0702161641092972E-13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260.20517190557814</v>
      </c>
      <c r="AO99" s="59">
        <f t="shared" si="90"/>
        <v>307.22009971147133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0.88299700640413603</v>
      </c>
      <c r="AV99" s="21">
        <f>EXP(-LN(2)/25)*AV98+(1-EXP(-LN(2)/25))/(LN(2)/25)*Calculateur!AQ99*Calculateur!AS99*VLOOKUP('Données projet'!$B$10,Paramètres!$A$1:$I$89,3,0)*0.475*44/12</f>
        <v>3.2919236930883504</v>
      </c>
      <c r="AW99" s="21">
        <f>EXP(-LN(2)/2)*AW98+(1-EXP(-LN(2)/2))/(LN(2)/2)*AQ99*AT99*VLOOKUP('Données projet'!$B$10,Paramètres!$A$1:$I$89,3,0)*0.475*44/12</f>
        <v>2.7985119089434489E-9</v>
      </c>
      <c r="AX99" s="21">
        <f t="shared" si="60"/>
        <v>4.174920702290998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-3.4317508834647017E-13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207.93042467236967</v>
      </c>
      <c r="BJ99" s="59">
        <f t="shared" si="92"/>
        <v>250.70954318710835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0.74448767206623157</v>
      </c>
      <c r="BQ99" s="21">
        <f>EXP(-LN(2)/25)*BQ98+(1-EXP(-LN(2)/25))/(LN(2)/25)*Calculateur!BL99*Calculateur!BN99*VLOOKUP('Données projet'!$B$11,Paramètres!$A$1:$I$89,3,0)*0.475*44/12</f>
        <v>2.7755435059372409</v>
      </c>
      <c r="BR99" s="21">
        <f>EXP(-LN(2)/2)*BR98+(1-EXP(-LN(2)/2))/(LN(2)/2)*BL99*BO99*VLOOKUP('Données projet'!$B$11,Paramètres!$A$1:$I$89,3,0)*0.475*44/12</f>
        <v>2.3595296487170254E-9</v>
      </c>
      <c r="BS99" s="22">
        <f t="shared" si="63"/>
        <v>3.5200311803630018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5.9</v>
      </c>
      <c r="BY99" s="12">
        <f>IF('Données projet'!$A$114&gt;35,BY98+BX99-CG98,IF(A99&lt;'Données projet'!$A$114,$BV$205^A99,IF(A99='Données projet'!$A$114,'Données projet'!$B$114,BY98+BX99-CG98)))</f>
        <v>337.39999999999986</v>
      </c>
      <c r="BZ99" s="13">
        <f>BY99*VLOOKUP('Données projet'!$B$12,Paramètres!$A$1:$I$89,3,0)*VLOOKUP('Données projet'!$B$12,Paramètres!$A$1:$I$89,5,0)</f>
        <v>326.33327999999983</v>
      </c>
      <c r="CA99" s="13">
        <f t="shared" si="93"/>
        <v>76.669608914490098</v>
      </c>
      <c r="CB99" s="20">
        <f t="shared" si="64"/>
        <v>701.89669819273661</v>
      </c>
      <c r="CC99" s="59">
        <f t="shared" si="65"/>
        <v>995.23003152606998</v>
      </c>
      <c r="CD99" s="59">
        <f ca="1">AVERAGE(OFFSET($CC$3,0,0,'Données projet'!$E$12+1,1))-AVERAGE(OFFSET($H$3,0,0,'Données projet'!$E$12+1,1))</f>
        <v>347.8889410585312</v>
      </c>
      <c r="CE99" s="59">
        <f t="shared" si="94"/>
        <v>254.78167322479203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0.69672808555632315</v>
      </c>
      <c r="CL99" s="21">
        <f>EXP(-LN(2)/25)*CL98+(1-EXP(-LN(2)/25))/(LN(2)/25)*Calculateur!CG99*Calculateur!CI99*VLOOKUP('Données projet'!$B$12,Paramètres!$A$1:$I$89,3,0)*0.475*44/12</f>
        <v>1.9349159539401641</v>
      </c>
      <c r="CM99" s="21">
        <f>EXP(-LN(2)/2)*CM98+(1-EXP(-LN(2)/2))/(LN(2)/2)*CG99*CJ99*VLOOKUP('Données projet'!$B$12,Paramètres!$A$1:$I$89,3,0)*0.475*44/12</f>
        <v>2.6821826809330944E-9</v>
      </c>
      <c r="CN99" s="22">
        <f t="shared" si="66"/>
        <v>2.63164404217867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962.16065102468019</v>
      </c>
      <c r="S100" s="59">
        <f ca="1">AVERAGE(OFFSET($R$3,0,0,'Données projet'!$E$9+1,1))-AVERAGE(OFFSET($H$3,0,0,'Données projet'!$E$9+1,1))</f>
        <v>318.40875902853116</v>
      </c>
      <c r="T100" s="59">
        <f t="shared" si="88"/>
        <v>234.87694492493506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-5.1159076974727213E-13</v>
      </c>
      <c r="AJ100" s="13">
        <f>AI100*VLOOKUP('Données projet'!$B$10,Paramètres!$A$1:$I$89,3,0)*VLOOKUP('Données projet'!$B$10,Paramètres!$A$1:$I$89,5,0)</f>
        <v>-4.0702161641092972E-13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260.20517190557814</v>
      </c>
      <c r="AO100" s="59">
        <f t="shared" si="90"/>
        <v>307.22009971147133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0.86568197368354494</v>
      </c>
      <c r="AV100" s="21">
        <f>EXP(-LN(2)/25)*AV99+(1-EXP(-LN(2)/25))/(LN(2)/25)*Calculateur!AQ100*Calculateur!AS100*VLOOKUP('Données projet'!$B$10,Paramètres!$A$1:$I$89,3,0)*0.475*44/12</f>
        <v>3.2019058665861064</v>
      </c>
      <c r="AW100" s="21">
        <f>EXP(-LN(2)/2)*AW99+(1-EXP(-LN(2)/2))/(LN(2)/2)*AQ100*AT100*VLOOKUP('Données projet'!$B$10,Paramètres!$A$1:$I$89,3,0)*0.475*44/12</f>
        <v>1.9788467480452227E-9</v>
      </c>
      <c r="AX100" s="21">
        <f t="shared" si="60"/>
        <v>4.0675878422484981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-3.4317508834647017E-13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207.93042467236967</v>
      </c>
      <c r="BJ100" s="59">
        <f t="shared" si="92"/>
        <v>250.70954318710835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0.72988872290965479</v>
      </c>
      <c r="BQ100" s="21">
        <f>EXP(-LN(2)/25)*BQ99+(1-EXP(-LN(2)/25))/(LN(2)/25)*Calculateur!BL100*Calculateur!BN100*VLOOKUP('Données projet'!$B$11,Paramètres!$A$1:$I$89,3,0)*0.475*44/12</f>
        <v>2.6996461228078976</v>
      </c>
      <c r="BR100" s="21">
        <f>EXP(-LN(2)/2)*BR99+(1-EXP(-LN(2)/2))/(LN(2)/2)*BL100*BO100*VLOOKUP('Données projet'!$B$11,Paramètres!$A$1:$I$89,3,0)*0.475*44/12</f>
        <v>1.668439415018521E-9</v>
      </c>
      <c r="BS100" s="22">
        <f t="shared" si="63"/>
        <v>3.4295348473859919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5.9</v>
      </c>
      <c r="BY100" s="12">
        <f>IF('Données projet'!$A$114&gt;35,BY99+BX100-CG99,IF(A100&lt;'Données projet'!$A$114,$BV$205^A100,IF(A100='Données projet'!$A$114,'Données projet'!$B$114,BY99+BX100-CG99)))</f>
        <v>343.29999999999984</v>
      </c>
      <c r="BZ100" s="13">
        <f>BY100*VLOOKUP('Données projet'!$B$12,Paramètres!$A$1:$I$89,3,0)*VLOOKUP('Données projet'!$B$12,Paramètres!$A$1:$I$89,5,0)</f>
        <v>332.03975999999983</v>
      </c>
      <c r="CA100" s="13">
        <f t="shared" si="93"/>
        <v>77.853049678019502</v>
      </c>
      <c r="CB100" s="20">
        <f t="shared" si="64"/>
        <v>713.89664352255022</v>
      </c>
      <c r="CC100" s="59">
        <f t="shared" si="65"/>
        <v>1007.2299768558835</v>
      </c>
      <c r="CD100" s="59">
        <f ca="1">AVERAGE(OFFSET($CC$3,0,0,'Données projet'!$E$12+1,1))-AVERAGE(OFFSET($H$3,0,0,'Données projet'!$E$12+1,1))</f>
        <v>347.8889410585312</v>
      </c>
      <c r="CE100" s="59">
        <f t="shared" si="94"/>
        <v>254.78167322479203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0.68306567276073427</v>
      </c>
      <c r="CL100" s="21">
        <f>EXP(-LN(2)/25)*CL99+(1-EXP(-LN(2)/25))/(LN(2)/25)*Calculateur!CG100*Calculateur!CI100*VLOOKUP('Données projet'!$B$12,Paramètres!$A$1:$I$89,3,0)*0.475*44/12</f>
        <v>1.8820055754268625</v>
      </c>
      <c r="CM100" s="21">
        <f>EXP(-LN(2)/2)*CM99+(1-EXP(-LN(2)/2))/(LN(2)/2)*CG100*CJ100*VLOOKUP('Données projet'!$B$12,Paramètres!$A$1:$I$89,3,0)*0.475*44/12</f>
        <v>1.8965895620689049E-9</v>
      </c>
      <c r="CN100" s="22">
        <f t="shared" si="66"/>
        <v>2.5650712500841863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973.39754917677396</v>
      </c>
      <c r="S101" s="59">
        <f ca="1">AVERAGE(OFFSET($R$3,0,0,'Données projet'!$E$9+1,1))-AVERAGE(OFFSET($H$3,0,0,'Données projet'!$E$9+1,1))</f>
        <v>318.40875902853116</v>
      </c>
      <c r="T101" s="59">
        <f t="shared" si="88"/>
        <v>234.87694492493506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-5.1159076974727213E-13</v>
      </c>
      <c r="AJ101" s="13">
        <f>AI101*VLOOKUP('Données projet'!$B$10,Paramètres!$A$1:$I$89,3,0)*VLOOKUP('Données projet'!$B$10,Paramètres!$A$1:$I$89,5,0)</f>
        <v>-4.0702161641092972E-13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260.20517190557814</v>
      </c>
      <c r="AO101" s="59">
        <f t="shared" si="90"/>
        <v>307.22009971147133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0.84870647819347755</v>
      </c>
      <c r="AV101" s="21">
        <f>EXP(-LN(2)/25)*AV100+(1-EXP(-LN(2)/25))/(LN(2)/25)*Calculateur!AQ101*Calculateur!AS101*VLOOKUP('Données projet'!$B$10,Paramètres!$A$1:$I$89,3,0)*0.475*44/12</f>
        <v>3.1143495822833978</v>
      </c>
      <c r="AW101" s="21">
        <f>EXP(-LN(2)/2)*AW100+(1-EXP(-LN(2)/2))/(LN(2)/2)*AQ101*AT101*VLOOKUP('Données projet'!$B$10,Paramètres!$A$1:$I$89,3,0)*0.475*44/12</f>
        <v>1.3992559544717245E-9</v>
      </c>
      <c r="AX101" s="21">
        <f t="shared" si="60"/>
        <v>3.9630560618761312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-3.4317508834647017E-13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207.93042467236967</v>
      </c>
      <c r="BJ101" s="59">
        <f t="shared" si="92"/>
        <v>250.70954318710835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0.71557605024155879</v>
      </c>
      <c r="BQ101" s="21">
        <f>EXP(-LN(2)/25)*BQ100+(1-EXP(-LN(2)/25))/(LN(2)/25)*Calculateur!BL101*Calculateur!BN101*VLOOKUP('Données projet'!$B$11,Paramètres!$A$1:$I$89,3,0)*0.475*44/12</f>
        <v>2.625824157611496</v>
      </c>
      <c r="BR101" s="21">
        <f>EXP(-LN(2)/2)*BR100+(1-EXP(-LN(2)/2))/(LN(2)/2)*BL101*BO101*VLOOKUP('Données projet'!$B$11,Paramètres!$A$1:$I$89,3,0)*0.475*44/12</f>
        <v>1.1797648243585127E-9</v>
      </c>
      <c r="BS101" s="22">
        <f t="shared" si="63"/>
        <v>3.3414002090328196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5.9</v>
      </c>
      <c r="BY101" s="12">
        <f>IF('Données projet'!$A$114&gt;35,BY100+BX101-CG100,IF(A101&lt;'Données projet'!$A$114,$BV$205^A101,IF(A101='Données projet'!$A$114,'Données projet'!$B$114,BY100+BX101-CG100)))</f>
        <v>349.19999999999982</v>
      </c>
      <c r="BZ101" s="13">
        <f>BY101*VLOOKUP('Données projet'!$B$12,Paramètres!$A$1:$I$89,3,0)*VLOOKUP('Données projet'!$B$12,Paramètres!$A$1:$I$89,5,0)</f>
        <v>337.74623999999983</v>
      </c>
      <c r="CA101" s="13">
        <f t="shared" si="93"/>
        <v>79.034125251774896</v>
      </c>
      <c r="CB101" s="20">
        <f t="shared" si="64"/>
        <v>725.89246948017433</v>
      </c>
      <c r="CC101" s="59">
        <f t="shared" si="65"/>
        <v>1019.2258028135077</v>
      </c>
      <c r="CD101" s="59">
        <f ca="1">AVERAGE(OFFSET($CC$3,0,0,'Données projet'!$E$12+1,1))-AVERAGE(OFFSET($H$3,0,0,'Données projet'!$E$12+1,1))</f>
        <v>347.8889410585312</v>
      </c>
      <c r="CE101" s="59">
        <f t="shared" si="94"/>
        <v>254.78167322479203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0.66967117154681799</v>
      </c>
      <c r="CL101" s="21">
        <f>EXP(-LN(2)/25)*CL100+(1-EXP(-LN(2)/25))/(LN(2)/25)*Calculateur!CG101*Calculateur!CI101*VLOOKUP('Données projet'!$B$12,Paramètres!$A$1:$I$89,3,0)*0.475*44/12</f>
        <v>1.8305420339964431</v>
      </c>
      <c r="CM101" s="21">
        <f>EXP(-LN(2)/2)*CM100+(1-EXP(-LN(2)/2))/(LN(2)/2)*CG101*CJ101*VLOOKUP('Données projet'!$B$12,Paramètres!$A$1:$I$89,3,0)*0.475*44/12</f>
        <v>1.3410913404665472E-9</v>
      </c>
      <c r="CN101" s="22">
        <f t="shared" si="66"/>
        <v>2.5002132068843523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984.63063688101306</v>
      </c>
      <c r="S102" s="59">
        <f ca="1">AVERAGE(OFFSET($R$3,0,0,'Données projet'!$E$9+1,1))-AVERAGE(OFFSET($H$3,0,0,'Données projet'!$E$9+1,1))</f>
        <v>318.40875902853116</v>
      </c>
      <c r="T102" s="59">
        <f t="shared" si="88"/>
        <v>234.87694492493506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-5.1159076974727213E-13</v>
      </c>
      <c r="AJ102" s="13">
        <f>AI102*VLOOKUP('Données projet'!$B$10,Paramètres!$A$1:$I$89,3,0)*VLOOKUP('Données projet'!$B$10,Paramètres!$A$1:$I$89,5,0)</f>
        <v>-4.0702161641092972E-13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260.20517190557814</v>
      </c>
      <c r="AO102" s="59">
        <f t="shared" si="90"/>
        <v>307.22009971147133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0.8320638618159405</v>
      </c>
      <c r="AV102" s="21">
        <f>EXP(-LN(2)/25)*AV101+(1-EXP(-LN(2)/25))/(LN(2)/25)*Calculateur!AQ102*Calculateur!AS102*VLOOKUP('Données projet'!$B$10,Paramètres!$A$1:$I$89,3,0)*0.475*44/12</f>
        <v>3.0291875291793318</v>
      </c>
      <c r="AW102" s="21">
        <f>EXP(-LN(2)/2)*AW101+(1-EXP(-LN(2)/2))/(LN(2)/2)*AQ102*AT102*VLOOKUP('Données projet'!$B$10,Paramètres!$A$1:$I$89,3,0)*0.475*44/12</f>
        <v>9.8942337402261137E-10</v>
      </c>
      <c r="AX102" s="21">
        <f t="shared" si="60"/>
        <v>3.8612513919846956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-3.4317508834647017E-13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207.93042467236967</v>
      </c>
      <c r="BJ102" s="59">
        <f t="shared" si="92"/>
        <v>250.70954318710835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0.70154404035461582</v>
      </c>
      <c r="BQ102" s="21">
        <f>EXP(-LN(2)/25)*BQ101+(1-EXP(-LN(2)/25))/(LN(2)/25)*Calculateur!BL102*Calculateur!BN102*VLOOKUP('Données projet'!$B$11,Paramètres!$A$1:$I$89,3,0)*0.475*44/12</f>
        <v>2.5540208579355186</v>
      </c>
      <c r="BR102" s="21">
        <f>EXP(-LN(2)/2)*BR101+(1-EXP(-LN(2)/2))/(LN(2)/2)*BL102*BO102*VLOOKUP('Données projet'!$B$11,Paramètres!$A$1:$I$89,3,0)*0.475*44/12</f>
        <v>8.3421970750926052E-10</v>
      </c>
      <c r="BS102" s="22">
        <f t="shared" si="63"/>
        <v>3.2555648991243542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</v>
      </c>
      <c r="BY102" s="12">
        <f>IF('Données projet'!$A$114&gt;35,BY101+BX102-CG101,IF(A102&lt;'Données projet'!$A$114,$BV$205^A102,IF(A102='Données projet'!$A$114,'Données projet'!$B$114,BY101+BX102-CG101)))</f>
        <v>355.0999999999998</v>
      </c>
      <c r="BZ102" s="13">
        <f>BY102*VLOOKUP('Données projet'!$B$12,Paramètres!$A$1:$I$89,3,0)*VLOOKUP('Données projet'!$B$12,Paramètres!$A$1:$I$89,5,0)</f>
        <v>343.45271999999977</v>
      </c>
      <c r="CA102" s="13">
        <f t="shared" si="93"/>
        <v>80.212880209411864</v>
      </c>
      <c r="CB102" s="20">
        <f t="shared" si="64"/>
        <v>737.88425369805861</v>
      </c>
      <c r="CC102" s="59">
        <f t="shared" si="65"/>
        <v>1031.217587031392</v>
      </c>
      <c r="CD102" s="59">
        <f ca="1">AVERAGE(OFFSET($CC$3,0,0,'Données projet'!$E$12+1,1))-AVERAGE(OFFSET($H$3,0,0,'Données projet'!$E$12+1,1))</f>
        <v>347.8889410585312</v>
      </c>
      <c r="CE102" s="59">
        <f t="shared" si="94"/>
        <v>254.78167322479203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0.65653932833186757</v>
      </c>
      <c r="CL102" s="21">
        <f>EXP(-LN(2)/25)*CL101+(1-EXP(-LN(2)/25))/(LN(2)/25)*Calculateur!CG102*Calculateur!CI102*VLOOKUP('Données projet'!$B$12,Paramètres!$A$1:$I$89,3,0)*0.475*44/12</f>
        <v>1.7804857658127886</v>
      </c>
      <c r="CM102" s="21">
        <f>EXP(-LN(2)/2)*CM101+(1-EXP(-LN(2)/2))/(LN(2)/2)*CG102*CJ102*VLOOKUP('Données projet'!$B$12,Paramètres!$A$1:$I$89,3,0)*0.475*44/12</f>
        <v>9.4829478103445246E-10</v>
      </c>
      <c r="CN102" s="22">
        <f t="shared" si="66"/>
        <v>2.4370250950929511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995.85998475574752</v>
      </c>
      <c r="S103" s="59">
        <f ca="1">AVERAGE(OFFSET($R$3,0,0,'Données projet'!$E$9+1,1))-AVERAGE(OFFSET($H$3,0,0,'Données projet'!$E$9+1,1))</f>
        <v>318.40875902853116</v>
      </c>
      <c r="T103" s="59">
        <f t="shared" si="88"/>
        <v>234.87694492493506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-5.1159076974727213E-13</v>
      </c>
      <c r="AJ103" s="13">
        <f>AI103*VLOOKUP('Données projet'!$B$10,Paramètres!$A$1:$I$89,3,0)*VLOOKUP('Données projet'!$B$10,Paramètres!$A$1:$I$89,5,0)</f>
        <v>-4.0702161641092972E-13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260.20517190557814</v>
      </c>
      <c r="AO103" s="59">
        <f t="shared" si="90"/>
        <v>307.22009971147133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0.81574759699457322</v>
      </c>
      <c r="AV103" s="21">
        <f>EXP(-LN(2)/25)*AV102+(1-EXP(-LN(2)/25))/(LN(2)/25)*Calculateur!AQ103*Calculateur!AS103*VLOOKUP('Données projet'!$B$10,Paramètres!$A$1:$I$89,3,0)*0.475*44/12</f>
        <v>2.9463542368958739</v>
      </c>
      <c r="AW103" s="21">
        <f>EXP(-LN(2)/2)*AW102+(1-EXP(-LN(2)/2))/(LN(2)/2)*AQ103*AT103*VLOOKUP('Données projet'!$B$10,Paramètres!$A$1:$I$89,3,0)*0.475*44/12</f>
        <v>6.9962797723586224E-10</v>
      </c>
      <c r="AX103" s="21">
        <f t="shared" si="60"/>
        <v>3.7621018345900752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-3.4317508834647017E-13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207.93042467236967</v>
      </c>
      <c r="BJ103" s="59">
        <f t="shared" si="92"/>
        <v>250.70954318710835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0.68778718962287488</v>
      </c>
      <c r="BQ103" s="21">
        <f>EXP(-LN(2)/25)*BQ102+(1-EXP(-LN(2)/25))/(LN(2)/25)*Calculateur!BL103*Calculateur!BN103*VLOOKUP('Données projet'!$B$11,Paramètres!$A$1:$I$89,3,0)*0.475*44/12</f>
        <v>2.484181023265152</v>
      </c>
      <c r="BR103" s="21">
        <f>EXP(-LN(2)/2)*BR102+(1-EXP(-LN(2)/2))/(LN(2)/2)*BL103*BO103*VLOOKUP('Données projet'!$B$11,Paramètres!$A$1:$I$89,3,0)*0.475*44/12</f>
        <v>5.8988241217925635E-10</v>
      </c>
      <c r="BS103" s="22">
        <f t="shared" si="63"/>
        <v>3.1719682134779092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361</v>
      </c>
      <c r="BW103" s="12">
        <f>VLOOKUP(A103,'Données projet'!$A$113:$I$133,9,0)</f>
        <v>5.9</v>
      </c>
      <c r="BX103" s="12">
        <f t="array" ref="BX103">INDEX(BW:BW,MIN(IF(ISNUMBER(BW103:BW299),ROW(BW103:BW299),"")))</f>
        <v>5.9</v>
      </c>
      <c r="BY103" s="12">
        <f>IF('Données projet'!$A$114&gt;35,BY102+BX103-CG102,IF(A103&lt;'Données projet'!$A$114,$BV$205^A103,IF(A103='Données projet'!$A$114,'Données projet'!$B$114,BY102+BX103-CG102)))</f>
        <v>360.99999999999977</v>
      </c>
      <c r="BZ103" s="13">
        <f>BY103*VLOOKUP('Données projet'!$B$12,Paramètres!$A$1:$I$89,3,0)*VLOOKUP('Données projet'!$B$12,Paramètres!$A$1:$I$89,5,0)</f>
        <v>349.15919999999977</v>
      </c>
      <c r="CA103" s="13">
        <f t="shared" si="93"/>
        <v>81.389357558494837</v>
      </c>
      <c r="CB103" s="20">
        <f t="shared" si="64"/>
        <v>749.87207108104474</v>
      </c>
      <c r="CC103" s="59">
        <f t="shared" si="65"/>
        <v>1043.2054044143781</v>
      </c>
      <c r="CD103" s="59">
        <f ca="1">AVERAGE(OFFSET($CC$3,0,0,'Données projet'!$E$12+1,1))-AVERAGE(OFFSET($H$3,0,0,'Données projet'!$E$12+1,1))</f>
        <v>347.8889410585312</v>
      </c>
      <c r="CE103" s="59">
        <f t="shared" si="94"/>
        <v>254.78167322479203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0.6436649925527288</v>
      </c>
      <c r="CL103" s="21">
        <f>EXP(-LN(2)/25)*CL102+(1-EXP(-LN(2)/25))/(LN(2)/25)*Calculateur!CG103*Calculateur!CI103*VLOOKUP('Données projet'!$B$12,Paramètres!$A$1:$I$89,3,0)*0.475*44/12</f>
        <v>1.7317982889149608</v>
      </c>
      <c r="CM103" s="21">
        <f>EXP(-LN(2)/2)*CM102+(1-EXP(-LN(2)/2))/(LN(2)/2)*CG103*CJ103*VLOOKUP('Données projet'!$B$12,Paramètres!$A$1:$I$89,3,0)*0.475*44/12</f>
        <v>6.7054567023327359E-10</v>
      </c>
      <c r="CN103" s="22">
        <f t="shared" si="66"/>
        <v>2.3754632821382353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900.95422815047459</v>
      </c>
      <c r="S104" s="59">
        <f ca="1">AVERAGE(OFFSET($R$3,0,0,'Données projet'!$E$9+1,1))-AVERAGE(OFFSET($H$3,0,0,'Données projet'!$E$9+1,1))</f>
        <v>318.40875902853116</v>
      </c>
      <c r="T104" s="59">
        <f t="shared" si="88"/>
        <v>234.87694492493506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-5.1159076974727213E-13</v>
      </c>
      <c r="AJ104" s="13">
        <f>AI104*VLOOKUP('Données projet'!$B$10,Paramètres!$A$1:$I$89,3,0)*VLOOKUP('Données projet'!$B$10,Paramètres!$A$1:$I$89,5,0)</f>
        <v>-4.0702161641092972E-13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260.20517190557814</v>
      </c>
      <c r="AO104" s="59">
        <f t="shared" si="90"/>
        <v>307.22009971147133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0.7997512841744141</v>
      </c>
      <c r="AV104" s="21">
        <f>EXP(-LN(2)/25)*AV103+(1-EXP(-LN(2)/25))/(LN(2)/25)*Calculateur!AQ104*Calculateur!AS104*VLOOKUP('Données projet'!$B$10,Paramètres!$A$1:$I$89,3,0)*0.475*44/12</f>
        <v>2.8657860253459209</v>
      </c>
      <c r="AW104" s="21">
        <f>EXP(-LN(2)/2)*AW103+(1-EXP(-LN(2)/2))/(LN(2)/2)*AQ104*AT104*VLOOKUP('Données projet'!$B$10,Paramètres!$A$1:$I$89,3,0)*0.475*44/12</f>
        <v>4.9471168701130569E-10</v>
      </c>
      <c r="AX104" s="21">
        <f t="shared" si="60"/>
        <v>3.665537310015047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-3.4317508834647017E-13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207.93042467236967</v>
      </c>
      <c r="BJ104" s="59">
        <f t="shared" si="92"/>
        <v>250.70954318710835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0.67430010234313298</v>
      </c>
      <c r="BQ104" s="21">
        <f>EXP(-LN(2)/25)*BQ103+(1-EXP(-LN(2)/25))/(LN(2)/25)*Calculateur!BL104*Calculateur!BN104*VLOOKUP('Données projet'!$B$11,Paramètres!$A$1:$I$89,3,0)*0.475*44/12</f>
        <v>2.416250962546564</v>
      </c>
      <c r="BR104" s="21">
        <f>EXP(-LN(2)/2)*BR103+(1-EXP(-LN(2)/2))/(LN(2)/2)*BL104*BO104*VLOOKUP('Données projet'!$B$11,Paramètres!$A$1:$I$89,3,0)*0.475*44/12</f>
        <v>4.1710985375463026E-10</v>
      </c>
      <c r="BS104" s="22">
        <f t="shared" si="63"/>
        <v>3.0905510653068067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311.19999999999976</v>
      </c>
      <c r="BZ104" s="13">
        <f>BY104*VLOOKUP('Données projet'!$B$12,Paramètres!$A$1:$I$89,3,0)*VLOOKUP('Données projet'!$B$12,Paramètres!$A$1:$I$89,5,0)</f>
        <v>300.99263999999977</v>
      </c>
      <c r="CA104" s="13">
        <f t="shared" si="93"/>
        <v>71.384518923273518</v>
      </c>
      <c r="CB104" s="20">
        <f t="shared" si="64"/>
        <v>648.5568851247009</v>
      </c>
      <c r="CC104" s="59">
        <f t="shared" si="65"/>
        <v>941.89021845803427</v>
      </c>
      <c r="CD104" s="59">
        <f ca="1">AVERAGE(OFFSET($CC$3,0,0,'Données projet'!$E$12+1,1))-AVERAGE(OFFSET($H$3,0,0,'Données projet'!$E$12+1,1))</f>
        <v>347.8889410585312</v>
      </c>
      <c r="CE104" s="59">
        <f t="shared" si="94"/>
        <v>254.78167322479203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0.63104311464564955</v>
      </c>
      <c r="CL104" s="21">
        <f>EXP(-LN(2)/25)*CL103+(1-EXP(-LN(2)/25))/(LN(2)/25)*Calculateur!CG104*Calculateur!CI104*VLOOKUP('Données projet'!$B$12,Paramètres!$A$1:$I$89,3,0)*0.475*44/12</f>
        <v>1.6844421736332673</v>
      </c>
      <c r="CM104" s="21">
        <f>EXP(-LN(2)/2)*CM103+(1-EXP(-LN(2)/2))/(LN(2)/2)*CG104*CJ104*VLOOKUP('Données projet'!$B$12,Paramètres!$A$1:$I$89,3,0)*0.475*44/12</f>
        <v>4.7414739051722623E-10</v>
      </c>
      <c r="CN104" s="22">
        <f t="shared" si="66"/>
        <v>2.3154852887530644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910.87762560993724</v>
      </c>
      <c r="S105" s="59">
        <f ca="1">AVERAGE(OFFSET($R$3,0,0,'Données projet'!$E$9+1,1))-AVERAGE(OFFSET($H$3,0,0,'Données projet'!$E$9+1,1))</f>
        <v>318.40875902853116</v>
      </c>
      <c r="T105" s="59">
        <f t="shared" si="88"/>
        <v>234.87694492493506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-5.1159076974727213E-13</v>
      </c>
      <c r="AJ105" s="13">
        <f>AI105*VLOOKUP('Données projet'!$B$10,Paramètres!$A$1:$I$89,3,0)*VLOOKUP('Données projet'!$B$10,Paramètres!$A$1:$I$89,5,0)</f>
        <v>-4.0702161641092972E-13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260.20517190557814</v>
      </c>
      <c r="AO105" s="59">
        <f t="shared" si="90"/>
        <v>307.22009971147133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0.78406864929187092</v>
      </c>
      <c r="AV105" s="21">
        <f>EXP(-LN(2)/25)*AV104+(1-EXP(-LN(2)/25))/(LN(2)/25)*Calculateur!AQ105*Calculateur!AS105*VLOOKUP('Données projet'!$B$10,Paramètres!$A$1:$I$89,3,0)*0.475*44/12</f>
        <v>2.7874209557776992</v>
      </c>
      <c r="AW105" s="21">
        <f>EXP(-LN(2)/2)*AW104+(1-EXP(-LN(2)/2))/(LN(2)/2)*AQ105*AT105*VLOOKUP('Données projet'!$B$10,Paramètres!$A$1:$I$89,3,0)*0.475*44/12</f>
        <v>3.4981398861793112E-10</v>
      </c>
      <c r="AX105" s="21">
        <f t="shared" si="60"/>
        <v>3.5714896054193841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-3.4317508834647017E-13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207.93042467236967</v>
      </c>
      <c r="BJ105" s="59">
        <f t="shared" si="92"/>
        <v>250.70954318710835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0.6610774886186358</v>
      </c>
      <c r="BQ105" s="21">
        <f>EXP(-LN(2)/25)*BQ104+(1-EXP(-LN(2)/25))/(LN(2)/25)*Calculateur!BL105*Calculateur!BN105*VLOOKUP('Données projet'!$B$11,Paramètres!$A$1:$I$89,3,0)*0.475*44/12</f>
        <v>2.3501784529106127</v>
      </c>
      <c r="BR105" s="21">
        <f>EXP(-LN(2)/2)*BR104+(1-EXP(-LN(2)/2))/(LN(2)/2)*BL105*BO105*VLOOKUP('Données projet'!$B$11,Paramètres!$A$1:$I$89,3,0)*0.475*44/12</f>
        <v>2.9494120608962818E-10</v>
      </c>
      <c r="BS105" s="22">
        <f t="shared" si="63"/>
        <v>3.01125594182419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316.39999999999975</v>
      </c>
      <c r="BZ105" s="13">
        <f>BY105*VLOOKUP('Données projet'!$B$12,Paramètres!$A$1:$I$89,3,0)*VLOOKUP('Données projet'!$B$12,Paramètres!$A$1:$I$89,5,0)</f>
        <v>306.02207999999973</v>
      </c>
      <c r="CA105" s="13">
        <f t="shared" si="93"/>
        <v>72.437458746051632</v>
      </c>
      <c r="CB105" s="20">
        <f t="shared" si="64"/>
        <v>659.15036331603949</v>
      </c>
      <c r="CC105" s="59">
        <f t="shared" si="65"/>
        <v>952.48369664937286</v>
      </c>
      <c r="CD105" s="59">
        <f ca="1">AVERAGE(OFFSET($CC$3,0,0,'Données projet'!$E$12+1,1))-AVERAGE(OFFSET($H$3,0,0,'Données projet'!$E$12+1,1))</f>
        <v>347.8889410585312</v>
      </c>
      <c r="CE105" s="59">
        <f t="shared" si="94"/>
        <v>254.78167322479203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0.61866874406574279</v>
      </c>
      <c r="CL105" s="21">
        <f>EXP(-LN(2)/25)*CL104+(1-EXP(-LN(2)/25))/(LN(2)/25)*Calculateur!CG105*Calculateur!CI105*VLOOKUP('Données projet'!$B$12,Paramètres!$A$1:$I$89,3,0)*0.475*44/12</f>
        <v>1.6383810138143016</v>
      </c>
      <c r="CM105" s="21">
        <f>EXP(-LN(2)/2)*CM104+(1-EXP(-LN(2)/2))/(LN(2)/2)*CG105*CJ105*VLOOKUP('Données projet'!$B$12,Paramètres!$A$1:$I$89,3,0)*0.475*44/12</f>
        <v>3.3527283511663679E-10</v>
      </c>
      <c r="CN105" s="22">
        <f t="shared" si="66"/>
        <v>2.2570497582153171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920.79771860217693</v>
      </c>
      <c r="S106" s="59">
        <f ca="1">AVERAGE(OFFSET($R$3,0,0,'Données projet'!$E$9+1,1))-AVERAGE(OFFSET($H$3,0,0,'Données projet'!$E$9+1,1))</f>
        <v>318.40875902853116</v>
      </c>
      <c r="T106" s="59">
        <f t="shared" si="88"/>
        <v>234.87694492493506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-5.1159076974727213E-13</v>
      </c>
      <c r="AJ106" s="13">
        <f>AI106*VLOOKUP('Données projet'!$B$10,Paramètres!$A$1:$I$89,3,0)*VLOOKUP('Données projet'!$B$10,Paramètres!$A$1:$I$89,5,0)</f>
        <v>-4.0702161641092972E-13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260.20517190557814</v>
      </c>
      <c r="AO106" s="59">
        <f t="shared" si="90"/>
        <v>307.22009971147133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0.76869354131391165</v>
      </c>
      <c r="AV106" s="21">
        <f>EXP(-LN(2)/25)*AV105+(1-EXP(-LN(2)/25))/(LN(2)/25)*Calculateur!AQ106*Calculateur!AS106*VLOOKUP('Données projet'!$B$10,Paramètres!$A$1:$I$89,3,0)*0.475*44/12</f>
        <v>2.7111987831578608</v>
      </c>
      <c r="AW106" s="21">
        <f>EXP(-LN(2)/2)*AW105+(1-EXP(-LN(2)/2))/(LN(2)/2)*AQ106*AT106*VLOOKUP('Données projet'!$B$10,Paramètres!$A$1:$I$89,3,0)*0.475*44/12</f>
        <v>2.4735584350565284E-10</v>
      </c>
      <c r="AX106" s="21">
        <f t="shared" si="60"/>
        <v>3.4798923247191285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-3.4317508834647017E-13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207.93042467236967</v>
      </c>
      <c r="BJ106" s="59">
        <f t="shared" si="92"/>
        <v>250.70954318710835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0.64811416228427798</v>
      </c>
      <c r="BQ106" s="21">
        <f>EXP(-LN(2)/25)*BQ105+(1-EXP(-LN(2)/25))/(LN(2)/25)*Calculateur!BL106*Calculateur!BN106*VLOOKUP('Données projet'!$B$11,Paramètres!$A$1:$I$89,3,0)*0.475*44/12</f>
        <v>2.2859126995252583</v>
      </c>
      <c r="BR106" s="21">
        <f>EXP(-LN(2)/2)*BR105+(1-EXP(-LN(2)/2))/(LN(2)/2)*BL106*BO106*VLOOKUP('Données projet'!$B$11,Paramètres!$A$1:$I$89,3,0)*0.475*44/12</f>
        <v>2.0855492687731513E-10</v>
      </c>
      <c r="BS106" s="22">
        <f t="shared" si="63"/>
        <v>2.9340268620180914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321.59999999999974</v>
      </c>
      <c r="BZ106" s="13">
        <f>BY106*VLOOKUP('Données projet'!$B$12,Paramètres!$A$1:$I$89,3,0)*VLOOKUP('Données projet'!$B$12,Paramètres!$A$1:$I$89,5,0)</f>
        <v>311.05151999999975</v>
      </c>
      <c r="CA106" s="13">
        <f t="shared" si="93"/>
        <v>73.488386102003744</v>
      </c>
      <c r="CB106" s="20">
        <f t="shared" si="64"/>
        <v>669.7403364609894</v>
      </c>
      <c r="CC106" s="59">
        <f t="shared" si="65"/>
        <v>963.07366979432277</v>
      </c>
      <c r="CD106" s="59">
        <f ca="1">AVERAGE(OFFSET($CC$3,0,0,'Données projet'!$E$12+1,1))-AVERAGE(OFFSET($H$3,0,0,'Données projet'!$E$12+1,1))</f>
        <v>347.8889410585312</v>
      </c>
      <c r="CE106" s="59">
        <f t="shared" si="94"/>
        <v>254.78167322479203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0.60653702734528714</v>
      </c>
      <c r="CL106" s="21">
        <f>EXP(-LN(2)/25)*CL105+(1-EXP(-LN(2)/25))/(LN(2)/25)*Calculateur!CG106*Calculateur!CI106*VLOOKUP('Données projet'!$B$12,Paramètres!$A$1:$I$89,3,0)*0.475*44/12</f>
        <v>1.5935793988328366</v>
      </c>
      <c r="CM106" s="21">
        <f>EXP(-LN(2)/2)*CM105+(1-EXP(-LN(2)/2))/(LN(2)/2)*CG106*CJ106*VLOOKUP('Données projet'!$B$12,Paramètres!$A$1:$I$89,3,0)*0.475*44/12</f>
        <v>2.3707369525861312E-10</v>
      </c>
      <c r="CN106" s="22">
        <f t="shared" si="66"/>
        <v>2.2001164264151978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930.71456672607133</v>
      </c>
      <c r="S107" s="59">
        <f ca="1">AVERAGE(OFFSET($R$3,0,0,'Données projet'!$E$9+1,1))-AVERAGE(OFFSET($H$3,0,0,'Données projet'!$E$9+1,1))</f>
        <v>318.40875902853116</v>
      </c>
      <c r="T107" s="59">
        <f t="shared" si="88"/>
        <v>234.87694492493506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-5.1159076974727213E-13</v>
      </c>
      <c r="AJ107" s="13">
        <f>AI107*VLOOKUP('Données projet'!$B$10,Paramètres!$A$1:$I$89,3,0)*VLOOKUP('Données projet'!$B$10,Paramètres!$A$1:$I$89,5,0)</f>
        <v>-4.0702161641092972E-13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260.20517190557814</v>
      </c>
      <c r="AO107" s="59">
        <f t="shared" si="90"/>
        <v>307.22009971147133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0.75361992982551029</v>
      </c>
      <c r="AV107" s="21">
        <f>EXP(-LN(2)/25)*AV106+(1-EXP(-LN(2)/25))/(LN(2)/25)*Calculateur!AQ107*Calculateur!AS107*VLOOKUP('Données projet'!$B$10,Paramètres!$A$1:$I$89,3,0)*0.475*44/12</f>
        <v>2.6370609098566615</v>
      </c>
      <c r="AW107" s="21">
        <f>EXP(-LN(2)/2)*AW106+(1-EXP(-LN(2)/2))/(LN(2)/2)*AQ107*AT107*VLOOKUP('Données projet'!$B$10,Paramètres!$A$1:$I$89,3,0)*0.475*44/12</f>
        <v>1.7490699430896556E-10</v>
      </c>
      <c r="AX107" s="21">
        <f t="shared" si="60"/>
        <v>3.3906808398570791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-3.4317508834647017E-13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207.93042467236967</v>
      </c>
      <c r="BJ107" s="59">
        <f t="shared" si="92"/>
        <v>250.70954318710835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0.63540503887248856</v>
      </c>
      <c r="BQ107" s="21">
        <f>EXP(-LN(2)/25)*BQ106+(1-EXP(-LN(2)/25))/(LN(2)/25)*Calculateur!BL107*Calculateur!BN107*VLOOKUP('Données projet'!$B$11,Paramètres!$A$1:$I$89,3,0)*0.475*44/12</f>
        <v>2.2234042965458158</v>
      </c>
      <c r="BR107" s="21">
        <f>EXP(-LN(2)/2)*BR106+(1-EXP(-LN(2)/2))/(LN(2)/2)*BL107*BO107*VLOOKUP('Données projet'!$B$11,Paramètres!$A$1:$I$89,3,0)*0.475*44/12</f>
        <v>1.4747060304481409E-10</v>
      </c>
      <c r="BS107" s="22">
        <f t="shared" si="63"/>
        <v>2.8588093355657751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326.79999999999973</v>
      </c>
      <c r="BZ107" s="13">
        <f>BY107*VLOOKUP('Données projet'!$B$12,Paramètres!$A$1:$I$89,3,0)*VLOOKUP('Données projet'!$B$12,Paramètres!$A$1:$I$89,5,0)</f>
        <v>316.08095999999978</v>
      </c>
      <c r="CA107" s="13">
        <f t="shared" si="93"/>
        <v>74.537337287681041</v>
      </c>
      <c r="CB107" s="20">
        <f t="shared" si="64"/>
        <v>680.32686777604408</v>
      </c>
      <c r="CC107" s="59">
        <f t="shared" si="65"/>
        <v>973.66020110937734</v>
      </c>
      <c r="CD107" s="59">
        <f ca="1">AVERAGE(OFFSET($CC$3,0,0,'Données projet'!$E$12+1,1))-AVERAGE(OFFSET($H$3,0,0,'Données projet'!$E$12+1,1))</f>
        <v>347.8889410585312</v>
      </c>
      <c r="CE107" s="59">
        <f t="shared" si="94"/>
        <v>254.78167322479203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0.59464320619010314</v>
      </c>
      <c r="CL107" s="21">
        <f>EXP(-LN(2)/25)*CL106+(1-EXP(-LN(2)/25))/(LN(2)/25)*Calculateur!CG107*Calculateur!CI107*VLOOKUP('Données projet'!$B$12,Paramètres!$A$1:$I$89,3,0)*0.475*44/12</f>
        <v>1.5500028863690543</v>
      </c>
      <c r="CM107" s="21">
        <f>EXP(-LN(2)/2)*CM106+(1-EXP(-LN(2)/2))/(LN(2)/2)*CG107*CJ107*VLOOKUP('Données projet'!$B$12,Paramètres!$A$1:$I$89,3,0)*0.475*44/12</f>
        <v>1.676364175583184E-10</v>
      </c>
      <c r="CN107" s="22">
        <f t="shared" si="66"/>
        <v>2.1446460927267941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940.62822757505774</v>
      </c>
      <c r="S108" s="59">
        <f ca="1">AVERAGE(OFFSET($R$3,0,0,'Données projet'!$E$9+1,1))-AVERAGE(OFFSET($H$3,0,0,'Données projet'!$E$9+1,1))</f>
        <v>318.40875902853116</v>
      </c>
      <c r="T108" s="59">
        <f t="shared" si="88"/>
        <v>234.87694492493506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-5.1159076974727213E-13</v>
      </c>
      <c r="AJ108" s="13">
        <f>AI108*VLOOKUP('Données projet'!$B$10,Paramètres!$A$1:$I$89,3,0)*VLOOKUP('Données projet'!$B$10,Paramètres!$A$1:$I$89,5,0)</f>
        <v>-4.0702161641092972E-13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260.20517190557814</v>
      </c>
      <c r="AO108" s="59">
        <f t="shared" si="90"/>
        <v>307.22009971147133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0.73884190266440131</v>
      </c>
      <c r="AV108" s="21">
        <f>EXP(-LN(2)/25)*AV107+(1-EXP(-LN(2)/25))/(LN(2)/25)*Calculateur!AQ108*Calculateur!AS108*VLOOKUP('Données projet'!$B$10,Paramètres!$A$1:$I$89,3,0)*0.475*44/12</f>
        <v>2.564950340599625</v>
      </c>
      <c r="AW108" s="21">
        <f>EXP(-LN(2)/2)*AW107+(1-EXP(-LN(2)/2))/(LN(2)/2)*AQ108*AT108*VLOOKUP('Données projet'!$B$10,Paramètres!$A$1:$I$89,3,0)*0.475*44/12</f>
        <v>1.2367792175282642E-10</v>
      </c>
      <c r="AX108" s="21">
        <f t="shared" si="60"/>
        <v>3.3037922433877043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-3.4317508834647017E-13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207.93042467236967</v>
      </c>
      <c r="BJ108" s="59">
        <f t="shared" si="92"/>
        <v>250.70954318710835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0.6229451336190045</v>
      </c>
      <c r="BQ108" s="21">
        <f>EXP(-LN(2)/25)*BQ107+(1-EXP(-LN(2)/25))/(LN(2)/25)*Calculateur!BL108*Calculateur!BN108*VLOOKUP('Données projet'!$B$11,Paramètres!$A$1:$I$89,3,0)*0.475*44/12</f>
        <v>2.16260518913302</v>
      </c>
      <c r="BR108" s="21">
        <f>EXP(-LN(2)/2)*BR107+(1-EXP(-LN(2)/2))/(LN(2)/2)*BL108*BO108*VLOOKUP('Données projet'!$B$11,Paramètres!$A$1:$I$89,3,0)*0.475*44/12</f>
        <v>1.0427746343865757E-10</v>
      </c>
      <c r="BS108" s="22">
        <f t="shared" si="63"/>
        <v>2.7855503228563019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331.99999999999972</v>
      </c>
      <c r="BZ108" s="13">
        <f>BY108*VLOOKUP('Données projet'!$B$12,Paramètres!$A$1:$I$89,3,0)*VLOOKUP('Données projet'!$B$12,Paramètres!$A$1:$I$89,5,0)</f>
        <v>321.11039999999974</v>
      </c>
      <c r="CA108" s="13">
        <f t="shared" si="93"/>
        <v>75.584347378293245</v>
      </c>
      <c r="CB108" s="20">
        <f t="shared" si="64"/>
        <v>690.91001835052691</v>
      </c>
      <c r="CC108" s="59">
        <f t="shared" si="65"/>
        <v>984.24335168386028</v>
      </c>
      <c r="CD108" s="59">
        <f ca="1">AVERAGE(OFFSET($CC$3,0,0,'Données projet'!$E$12+1,1))-AVERAGE(OFFSET($H$3,0,0,'Données projet'!$E$12+1,1))</f>
        <v>347.8889410585312</v>
      </c>
      <c r="CE108" s="59">
        <f t="shared" si="94"/>
        <v>254.78167322479203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0.5829826156132577</v>
      </c>
      <c r="CL108" s="21">
        <f>EXP(-LN(2)/25)*CL107+(1-EXP(-LN(2)/25))/(LN(2)/25)*Calculateur!CG108*Calculateur!CI108*VLOOKUP('Données projet'!$B$12,Paramètres!$A$1:$I$89,3,0)*0.475*44/12</f>
        <v>1.5076179759301833</v>
      </c>
      <c r="CM108" s="21">
        <f>EXP(-LN(2)/2)*CM107+(1-EXP(-LN(2)/2))/(LN(2)/2)*CG108*CJ108*VLOOKUP('Données projet'!$B$12,Paramètres!$A$1:$I$89,3,0)*0.475*44/12</f>
        <v>1.1853684762930656E-10</v>
      </c>
      <c r="CN108" s="22">
        <f t="shared" si="66"/>
        <v>2.0906005916619779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950.53875683494675</v>
      </c>
      <c r="S109" s="59">
        <f ca="1">AVERAGE(OFFSET($R$3,0,0,'Données projet'!$E$9+1,1))-AVERAGE(OFFSET($H$3,0,0,'Données projet'!$E$9+1,1))</f>
        <v>318.40875902853116</v>
      </c>
      <c r="T109" s="59">
        <f t="shared" si="88"/>
        <v>234.87694492493506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-5.1159076974727213E-13</v>
      </c>
      <c r="AJ109" s="13">
        <f>AI109*VLOOKUP('Données projet'!$B$10,Paramètres!$A$1:$I$89,3,0)*VLOOKUP('Données projet'!$B$10,Paramètres!$A$1:$I$89,5,0)</f>
        <v>-4.0702161641092972E-13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260.20517190557814</v>
      </c>
      <c r="AO109" s="59">
        <f t="shared" si="90"/>
        <v>307.22009971147133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0.72435366360221509</v>
      </c>
      <c r="AV109" s="21">
        <f>EXP(-LN(2)/25)*AV108+(1-EXP(-LN(2)/25))/(LN(2)/25)*Calculateur!AQ109*Calculateur!AS109*VLOOKUP('Données projet'!$B$10,Paramètres!$A$1:$I$89,3,0)*0.475*44/12</f>
        <v>2.4948116386510519</v>
      </c>
      <c r="AW109" s="21">
        <f>EXP(-LN(2)/2)*AW108+(1-EXP(-LN(2)/2))/(LN(2)/2)*AQ109*AT109*VLOOKUP('Données projet'!$B$10,Paramètres!$A$1:$I$89,3,0)*0.475*44/12</f>
        <v>8.7453497154482779E-11</v>
      </c>
      <c r="AX109" s="21">
        <f t="shared" si="60"/>
        <v>3.2191653023407207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-3.4317508834647017E-13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207.93042467236967</v>
      </c>
      <c r="BJ109" s="59">
        <f t="shared" si="92"/>
        <v>250.70954318710835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0.61072955950774954</v>
      </c>
      <c r="BQ109" s="21">
        <f>EXP(-LN(2)/25)*BQ108+(1-EXP(-LN(2)/25))/(LN(2)/25)*Calculateur!BL109*Calculateur!BN109*VLOOKUP('Données projet'!$B$11,Paramètres!$A$1:$I$89,3,0)*0.475*44/12</f>
        <v>2.1034686365097133</v>
      </c>
      <c r="BR109" s="21">
        <f>EXP(-LN(2)/2)*BR108+(1-EXP(-LN(2)/2))/(LN(2)/2)*BL109*BO109*VLOOKUP('Données projet'!$B$11,Paramètres!$A$1:$I$89,3,0)*0.475*44/12</f>
        <v>7.3735301522407044E-11</v>
      </c>
      <c r="BS109" s="22">
        <f t="shared" si="63"/>
        <v>2.7141981960911981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337.1999999999997</v>
      </c>
      <c r="BZ109" s="13">
        <f>BY109*VLOOKUP('Données projet'!$B$12,Paramètres!$A$1:$I$89,3,0)*VLOOKUP('Données projet'!$B$12,Paramètres!$A$1:$I$89,5,0)</f>
        <v>326.13983999999971</v>
      </c>
      <c r="CA109" s="13">
        <f t="shared" si="93"/>
        <v>76.62945028727961</v>
      </c>
      <c r="CB109" s="20">
        <f t="shared" si="64"/>
        <v>701.48984725034472</v>
      </c>
      <c r="CC109" s="59">
        <f t="shared" si="65"/>
        <v>994.82318058367809</v>
      </c>
      <c r="CD109" s="59">
        <f ca="1">AVERAGE(OFFSET($CC$3,0,0,'Données projet'!$E$12+1,1))-AVERAGE(OFFSET($H$3,0,0,'Données projet'!$E$12+1,1))</f>
        <v>347.8889410585312</v>
      </c>
      <c r="CE109" s="59">
        <f t="shared" si="94"/>
        <v>254.78167322479203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0.57155068210536619</v>
      </c>
      <c r="CL109" s="21">
        <f>EXP(-LN(2)/25)*CL108+(1-EXP(-LN(2)/25))/(LN(2)/25)*Calculateur!CG109*Calculateur!CI109*VLOOKUP('Données projet'!$B$12,Paramètres!$A$1:$I$89,3,0)*0.475*44/12</f>
        <v>1.4663920830961887</v>
      </c>
      <c r="CM109" s="21">
        <f>EXP(-LN(2)/2)*CM108+(1-EXP(-LN(2)/2))/(LN(2)/2)*CG109*CJ109*VLOOKUP('Données projet'!$B$12,Paramètres!$A$1:$I$89,3,0)*0.475*44/12</f>
        <v>8.3818208779159198E-11</v>
      </c>
      <c r="CN109" s="22">
        <f t="shared" si="66"/>
        <v>2.037942765285373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960.44620837553339</v>
      </c>
      <c r="S110" s="59">
        <f ca="1">AVERAGE(OFFSET($R$3,0,0,'Données projet'!$E$9+1,1))-AVERAGE(OFFSET($H$3,0,0,'Données projet'!$E$9+1,1))</f>
        <v>318.40875902853116</v>
      </c>
      <c r="T110" s="59">
        <f t="shared" si="88"/>
        <v>234.87694492493506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-5.1159076974727213E-13</v>
      </c>
      <c r="AJ110" s="13">
        <f>AI110*VLOOKUP('Données projet'!$B$10,Paramètres!$A$1:$I$89,3,0)*VLOOKUP('Données projet'!$B$10,Paramètres!$A$1:$I$89,5,0)</f>
        <v>-4.0702161641092972E-13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260.20517190557814</v>
      </c>
      <c r="AO110" s="59">
        <f t="shared" si="90"/>
        <v>307.22009971147133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0.71014953007108517</v>
      </c>
      <c r="AV110" s="21">
        <f>EXP(-LN(2)/25)*AV109+(1-EXP(-LN(2)/25))/(LN(2)/25)*Calculateur!AQ110*Calculateur!AS110*VLOOKUP('Données projet'!$B$10,Paramètres!$A$1:$I$89,3,0)*0.475*44/12</f>
        <v>2.4265908831956966</v>
      </c>
      <c r="AW110" s="21">
        <f>EXP(-LN(2)/2)*AW109+(1-EXP(-LN(2)/2))/(LN(2)/2)*AQ110*AT110*VLOOKUP('Données projet'!$B$10,Paramètres!$A$1:$I$89,3,0)*0.475*44/12</f>
        <v>6.1838960876413211E-11</v>
      </c>
      <c r="AX110" s="21">
        <f t="shared" si="60"/>
        <v>3.1367404133286207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-3.4317508834647017E-13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207.93042467236967</v>
      </c>
      <c r="BJ110" s="59">
        <f t="shared" si="92"/>
        <v>250.70954318710835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0.59875352535405169</v>
      </c>
      <c r="BQ110" s="21">
        <f>EXP(-LN(2)/25)*BQ109+(1-EXP(-LN(2)/25))/(LN(2)/25)*Calculateur!BL110*Calculateur!BN110*VLOOKUP('Données projet'!$B$11,Paramètres!$A$1:$I$89,3,0)*0.475*44/12</f>
        <v>2.0459491760277473</v>
      </c>
      <c r="BR110" s="21">
        <f>EXP(-LN(2)/2)*BR109+(1-EXP(-LN(2)/2))/(LN(2)/2)*BL110*BO110*VLOOKUP('Données projet'!$B$11,Paramètres!$A$1:$I$89,3,0)*0.475*44/12</f>
        <v>5.2138731719328783E-11</v>
      </c>
      <c r="BS110" s="22">
        <f t="shared" si="63"/>
        <v>2.6447027014339377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342.39999999999969</v>
      </c>
      <c r="BZ110" s="13">
        <f>BY110*VLOOKUP('Données projet'!$B$12,Paramètres!$A$1:$I$89,3,0)*VLOOKUP('Données projet'!$B$12,Paramètres!$A$1:$I$89,5,0)</f>
        <v>331.16927999999973</v>
      </c>
      <c r="CA110" s="13">
        <f t="shared" si="93"/>
        <v>77.672678822099698</v>
      </c>
      <c r="CB110" s="20">
        <f t="shared" si="64"/>
        <v>712.06641161515643</v>
      </c>
      <c r="CC110" s="59">
        <f t="shared" si="65"/>
        <v>1005.3997449484898</v>
      </c>
      <c r="CD110" s="59">
        <f ca="1">AVERAGE(OFFSET($CC$3,0,0,'Données projet'!$E$12+1,1))-AVERAGE(OFFSET($H$3,0,0,'Données projet'!$E$12+1,1))</f>
        <v>347.8889410585312</v>
      </c>
      <c r="CE110" s="59">
        <f t="shared" si="94"/>
        <v>254.78167322479203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0.5603429218407735</v>
      </c>
      <c r="CL110" s="21">
        <f>EXP(-LN(2)/25)*CL109+(1-EXP(-LN(2)/25))/(LN(2)/25)*Calculateur!CG110*Calculateur!CI110*VLOOKUP('Données projet'!$B$12,Paramètres!$A$1:$I$89,3,0)*0.475*44/12</f>
        <v>1.4262935144697153</v>
      </c>
      <c r="CM110" s="21">
        <f>EXP(-LN(2)/2)*CM109+(1-EXP(-LN(2)/2))/(LN(2)/2)*CG110*CJ110*VLOOKUP('Données projet'!$B$12,Paramètres!$A$1:$I$89,3,0)*0.475*44/12</f>
        <v>5.9268423814653279E-11</v>
      </c>
      <c r="CN110" s="22">
        <f t="shared" si="66"/>
        <v>1.9866364363697573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970.35063433648315</v>
      </c>
      <c r="S111" s="59">
        <f ca="1">AVERAGE(OFFSET($R$3,0,0,'Données projet'!$E$9+1,1))-AVERAGE(OFFSET($H$3,0,0,'Données projet'!$E$9+1,1))</f>
        <v>318.40875902853116</v>
      </c>
      <c r="T111" s="59">
        <f t="shared" si="88"/>
        <v>234.87694492493506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-5.1159076974727213E-13</v>
      </c>
      <c r="AJ111" s="13">
        <f>AI111*VLOOKUP('Données projet'!$B$10,Paramètres!$A$1:$I$89,3,0)*VLOOKUP('Données projet'!$B$10,Paramètres!$A$1:$I$89,5,0)</f>
        <v>-4.0702161641092972E-13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260.20517190557814</v>
      </c>
      <c r="AO111" s="59">
        <f t="shared" si="90"/>
        <v>307.22009971147133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0.6962239309348347</v>
      </c>
      <c r="AV111" s="21">
        <f>EXP(-LN(2)/25)*AV110+(1-EXP(-LN(2)/25))/(LN(2)/25)*Calculateur!AQ111*Calculateur!AS111*VLOOKUP('Données projet'!$B$10,Paramètres!$A$1:$I$89,3,0)*0.475*44/12</f>
        <v>2.3602356278858418</v>
      </c>
      <c r="AW111" s="21">
        <f>EXP(-LN(2)/2)*AW110+(1-EXP(-LN(2)/2))/(LN(2)/2)*AQ111*AT111*VLOOKUP('Données projet'!$B$10,Paramètres!$A$1:$I$89,3,0)*0.475*44/12</f>
        <v>4.372674857724139E-11</v>
      </c>
      <c r="AX111" s="21">
        <f t="shared" si="60"/>
        <v>3.0564595588644035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-3.4317508834647017E-13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207.93042467236967</v>
      </c>
      <c r="BJ111" s="59">
        <f t="shared" si="92"/>
        <v>250.70954318710835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0.58701233392544838</v>
      </c>
      <c r="BQ111" s="21">
        <f>EXP(-LN(2)/25)*BQ110+(1-EXP(-LN(2)/25))/(LN(2)/25)*Calculateur!BL111*Calculateur!BN111*VLOOKUP('Données projet'!$B$11,Paramètres!$A$1:$I$89,3,0)*0.475*44/12</f>
        <v>1.9900025882174774</v>
      </c>
      <c r="BR111" s="21">
        <f>EXP(-LN(2)/2)*BR110+(1-EXP(-LN(2)/2))/(LN(2)/2)*BL111*BO111*VLOOKUP('Données projet'!$B$11,Paramètres!$A$1:$I$89,3,0)*0.475*44/12</f>
        <v>3.6867650761203522E-11</v>
      </c>
      <c r="BS111" s="22">
        <f t="shared" si="63"/>
        <v>2.5770149221797936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347.59999999999968</v>
      </c>
      <c r="BZ111" s="13">
        <f>BY111*VLOOKUP('Données projet'!$B$12,Paramètres!$A$1:$I$89,3,0)*VLOOKUP('Données projet'!$B$12,Paramètres!$A$1:$I$89,5,0)</f>
        <v>336.1987199999997</v>
      </c>
      <c r="CA111" s="13">
        <f t="shared" si="93"/>
        <v>78.71406473653974</v>
      </c>
      <c r="CB111" s="20">
        <f t="shared" si="64"/>
        <v>722.63976674947287</v>
      </c>
      <c r="CC111" s="59">
        <f t="shared" si="65"/>
        <v>1015.9731000828062</v>
      </c>
      <c r="CD111" s="59">
        <f ca="1">AVERAGE(OFFSET($CC$3,0,0,'Données projet'!$E$12+1,1))-AVERAGE(OFFSET($H$3,0,0,'Données projet'!$E$12+1,1))</f>
        <v>347.8889410585312</v>
      </c>
      <c r="CE111" s="59">
        <f t="shared" si="94"/>
        <v>254.78167322479203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0.54935493891891074</v>
      </c>
      <c r="CL111" s="21">
        <f>EXP(-LN(2)/25)*CL110+(1-EXP(-LN(2)/25))/(LN(2)/25)*Calculateur!CG111*Calculateur!CI111*VLOOKUP('Données projet'!$B$12,Paramètres!$A$1:$I$89,3,0)*0.475*44/12</f>
        <v>1.3872914433110248</v>
      </c>
      <c r="CM111" s="21">
        <f>EXP(-LN(2)/2)*CM110+(1-EXP(-LN(2)/2))/(LN(2)/2)*CG111*CJ111*VLOOKUP('Données projet'!$B$12,Paramètres!$A$1:$I$89,3,0)*0.475*44/12</f>
        <v>4.1909104389579599E-11</v>
      </c>
      <c r="CN111" s="22">
        <f t="shared" si="66"/>
        <v>1.9366463822718447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980.25208520793171</v>
      </c>
      <c r="S112" s="59">
        <f ca="1">AVERAGE(OFFSET($R$3,0,0,'Données projet'!$E$9+1,1))-AVERAGE(OFFSET($H$3,0,0,'Données projet'!$E$9+1,1))</f>
        <v>318.40875902853116</v>
      </c>
      <c r="T112" s="59">
        <f t="shared" si="88"/>
        <v>234.87694492493506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-5.1159076974727213E-13</v>
      </c>
      <c r="AJ112" s="13">
        <f>AI112*VLOOKUP('Données projet'!$B$10,Paramètres!$A$1:$I$89,3,0)*VLOOKUP('Données projet'!$B$10,Paramètres!$A$1:$I$89,5,0)</f>
        <v>-4.0702161641092972E-13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260.20517190557814</v>
      </c>
      <c r="AO112" s="59">
        <f t="shared" si="90"/>
        <v>307.22009971147133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0.68257140430386931</v>
      </c>
      <c r="AV112" s="21">
        <f>EXP(-LN(2)/25)*AV111+(1-EXP(-LN(2)/25))/(LN(2)/25)*Calculateur!AQ112*Calculateur!AS112*VLOOKUP('Données projet'!$B$10,Paramètres!$A$1:$I$89,3,0)*0.475*44/12</f>
        <v>2.2956948605219063</v>
      </c>
      <c r="AW112" s="21">
        <f>EXP(-LN(2)/2)*AW111+(1-EXP(-LN(2)/2))/(LN(2)/2)*AQ112*AT112*VLOOKUP('Données projet'!$B$10,Paramètres!$A$1:$I$89,3,0)*0.475*44/12</f>
        <v>3.0919480438206605E-11</v>
      </c>
      <c r="AX112" s="21">
        <f t="shared" si="60"/>
        <v>2.9782662648566949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-3.4317508834647017E-13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207.93042467236967</v>
      </c>
      <c r="BJ112" s="59">
        <f t="shared" si="92"/>
        <v>250.70954318710835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0.57550138009934027</v>
      </c>
      <c r="BQ112" s="21">
        <f>EXP(-LN(2)/25)*BQ111+(1-EXP(-LN(2)/25))/(LN(2)/25)*Calculateur!BL112*Calculateur!BN112*VLOOKUP('Données projet'!$B$11,Paramètres!$A$1:$I$89,3,0)*0.475*44/12</f>
        <v>1.9355858627929827</v>
      </c>
      <c r="BR112" s="21">
        <f>EXP(-LN(2)/2)*BR111+(1-EXP(-LN(2)/2))/(LN(2)/2)*BL112*BO112*VLOOKUP('Données projet'!$B$11,Paramètres!$A$1:$I$89,3,0)*0.475*44/12</f>
        <v>2.6069365859664391E-11</v>
      </c>
      <c r="BS112" s="22">
        <f t="shared" si="63"/>
        <v>2.5110872429183924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352.79999999999967</v>
      </c>
      <c r="BZ112" s="13">
        <f>BY112*VLOOKUP('Données projet'!$B$12,Paramètres!$A$1:$I$89,3,0)*VLOOKUP('Données projet'!$B$12,Paramètres!$A$1:$I$89,5,0)</f>
        <v>341.22815999999966</v>
      </c>
      <c r="CA112" s="13">
        <f t="shared" si="93"/>
        <v>79.753638779800099</v>
      </c>
      <c r="CB112" s="20">
        <f t="shared" si="64"/>
        <v>733.20996620815129</v>
      </c>
      <c r="CC112" s="59">
        <f t="shared" si="65"/>
        <v>1026.5432995414847</v>
      </c>
      <c r="CD112" s="59">
        <f ca="1">AVERAGE(OFFSET($CC$3,0,0,'Données projet'!$E$12+1,1))-AVERAGE(OFFSET($H$3,0,0,'Données projet'!$E$12+1,1))</f>
        <v>347.8889410585312</v>
      </c>
      <c r="CE112" s="59">
        <f t="shared" si="94"/>
        <v>254.78167322479203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0.53858242364013786</v>
      </c>
      <c r="CL112" s="21">
        <f>EXP(-LN(2)/25)*CL111+(1-EXP(-LN(2)/25))/(LN(2)/25)*Calculateur!CG112*Calculateur!CI112*VLOOKUP('Données projet'!$B$12,Paramètres!$A$1:$I$89,3,0)*0.475*44/12</f>
        <v>1.3493558858391985</v>
      </c>
      <c r="CM112" s="21">
        <f>EXP(-LN(2)/2)*CM111+(1-EXP(-LN(2)/2))/(LN(2)/2)*CG112*CJ112*VLOOKUP('Données projet'!$B$12,Paramètres!$A$1:$I$89,3,0)*0.475*44/12</f>
        <v>2.9634211907326639E-11</v>
      </c>
      <c r="CN112" s="22">
        <f t="shared" si="66"/>
        <v>1.8879383095089708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990.15060990620145</v>
      </c>
      <c r="S113" s="59">
        <f ca="1">AVERAGE(OFFSET($R$3,0,0,'Données projet'!$E$9+1,1))-AVERAGE(OFFSET($H$3,0,0,'Données projet'!$E$9+1,1))</f>
        <v>318.40875902853116</v>
      </c>
      <c r="T113" s="59">
        <f t="shared" si="88"/>
        <v>234.87694492493506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-5.1159076974727213E-13</v>
      </c>
      <c r="AJ113" s="13">
        <f>AI113*VLOOKUP('Données projet'!$B$10,Paramètres!$A$1:$I$89,3,0)*VLOOKUP('Données projet'!$B$10,Paramètres!$A$1:$I$89,5,0)</f>
        <v>-4.0702161641092972E-13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260.20517190557814</v>
      </c>
      <c r="AO113" s="59">
        <f t="shared" si="90"/>
        <v>307.22009971147133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0.66918659539291814</v>
      </c>
      <c r="AV113" s="21">
        <f>EXP(-LN(2)/25)*AV112+(1-EXP(-LN(2)/25))/(LN(2)/25)*Calculateur!AQ113*Calculateur!AS113*VLOOKUP('Données projet'!$B$10,Paramètres!$A$1:$I$89,3,0)*0.475*44/12</f>
        <v>2.2329189638355889</v>
      </c>
      <c r="AW113" s="21">
        <f>EXP(-LN(2)/2)*AW112+(1-EXP(-LN(2)/2))/(LN(2)/2)*AQ113*AT113*VLOOKUP('Données projet'!$B$10,Paramètres!$A$1:$I$89,3,0)*0.475*44/12</f>
        <v>2.1863374288620695E-11</v>
      </c>
      <c r="AX113" s="21">
        <f t="shared" si="60"/>
        <v>2.9021055592503702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-3.4317508834647017E-13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207.93042467236967</v>
      </c>
      <c r="BJ113" s="59">
        <f t="shared" si="92"/>
        <v>250.70954318710835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0.56421614905677364</v>
      </c>
      <c r="BQ113" s="21">
        <f>EXP(-LN(2)/25)*BQ112+(1-EXP(-LN(2)/25))/(LN(2)/25)*Calculateur!BL113*Calculateur!BN113*VLOOKUP('Données projet'!$B$11,Paramètres!$A$1:$I$89,3,0)*0.475*44/12</f>
        <v>1.882657165586872</v>
      </c>
      <c r="BR113" s="21">
        <f>EXP(-LN(2)/2)*BR112+(1-EXP(-LN(2)/2))/(LN(2)/2)*BL113*BO113*VLOOKUP('Données projet'!$B$11,Paramètres!$A$1:$I$89,3,0)*0.475*44/12</f>
        <v>1.8433825380601761E-11</v>
      </c>
      <c r="BS113" s="22">
        <f t="shared" si="63"/>
        <v>2.4468733146620791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357.99999999999966</v>
      </c>
      <c r="BZ113" s="13">
        <f>BY113*VLOOKUP('Données projet'!$B$12,Paramètres!$A$1:$I$89,3,0)*VLOOKUP('Données projet'!$B$12,Paramètres!$A$1:$I$89,5,0)</f>
        <v>346.25759999999968</v>
      </c>
      <c r="CA113" s="13">
        <f t="shared" si="93"/>
        <v>80.791430742606124</v>
      </c>
      <c r="CB113" s="20">
        <f t="shared" si="64"/>
        <v>743.77706187670503</v>
      </c>
      <c r="CC113" s="59">
        <f t="shared" si="65"/>
        <v>1037.1103952100384</v>
      </c>
      <c r="CD113" s="59">
        <f ca="1">AVERAGE(OFFSET($CC$3,0,0,'Données projet'!$E$12+1,1))-AVERAGE(OFFSET($H$3,0,0,'Données projet'!$E$12+1,1))</f>
        <v>347.8889410585312</v>
      </c>
      <c r="CE113" s="59">
        <f t="shared" si="94"/>
        <v>254.78167322479203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0.52802115081539625</v>
      </c>
      <c r="CL113" s="21">
        <f>EXP(-LN(2)/25)*CL112+(1-EXP(-LN(2)/25))/(LN(2)/25)*Calculateur!CG113*Calculateur!CI113*VLOOKUP('Données projet'!$B$12,Paramètres!$A$1:$I$89,3,0)*0.475*44/12</f>
        <v>1.3124576781813837</v>
      </c>
      <c r="CM113" s="21">
        <f>EXP(-LN(2)/2)*CM112+(1-EXP(-LN(2)/2))/(LN(2)/2)*CG113*CJ113*VLOOKUP('Données projet'!$B$12,Paramètres!$A$1:$I$89,3,0)*0.475*44/12</f>
        <v>2.09545521947898E-11</v>
      </c>
      <c r="CN113" s="22">
        <f t="shared" si="66"/>
        <v>1.8404788290177345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311.49999999999966</v>
      </c>
      <c r="O114" s="13">
        <f>N114*VLOOKUP('Données projet'!$B$9,Paramètres!$A$1:$I$89,3,0)*VLOOKUP('Données projet'!$B$9,Paramètres!$A$1:$I$89,5,0)</f>
        <v>281.84519999999969</v>
      </c>
      <c r="P114" s="13">
        <f t="shared" si="87"/>
        <v>67.356803491560427</v>
      </c>
      <c r="Q114" s="20">
        <f t="shared" si="107"/>
        <v>608.19348941446708</v>
      </c>
      <c r="R114" s="59">
        <f t="shared" si="55"/>
        <v>901.52682274780045</v>
      </c>
      <c r="S114" s="59">
        <f ca="1">AVERAGE(OFFSET($R$3,0,0,'Données projet'!$E$9+1,1))-AVERAGE(OFFSET($H$3,0,0,'Données projet'!$E$9+1,1))</f>
        <v>318.40875902853116</v>
      </c>
      <c r="T114" s="59">
        <f t="shared" si="88"/>
        <v>234.87694492493506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-5.1159076974727213E-13</v>
      </c>
      <c r="AJ114" s="13">
        <f>AI114*VLOOKUP('Données projet'!$B$10,Paramètres!$A$1:$I$89,3,0)*VLOOKUP('Données projet'!$B$10,Paramètres!$A$1:$I$89,5,0)</f>
        <v>-4.0702161641092972E-13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260.20517190557814</v>
      </c>
      <c r="AO114" s="59">
        <f t="shared" si="90"/>
        <v>307.22009971147133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0.65606425442078342</v>
      </c>
      <c r="AV114" s="21">
        <f>EXP(-LN(2)/25)*AV113+(1-EXP(-LN(2)/25))/(LN(2)/25)*Calculateur!AQ114*Calculateur!AS114*VLOOKUP('Données projet'!$B$10,Paramètres!$A$1:$I$89,3,0)*0.475*44/12</f>
        <v>2.1718596773453998</v>
      </c>
      <c r="AW114" s="21">
        <f>EXP(-LN(2)/2)*AW113+(1-EXP(-LN(2)/2))/(LN(2)/2)*AQ114*AT114*VLOOKUP('Données projet'!$B$10,Paramètres!$A$1:$I$89,3,0)*0.475*44/12</f>
        <v>1.5459740219103303E-11</v>
      </c>
      <c r="AX114" s="21">
        <f t="shared" si="60"/>
        <v>2.8279239317816427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-3.4317508834647017E-13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207.93042467236967</v>
      </c>
      <c r="BJ114" s="59">
        <f t="shared" si="92"/>
        <v>250.70954318710835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0.55315221451164043</v>
      </c>
      <c r="BQ114" s="21">
        <f>EXP(-LN(2)/25)*BQ113+(1-EXP(-LN(2)/25))/(LN(2)/25)*Calculateur!BL114*Calculateur!BN114*VLOOKUP('Données projet'!$B$11,Paramètres!$A$1:$I$89,3,0)*0.475*44/12</f>
        <v>1.8311758063892616</v>
      </c>
      <c r="BR114" s="21">
        <f>EXP(-LN(2)/2)*BR113+(1-EXP(-LN(2)/2))/(LN(2)/2)*BL114*BO114*VLOOKUP('Données projet'!$B$11,Paramètres!$A$1:$I$89,3,0)*0.475*44/12</f>
        <v>1.3034682929832196E-11</v>
      </c>
      <c r="BS114" s="22">
        <f t="shared" si="63"/>
        <v>2.3843280209139364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311.49999999999966</v>
      </c>
      <c r="BZ114" s="13">
        <f>BY114*VLOOKUP('Données projet'!$B$12,Paramètres!$A$1:$I$89,3,0)*VLOOKUP('Données projet'!$B$12,Paramètres!$A$1:$I$89,5,0)</f>
        <v>301.28279999999967</v>
      </c>
      <c r="CA114" s="13">
        <f t="shared" si="93"/>
        <v>71.445320809508672</v>
      </c>
      <c r="CB114" s="20">
        <f t="shared" si="64"/>
        <v>649.16814374322701</v>
      </c>
      <c r="CC114" s="59">
        <f t="shared" si="65"/>
        <v>942.50147707656038</v>
      </c>
      <c r="CD114" s="59">
        <f ca="1">AVERAGE(OFFSET($CC$3,0,0,'Données projet'!$E$12+1,1))-AVERAGE(OFFSET($H$3,0,0,'Données projet'!$E$12+1,1))</f>
        <v>347.8889410585312</v>
      </c>
      <c r="CE114" s="59">
        <f t="shared" si="94"/>
        <v>254.78167322479203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0.51766697810900741</v>
      </c>
      <c r="CL114" s="21">
        <f>EXP(-LN(2)/25)*CL113+(1-EXP(-LN(2)/25))/(LN(2)/25)*Calculateur!CG114*Calculateur!CI114*VLOOKUP('Données projet'!$B$12,Paramètres!$A$1:$I$89,3,0)*0.475*44/12</f>
        <v>1.2765684539523641</v>
      </c>
      <c r="CM114" s="21">
        <f>EXP(-LN(2)/2)*CM113+(1-EXP(-LN(2)/2))/(LN(2)/2)*CG114*CJ114*VLOOKUP('Données projet'!$B$12,Paramètres!$A$1:$I$89,3,0)*0.475*44/12</f>
        <v>1.481710595366332E-11</v>
      </c>
      <c r="CN114" s="22">
        <f t="shared" si="66"/>
        <v>1.7942354320761886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315.99999999999966</v>
      </c>
      <c r="O115" s="13">
        <f>N115*VLOOKUP('Données projet'!$B$9,Paramètres!$A$1:$I$89,3,0)*VLOOKUP('Données projet'!$B$9,Paramètres!$A$1:$I$89,5,0)</f>
        <v>285.91679999999968</v>
      </c>
      <c r="P115" s="13">
        <f t="shared" si="87"/>
        <v>68.215872977287475</v>
      </c>
      <c r="Q115" s="20">
        <f t="shared" si="107"/>
        <v>616.7810721021084</v>
      </c>
      <c r="R115" s="59">
        <f t="shared" si="55"/>
        <v>910.11440543544177</v>
      </c>
      <c r="S115" s="59">
        <f ca="1">AVERAGE(OFFSET($R$3,0,0,'Données projet'!$E$9+1,1))-AVERAGE(OFFSET($H$3,0,0,'Données projet'!$E$9+1,1))</f>
        <v>318.40875902853116</v>
      </c>
      <c r="T115" s="59">
        <f t="shared" si="88"/>
        <v>234.87694492493506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-5.1159076974727213E-13</v>
      </c>
      <c r="AJ115" s="13">
        <f>AI115*VLOOKUP('Données projet'!$B$10,Paramètres!$A$1:$I$89,3,0)*VLOOKUP('Données projet'!$B$10,Paramètres!$A$1:$I$89,5,0)</f>
        <v>-4.0702161641092972E-13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260.20517190557814</v>
      </c>
      <c r="AO115" s="59">
        <f t="shared" si="90"/>
        <v>307.22009971147133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0.64319923455127459</v>
      </c>
      <c r="AV115" s="21">
        <f>EXP(-LN(2)/25)*AV114+(1-EXP(-LN(2)/25))/(LN(2)/25)*Calculateur!AQ115*Calculateur!AS115*VLOOKUP('Données projet'!$B$10,Paramètres!$A$1:$I$89,3,0)*0.475*44/12</f>
        <v>2.1124700602552533</v>
      </c>
      <c r="AW115" s="21">
        <f>EXP(-LN(2)/2)*AW114+(1-EXP(-LN(2)/2))/(LN(2)/2)*AQ115*AT115*VLOOKUP('Données projet'!$B$10,Paramètres!$A$1:$I$89,3,0)*0.475*44/12</f>
        <v>1.0931687144310347E-11</v>
      </c>
      <c r="AX115" s="21">
        <f t="shared" si="60"/>
        <v>2.7556692948174595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-3.4317508834647017E-13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207.93042467236967</v>
      </c>
      <c r="BJ115" s="59">
        <f t="shared" si="92"/>
        <v>250.70954318710835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0.54230523697460353</v>
      </c>
      <c r="BQ115" s="21">
        <f>EXP(-LN(2)/25)*BQ114+(1-EXP(-LN(2)/25))/(LN(2)/25)*Calculateur!BL115*Calculateur!BN115*VLOOKUP('Données projet'!$B$11,Paramètres!$A$1:$I$89,3,0)*0.475*44/12</f>
        <v>1.7811022076661969</v>
      </c>
      <c r="BR115" s="21">
        <f>EXP(-LN(2)/2)*BR114+(1-EXP(-LN(2)/2))/(LN(2)/2)*BL115*BO115*VLOOKUP('Données projet'!$B$11,Paramètres!$A$1:$I$89,3,0)*0.475*44/12</f>
        <v>9.2169126903008805E-12</v>
      </c>
      <c r="BS115" s="22">
        <f t="shared" si="63"/>
        <v>2.3234074446500173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315.99999999999966</v>
      </c>
      <c r="BZ115" s="13">
        <f>BY115*VLOOKUP('Données projet'!$B$12,Paramètres!$A$1:$I$89,3,0)*VLOOKUP('Données projet'!$B$12,Paramètres!$A$1:$I$89,5,0)</f>
        <v>305.63519999999966</v>
      </c>
      <c r="CA115" s="13">
        <f t="shared" si="93"/>
        <v>72.356535294517755</v>
      </c>
      <c r="CB115" s="20">
        <f t="shared" si="64"/>
        <v>658.33560563795118</v>
      </c>
      <c r="CC115" s="59">
        <f t="shared" si="65"/>
        <v>951.66893897128443</v>
      </c>
      <c r="CD115" s="59">
        <f ca="1">AVERAGE(OFFSET($CC$3,0,0,'Données projet'!$E$12+1,1))-AVERAGE(OFFSET($H$3,0,0,'Données projet'!$E$12+1,1))</f>
        <v>347.8889410585312</v>
      </c>
      <c r="CE115" s="59">
        <f t="shared" si="94"/>
        <v>254.78167322479203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0.50751584441396913</v>
      </c>
      <c r="CL115" s="21">
        <f>EXP(-LN(2)/25)*CL114+(1-EXP(-LN(2)/25))/(LN(2)/25)*Calculateur!CG115*Calculateur!CI115*VLOOKUP('Données projet'!$B$12,Paramètres!$A$1:$I$89,3,0)*0.475*44/12</f>
        <v>1.2416606224472193</v>
      </c>
      <c r="CM115" s="21">
        <f>EXP(-LN(2)/2)*CM114+(1-EXP(-LN(2)/2))/(LN(2)/2)*CG115*CJ115*VLOOKUP('Données projet'!$B$12,Paramètres!$A$1:$I$89,3,0)*0.475*44/12</f>
        <v>1.04772760973949E-11</v>
      </c>
      <c r="CN115" s="22">
        <f t="shared" si="66"/>
        <v>1.7491764668716656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320.49999999999966</v>
      </c>
      <c r="O116" s="13">
        <f>N116*VLOOKUP('Données projet'!$B$9,Paramètres!$A$1:$I$89,3,0)*VLOOKUP('Données projet'!$B$9,Paramètres!$A$1:$I$89,5,0)</f>
        <v>289.98839999999967</v>
      </c>
      <c r="P116" s="13">
        <f t="shared" si="87"/>
        <v>69.073519602481454</v>
      </c>
      <c r="Q116" s="20">
        <f t="shared" si="107"/>
        <v>625.36617664098787</v>
      </c>
      <c r="R116" s="59">
        <f t="shared" si="55"/>
        <v>918.69950997432124</v>
      </c>
      <c r="S116" s="59">
        <f ca="1">AVERAGE(OFFSET($R$3,0,0,'Données projet'!$E$9+1,1))-AVERAGE(OFFSET($H$3,0,0,'Données projet'!$E$9+1,1))</f>
        <v>318.40875902853116</v>
      </c>
      <c r="T116" s="59">
        <f t="shared" si="88"/>
        <v>234.87694492493506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-5.1159076974727213E-13</v>
      </c>
      <c r="AJ116" s="13">
        <f>AI116*VLOOKUP('Données projet'!$B$10,Paramètres!$A$1:$I$89,3,0)*VLOOKUP('Données projet'!$B$10,Paramètres!$A$1:$I$89,5,0)</f>
        <v>-4.0702161641092972E-13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260.20517190557814</v>
      </c>
      <c r="AO116" s="59">
        <f t="shared" si="90"/>
        <v>307.22009971147133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0.63058648987451948</v>
      </c>
      <c r="AV116" s="21">
        <f>EXP(-LN(2)/25)*AV115+(1-EXP(-LN(2)/25))/(LN(2)/25)*Calculateur!AQ116*Calculateur!AS116*VLOOKUP('Données projet'!$B$10,Paramètres!$A$1:$I$89,3,0)*0.475*44/12</f>
        <v>2.054704455367601</v>
      </c>
      <c r="AW116" s="21">
        <f>EXP(-LN(2)/2)*AW115+(1-EXP(-LN(2)/2))/(LN(2)/2)*AQ116*AT116*VLOOKUP('Données projet'!$B$10,Paramètres!$A$1:$I$89,3,0)*0.475*44/12</f>
        <v>7.7298701095516513E-12</v>
      </c>
      <c r="AX116" s="21">
        <f t="shared" si="60"/>
        <v>2.6852909452498501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-3.4317508834647017E-13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207.93042467236967</v>
      </c>
      <c r="BJ116" s="59">
        <f t="shared" si="92"/>
        <v>250.70954318710835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0.5316709620510649</v>
      </c>
      <c r="BQ116" s="21">
        <f>EXP(-LN(2)/25)*BQ115+(1-EXP(-LN(2)/25))/(LN(2)/25)*Calculateur!BL116*Calculateur!BN116*VLOOKUP('Données projet'!$B$11,Paramètres!$A$1:$I$89,3,0)*0.475*44/12</f>
        <v>1.7323978741334705</v>
      </c>
      <c r="BR116" s="21">
        <f>EXP(-LN(2)/2)*BR115+(1-EXP(-LN(2)/2))/(LN(2)/2)*BL116*BO116*VLOOKUP('Données projet'!$B$11,Paramètres!$A$1:$I$89,3,0)*0.475*44/12</f>
        <v>6.5173414649160978E-12</v>
      </c>
      <c r="BS116" s="22">
        <f t="shared" si="63"/>
        <v>2.2640688361910528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320.49999999999966</v>
      </c>
      <c r="BZ116" s="13">
        <f>BY116*VLOOKUP('Données projet'!$B$12,Paramètres!$A$1:$I$89,3,0)*VLOOKUP('Données projet'!$B$12,Paramètres!$A$1:$I$89,5,0)</f>
        <v>309.98759999999965</v>
      </c>
      <c r="CA116" s="13">
        <f t="shared" si="93"/>
        <v>73.266240552218378</v>
      </c>
      <c r="CB116" s="20">
        <f t="shared" si="64"/>
        <v>667.50043896177965</v>
      </c>
      <c r="CC116" s="59">
        <f t="shared" si="65"/>
        <v>960.83377229511302</v>
      </c>
      <c r="CD116" s="59">
        <f ca="1">AVERAGE(OFFSET($CC$3,0,0,'Données projet'!$E$12+1,1))-AVERAGE(OFFSET($H$3,0,0,'Données projet'!$E$12+1,1))</f>
        <v>347.8889410585312</v>
      </c>
      <c r="CE116" s="59">
        <f t="shared" si="94"/>
        <v>254.78167322479203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0.49756376825911036</v>
      </c>
      <c r="CL116" s="21">
        <f>EXP(-LN(2)/25)*CL115+(1-EXP(-LN(2)/25))/(LN(2)/25)*Calculateur!CG116*Calculateur!CI116*VLOOKUP('Données projet'!$B$12,Paramètres!$A$1:$I$89,3,0)*0.475*44/12</f>
        <v>1.2077073474303057</v>
      </c>
      <c r="CM116" s="21">
        <f>EXP(-LN(2)/2)*CM115+(1-EXP(-LN(2)/2))/(LN(2)/2)*CG116*CJ116*VLOOKUP('Données projet'!$B$12,Paramètres!$A$1:$I$89,3,0)*0.475*44/12</f>
        <v>7.4085529768316599E-12</v>
      </c>
      <c r="CN116" s="22">
        <f t="shared" si="66"/>
        <v>1.7052711156968245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324.99999999999966</v>
      </c>
      <c r="O117" s="13">
        <f>N117*VLOOKUP('Données projet'!$B$9,Paramètres!$A$1:$I$89,3,0)*VLOOKUP('Données projet'!$B$9,Paramètres!$A$1:$I$89,5,0)</f>
        <v>294.05999999999972</v>
      </c>
      <c r="P117" s="13">
        <f t="shared" si="87"/>
        <v>69.929765653573313</v>
      </c>
      <c r="Q117" s="20">
        <f t="shared" si="107"/>
        <v>633.94884184663977</v>
      </c>
      <c r="R117" s="59">
        <f t="shared" si="55"/>
        <v>927.28217517997314</v>
      </c>
      <c r="S117" s="59">
        <f ca="1">AVERAGE(OFFSET($R$3,0,0,'Données projet'!$E$9+1,1))-AVERAGE(OFFSET($H$3,0,0,'Données projet'!$E$9+1,1))</f>
        <v>318.40875902853116</v>
      </c>
      <c r="T117" s="59">
        <f t="shared" si="88"/>
        <v>234.87694492493506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-5.1159076974727213E-13</v>
      </c>
      <c r="AJ117" s="13">
        <f>AI117*VLOOKUP('Données projet'!$B$10,Paramètres!$A$1:$I$89,3,0)*VLOOKUP('Données projet'!$B$10,Paramètres!$A$1:$I$89,5,0)</f>
        <v>-4.0702161641092972E-13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260.20517190557814</v>
      </c>
      <c r="AO117" s="59">
        <f t="shared" si="90"/>
        <v>307.22009971147133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0.61822107342786092</v>
      </c>
      <c r="AV117" s="21">
        <f>EXP(-LN(2)/25)*AV116+(1-EXP(-LN(2)/25))/(LN(2)/25)*Calculateur!AQ117*Calculateur!AS117*VLOOKUP('Données projet'!$B$10,Paramètres!$A$1:$I$89,3,0)*0.475*44/12</f>
        <v>1.9985184539833627</v>
      </c>
      <c r="AW117" s="21">
        <f>EXP(-LN(2)/2)*AW116+(1-EXP(-LN(2)/2))/(LN(2)/2)*AQ117*AT117*VLOOKUP('Données projet'!$B$10,Paramètres!$A$1:$I$89,3,0)*0.475*44/12</f>
        <v>5.4658435721551737E-12</v>
      </c>
      <c r="AX117" s="21">
        <f t="shared" si="60"/>
        <v>2.6167395274166894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-3.4317508834647017E-13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207.93042467236967</v>
      </c>
      <c r="BJ117" s="59">
        <f t="shared" si="92"/>
        <v>250.70954318710835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0.52124521877250962</v>
      </c>
      <c r="BQ117" s="21">
        <f>EXP(-LN(2)/25)*BQ116+(1-EXP(-LN(2)/25))/(LN(2)/25)*Calculateur!BL117*Calculateur!BN117*VLOOKUP('Données projet'!$B$11,Paramètres!$A$1:$I$89,3,0)*0.475*44/12</f>
        <v>1.6850253631624459</v>
      </c>
      <c r="BR117" s="21">
        <f>EXP(-LN(2)/2)*BR116+(1-EXP(-LN(2)/2))/(LN(2)/2)*BL117*BO117*VLOOKUP('Données projet'!$B$11,Paramètres!$A$1:$I$89,3,0)*0.475*44/12</f>
        <v>4.6084563451504402E-12</v>
      </c>
      <c r="BS117" s="22">
        <f t="shared" si="63"/>
        <v>2.2062705819395636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324.99999999999966</v>
      </c>
      <c r="BZ117" s="13">
        <f>BY117*VLOOKUP('Données projet'!$B$12,Paramètres!$A$1:$I$89,3,0)*VLOOKUP('Données projet'!$B$12,Paramètres!$A$1:$I$89,5,0)</f>
        <v>314.33999999999969</v>
      </c>
      <c r="CA117" s="13">
        <f t="shared" si="93"/>
        <v>74.174460221814144</v>
      </c>
      <c r="CB117" s="20">
        <f t="shared" si="64"/>
        <v>676.66268488632568</v>
      </c>
      <c r="CC117" s="59">
        <f t="shared" si="65"/>
        <v>969.99601821965894</v>
      </c>
      <c r="CD117" s="59">
        <f ca="1">AVERAGE(OFFSET($CC$3,0,0,'Données projet'!$E$12+1,1))-AVERAGE(OFFSET($H$3,0,0,'Données projet'!$E$12+1,1))</f>
        <v>347.8889410585312</v>
      </c>
      <c r="CE117" s="59">
        <f t="shared" si="94"/>
        <v>254.78167322479203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0.48780684624748127</v>
      </c>
      <c r="CL117" s="21">
        <f>EXP(-LN(2)/25)*CL116+(1-EXP(-LN(2)/25))/(LN(2)/25)*Calculateur!CG117*Calculateur!CI117*VLOOKUP('Données projet'!$B$12,Paramètres!$A$1:$I$89,3,0)*0.475*44/12</f>
        <v>1.1746825265042549</v>
      </c>
      <c r="CM117" s="21">
        <f>EXP(-LN(2)/2)*CM116+(1-EXP(-LN(2)/2))/(LN(2)/2)*CG117*CJ117*VLOOKUP('Données projet'!$B$12,Paramètres!$A$1:$I$89,3,0)*0.475*44/12</f>
        <v>5.2386380486974499E-12</v>
      </c>
      <c r="CN117" s="22">
        <f t="shared" si="66"/>
        <v>1.6624893727569747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329.49999999999966</v>
      </c>
      <c r="O118" s="13">
        <f>N118*VLOOKUP('Données projet'!$B$9,Paramètres!$A$1:$I$89,3,0)*VLOOKUP('Données projet'!$B$9,Paramètres!$A$1:$I$89,5,0)</f>
        <v>298.13159999999965</v>
      </c>
      <c r="P118" s="13">
        <f t="shared" si="87"/>
        <v>70.784632764375971</v>
      </c>
      <c r="Q118" s="20">
        <f t="shared" si="107"/>
        <v>642.52910539795425</v>
      </c>
      <c r="R118" s="59">
        <f t="shared" si="55"/>
        <v>935.86243873128751</v>
      </c>
      <c r="S118" s="59">
        <f ca="1">AVERAGE(OFFSET($R$3,0,0,'Données projet'!$E$9+1,1))-AVERAGE(OFFSET($H$3,0,0,'Données projet'!$E$9+1,1))</f>
        <v>318.40875902853116</v>
      </c>
      <c r="T118" s="59">
        <f t="shared" si="88"/>
        <v>234.87694492493506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-5.1159076974727213E-13</v>
      </c>
      <c r="AJ118" s="13">
        <f>AI118*VLOOKUP('Données projet'!$B$10,Paramètres!$A$1:$I$89,3,0)*VLOOKUP('Données projet'!$B$10,Paramètres!$A$1:$I$89,5,0)</f>
        <v>-4.0702161641092972E-13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260.20517190557814</v>
      </c>
      <c r="AO118" s="59">
        <f t="shared" si="90"/>
        <v>307.22009971147133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0.606098135255562</v>
      </c>
      <c r="AV118" s="21">
        <f>EXP(-LN(2)/25)*AV117+(1-EXP(-LN(2)/25))/(LN(2)/25)*Calculateur!AQ118*Calculateur!AS118*VLOOKUP('Données projet'!$B$10,Paramètres!$A$1:$I$89,3,0)*0.475*44/12</f>
        <v>1.9438688617616697</v>
      </c>
      <c r="AW118" s="21">
        <f>EXP(-LN(2)/2)*AW117+(1-EXP(-LN(2)/2))/(LN(2)/2)*AQ118*AT118*VLOOKUP('Données projet'!$B$10,Paramètres!$A$1:$I$89,3,0)*0.475*44/12</f>
        <v>3.8649350547758257E-12</v>
      </c>
      <c r="AX118" s="21">
        <f t="shared" si="60"/>
        <v>2.5499669970210967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-3.4317508834647017E-13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207.93042467236967</v>
      </c>
      <c r="BJ118" s="59">
        <f t="shared" si="92"/>
        <v>250.70954318710835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0.51102391796057134</v>
      </c>
      <c r="BQ118" s="21">
        <f>EXP(-LN(2)/25)*BQ117+(1-EXP(-LN(2)/25))/(LN(2)/25)*Calculateur!BL118*Calculateur!BN118*VLOOKUP('Données projet'!$B$11,Paramètres!$A$1:$I$89,3,0)*0.475*44/12</f>
        <v>1.638948255995136</v>
      </c>
      <c r="BR118" s="21">
        <f>EXP(-LN(2)/2)*BR117+(1-EXP(-LN(2)/2))/(LN(2)/2)*BL118*BO118*VLOOKUP('Données projet'!$B$11,Paramètres!$A$1:$I$89,3,0)*0.475*44/12</f>
        <v>3.2586707324580489E-12</v>
      </c>
      <c r="BS118" s="22">
        <f t="shared" si="63"/>
        <v>2.1499721739589663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329.49999999999966</v>
      </c>
      <c r="BZ118" s="13">
        <f>BY118*VLOOKUP('Données projet'!$B$12,Paramètres!$A$1:$I$89,3,0)*VLOOKUP('Données projet'!$B$12,Paramètres!$A$1:$I$89,5,0)</f>
        <v>318.69239999999968</v>
      </c>
      <c r="CA118" s="13">
        <f t="shared" si="93"/>
        <v>75.081217250277518</v>
      </c>
      <c r="CB118" s="20">
        <f t="shared" si="64"/>
        <v>685.8223833775661</v>
      </c>
      <c r="CC118" s="59">
        <f t="shared" si="65"/>
        <v>979.15571671089947</v>
      </c>
      <c r="CD118" s="59">
        <f ca="1">AVERAGE(OFFSET($CC$3,0,0,'Données projet'!$E$12+1,1))-AVERAGE(OFFSET($H$3,0,0,'Données projet'!$E$12+1,1))</f>
        <v>347.8889410585312</v>
      </c>
      <c r="CE118" s="59">
        <f t="shared" si="94"/>
        <v>254.78167322479203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0.47824125152536545</v>
      </c>
      <c r="CL118" s="21">
        <f>EXP(-LN(2)/25)*CL117+(1-EXP(-LN(2)/25))/(LN(2)/25)*Calculateur!CG118*Calculateur!CI118*VLOOKUP('Données projet'!$B$12,Paramètres!$A$1:$I$89,3,0)*0.475*44/12</f>
        <v>1.1425607710431267</v>
      </c>
      <c r="CM118" s="21">
        <f>EXP(-LN(2)/2)*CM117+(1-EXP(-LN(2)/2))/(LN(2)/2)*CG118*CJ118*VLOOKUP('Données projet'!$B$12,Paramètres!$A$1:$I$89,3,0)*0.475*44/12</f>
        <v>3.7042764884158299E-12</v>
      </c>
      <c r="CN118" s="22">
        <f t="shared" si="66"/>
        <v>1.6208020225721966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333.99999999999966</v>
      </c>
      <c r="O119" s="13">
        <f>N119*VLOOKUP('Données projet'!$B$9,Paramètres!$A$1:$I$89,3,0)*VLOOKUP('Données projet'!$B$9,Paramètres!$A$1:$I$89,5,0)</f>
        <v>302.2031999999997</v>
      </c>
      <c r="P119" s="13">
        <f t="shared" si="87"/>
        <v>71.638141943842228</v>
      </c>
      <c r="Q119" s="20">
        <f t="shared" si="107"/>
        <v>651.1070038855247</v>
      </c>
      <c r="R119" s="59">
        <f t="shared" si="55"/>
        <v>944.44033721885808</v>
      </c>
      <c r="S119" s="59">
        <f ca="1">AVERAGE(OFFSET($R$3,0,0,'Données projet'!$E$9+1,1))-AVERAGE(OFFSET($H$3,0,0,'Données projet'!$E$9+1,1))</f>
        <v>318.40875902853116</v>
      </c>
      <c r="T119" s="59">
        <f t="shared" si="88"/>
        <v>234.87694492493506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-5.1159076974727213E-13</v>
      </c>
      <c r="AJ119" s="13">
        <f>AI119*VLOOKUP('Données projet'!$B$10,Paramètres!$A$1:$I$89,3,0)*VLOOKUP('Données projet'!$B$10,Paramètres!$A$1:$I$89,5,0)</f>
        <v>-4.0702161641092972E-13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260.20517190557814</v>
      </c>
      <c r="AO119" s="59">
        <f t="shared" si="90"/>
        <v>307.22009971147133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0.59421292050655972</v>
      </c>
      <c r="AV119" s="21">
        <f>EXP(-LN(2)/25)*AV118+(1-EXP(-LN(2)/25))/(LN(2)/25)*Calculateur!AQ119*Calculateur!AS119*VLOOKUP('Données projet'!$B$10,Paramètres!$A$1:$I$89,3,0)*0.475*44/12</f>
        <v>1.8907136655131762</v>
      </c>
      <c r="AW119" s="21">
        <f>EXP(-LN(2)/2)*AW118+(1-EXP(-LN(2)/2))/(LN(2)/2)*AQ119*AT119*VLOOKUP('Données projet'!$B$10,Paramètres!$A$1:$I$89,3,0)*0.475*44/12</f>
        <v>2.7329217860775869E-12</v>
      </c>
      <c r="AX119" s="21">
        <f t="shared" si="60"/>
        <v>2.484926586022469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-3.4317508834647017E-13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207.93042467236967</v>
      </c>
      <c r="BJ119" s="59">
        <f t="shared" si="92"/>
        <v>250.70954318710835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0.50100305062317729</v>
      </c>
      <c r="BQ119" s="21">
        <f>EXP(-LN(2)/25)*BQ118+(1-EXP(-LN(2)/25))/(LN(2)/25)*Calculateur!BL119*Calculateur!BN119*VLOOKUP('Données projet'!$B$11,Paramètres!$A$1:$I$89,3,0)*0.475*44/12</f>
        <v>1.594131129746406</v>
      </c>
      <c r="BR119" s="21">
        <f>EXP(-LN(2)/2)*BR118+(1-EXP(-LN(2)/2))/(LN(2)/2)*BL119*BO119*VLOOKUP('Données projet'!$B$11,Paramètres!$A$1:$I$89,3,0)*0.475*44/12</f>
        <v>2.3042281725752201E-12</v>
      </c>
      <c r="BS119" s="22">
        <f t="shared" si="63"/>
        <v>2.0951341803718875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333.99999999999966</v>
      </c>
      <c r="BZ119" s="13">
        <f>BY119*VLOOKUP('Données projet'!$B$12,Paramètres!$A$1:$I$89,3,0)*VLOOKUP('Données projet'!$B$12,Paramètres!$A$1:$I$89,5,0)</f>
        <v>323.04479999999967</v>
      </c>
      <c r="CA119" s="13">
        <f t="shared" si="93"/>
        <v>75.986533921791761</v>
      </c>
      <c r="CB119" s="20">
        <f t="shared" si="64"/>
        <v>694.97957324712013</v>
      </c>
      <c r="CC119" s="59">
        <f t="shared" si="65"/>
        <v>988.3129065804535</v>
      </c>
      <c r="CD119" s="59">
        <f ca="1">AVERAGE(OFFSET($CC$3,0,0,'Données projet'!$E$12+1,1))-AVERAGE(OFFSET($H$3,0,0,'Données projet'!$E$12+1,1))</f>
        <v>347.8889410585312</v>
      </c>
      <c r="CE119" s="59">
        <f t="shared" si="94"/>
        <v>254.78167322479203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0.46886323228131366</v>
      </c>
      <c r="CL119" s="21">
        <f>EXP(-LN(2)/25)*CL118+(1-EXP(-LN(2)/25))/(LN(2)/25)*Calculateur!CG119*Calculateur!CI119*VLOOKUP('Données projet'!$B$12,Paramètres!$A$1:$I$89,3,0)*0.475*44/12</f>
        <v>1.1113173866742929</v>
      </c>
      <c r="CM119" s="21">
        <f>EXP(-LN(2)/2)*CM118+(1-EXP(-LN(2)/2))/(LN(2)/2)*CG119*CJ119*VLOOKUP('Données projet'!$B$12,Paramètres!$A$1:$I$89,3,0)*0.475*44/12</f>
        <v>2.619319024348725E-12</v>
      </c>
      <c r="CN119" s="22">
        <f t="shared" si="66"/>
        <v>1.5801806189582259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338.49999999999966</v>
      </c>
      <c r="O120" s="13">
        <f>N120*VLOOKUP('Données projet'!$B$9,Paramètres!$A$1:$I$89,3,0)*VLOOKUP('Données projet'!$B$9,Paramètres!$A$1:$I$89,5,0)</f>
        <v>306.27479999999969</v>
      </c>
      <c r="P120" s="13">
        <f t="shared" si="87"/>
        <v>72.490313602282981</v>
      </c>
      <c r="Q120" s="20">
        <f t="shared" si="107"/>
        <v>659.68257285730897</v>
      </c>
      <c r="R120" s="59">
        <f t="shared" si="55"/>
        <v>953.01590619064223</v>
      </c>
      <c r="S120" s="59">
        <f ca="1">AVERAGE(OFFSET($R$3,0,0,'Données projet'!$E$9+1,1))-AVERAGE(OFFSET($H$3,0,0,'Données projet'!$E$9+1,1))</f>
        <v>318.40875902853116</v>
      </c>
      <c r="T120" s="59">
        <f t="shared" si="88"/>
        <v>234.87694492493506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-5.1159076974727213E-13</v>
      </c>
      <c r="AJ120" s="13">
        <f>AI120*VLOOKUP('Données projet'!$B$10,Paramètres!$A$1:$I$89,3,0)*VLOOKUP('Données projet'!$B$10,Paramètres!$A$1:$I$89,5,0)</f>
        <v>-4.0702161641092972E-13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260.20517190557814</v>
      </c>
      <c r="AO120" s="59">
        <f t="shared" si="90"/>
        <v>307.22009971147133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0.58256076756952024</v>
      </c>
      <c r="AV120" s="21">
        <f>EXP(-LN(2)/25)*AV119+(1-EXP(-LN(2)/25))/(LN(2)/25)*Calculateur!AQ120*Calculateur!AS120*VLOOKUP('Données projet'!$B$10,Paramètres!$A$1:$I$89,3,0)*0.475*44/12</f>
        <v>1.8390120009014079</v>
      </c>
      <c r="AW120" s="21">
        <f>EXP(-LN(2)/2)*AW119+(1-EXP(-LN(2)/2))/(LN(2)/2)*AQ120*AT120*VLOOKUP('Données projet'!$B$10,Paramètres!$A$1:$I$89,3,0)*0.475*44/12</f>
        <v>1.9324675273879128E-12</v>
      </c>
      <c r="AX120" s="21">
        <f t="shared" si="60"/>
        <v>2.4215727684728607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-3.4317508834647017E-13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207.93042467236967</v>
      </c>
      <c r="BJ120" s="59">
        <f t="shared" si="92"/>
        <v>250.70954318710835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0.49117868638214396</v>
      </c>
      <c r="BQ120" s="21">
        <f>EXP(-LN(2)/25)*BQ119+(1-EXP(-LN(2)/25))/(LN(2)/25)*Calculateur!BL120*Calculateur!BN120*VLOOKUP('Données projet'!$B$11,Paramètres!$A$1:$I$89,3,0)*0.475*44/12</f>
        <v>1.5505395301717779</v>
      </c>
      <c r="BR120" s="21">
        <f>EXP(-LN(2)/2)*BR119+(1-EXP(-LN(2)/2))/(LN(2)/2)*BL120*BO120*VLOOKUP('Données projet'!$B$11,Paramètres!$A$1:$I$89,3,0)*0.475*44/12</f>
        <v>1.6293353662290245E-12</v>
      </c>
      <c r="BS120" s="22">
        <f t="shared" si="63"/>
        <v>2.0417182165555512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338.49999999999966</v>
      </c>
      <c r="BZ120" s="13">
        <f>BY120*VLOOKUP('Données projet'!$B$12,Paramètres!$A$1:$I$89,3,0)*VLOOKUP('Données projet'!$B$12,Paramètres!$A$1:$I$89,5,0)</f>
        <v>327.39719999999966</v>
      </c>
      <c r="CA120" s="13">
        <f t="shared" si="93"/>
        <v>76.890431885561796</v>
      </c>
      <c r="CB120" s="20">
        <f t="shared" si="64"/>
        <v>704.1342922006861</v>
      </c>
      <c r="CC120" s="59">
        <f t="shared" si="65"/>
        <v>997.46762553401936</v>
      </c>
      <c r="CD120" s="59">
        <f ca="1">AVERAGE(OFFSET($CC$3,0,0,'Données projet'!$E$12+1,1))-AVERAGE(OFFSET($H$3,0,0,'Données projet'!$E$12+1,1))</f>
        <v>347.8889410585312</v>
      </c>
      <c r="CE120" s="59">
        <f t="shared" si="94"/>
        <v>254.78167322479203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0.45966911027461077</v>
      </c>
      <c r="CL120" s="21">
        <f>EXP(-LN(2)/25)*CL119+(1-EXP(-LN(2)/25))/(LN(2)/25)*Calculateur!CG120*Calculateur!CI120*VLOOKUP('Données projet'!$B$12,Paramètres!$A$1:$I$89,3,0)*0.475*44/12</f>
        <v>1.0809283542940429</v>
      </c>
      <c r="CM120" s="21">
        <f>EXP(-LN(2)/2)*CM119+(1-EXP(-LN(2)/2))/(LN(2)/2)*CG120*CJ120*VLOOKUP('Données projet'!$B$12,Paramètres!$A$1:$I$89,3,0)*0.475*44/12</f>
        <v>1.852138244207915E-12</v>
      </c>
      <c r="CN120" s="22">
        <f t="shared" si="66"/>
        <v>1.5405974645705058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342.99999999999966</v>
      </c>
      <c r="O121" s="13">
        <f>N121*VLOOKUP('Données projet'!$B$9,Paramètres!$A$1:$I$89,3,0)*VLOOKUP('Données projet'!$B$9,Paramètres!$A$1:$I$89,5,0)</f>
        <v>310.34639999999968</v>
      </c>
      <c r="P121" s="13">
        <f t="shared" si="87"/>
        <v>73.341167576152998</v>
      </c>
      <c r="Q121" s="20">
        <f t="shared" si="107"/>
        <v>668.25584686179923</v>
      </c>
      <c r="R121" s="59">
        <f t="shared" si="55"/>
        <v>961.58918019513249</v>
      </c>
      <c r="S121" s="59">
        <f ca="1">AVERAGE(OFFSET($R$3,0,0,'Données projet'!$E$9+1,1))-AVERAGE(OFFSET($H$3,0,0,'Données projet'!$E$9+1,1))</f>
        <v>318.40875902853116</v>
      </c>
      <c r="T121" s="59">
        <f t="shared" si="88"/>
        <v>234.87694492493506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-5.1159076974727213E-13</v>
      </c>
      <c r="AJ121" s="13">
        <f>AI121*VLOOKUP('Données projet'!$B$10,Paramètres!$A$1:$I$89,3,0)*VLOOKUP('Données projet'!$B$10,Paramètres!$A$1:$I$89,5,0)</f>
        <v>-4.0702161641092972E-13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260.20517190557814</v>
      </c>
      <c r="AO121" s="59">
        <f t="shared" si="90"/>
        <v>307.22009971147133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0.57113710624446457</v>
      </c>
      <c r="AV121" s="21">
        <f>EXP(-LN(2)/25)*AV120+(1-EXP(-LN(2)/25))/(LN(2)/25)*Calculateur!AQ121*Calculateur!AS121*VLOOKUP('Données projet'!$B$10,Paramètres!$A$1:$I$89,3,0)*0.475*44/12</f>
        <v>1.7887241210273208</v>
      </c>
      <c r="AW121" s="21">
        <f>EXP(-LN(2)/2)*AW120+(1-EXP(-LN(2)/2))/(LN(2)/2)*AQ121*AT121*VLOOKUP('Données projet'!$B$10,Paramètres!$A$1:$I$89,3,0)*0.475*44/12</f>
        <v>1.3664608930387934E-12</v>
      </c>
      <c r="AX121" s="21">
        <f t="shared" si="60"/>
        <v>2.3598612272731518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-3.4317508834647017E-13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207.93042467236967</v>
      </c>
      <c r="BJ121" s="59">
        <f t="shared" si="92"/>
        <v>250.70954318710835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0.48154697193160684</v>
      </c>
      <c r="BQ121" s="21">
        <f>EXP(-LN(2)/25)*BQ120+(1-EXP(-LN(2)/25))/(LN(2)/25)*Calculateur!BL121*Calculateur!BN121*VLOOKUP('Données projet'!$B$11,Paramètres!$A$1:$I$89,3,0)*0.475*44/12</f>
        <v>1.5081399451799005</v>
      </c>
      <c r="BR121" s="21">
        <f>EXP(-LN(2)/2)*BR120+(1-EXP(-LN(2)/2))/(LN(2)/2)*BL121*BO121*VLOOKUP('Données projet'!$B$11,Paramètres!$A$1:$I$89,3,0)*0.475*44/12</f>
        <v>1.1521140862876101E-12</v>
      </c>
      <c r="BS121" s="22">
        <f t="shared" si="63"/>
        <v>1.9896869171126594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342.99999999999966</v>
      </c>
      <c r="BZ121" s="13">
        <f>BY121*VLOOKUP('Données projet'!$B$12,Paramètres!$A$1:$I$89,3,0)*VLOOKUP('Données projet'!$B$12,Paramètres!$A$1:$I$89,5,0)</f>
        <v>331.7495999999997</v>
      </c>
      <c r="CA121" s="13">
        <f t="shared" si="93"/>
        <v>77.792932182102746</v>
      </c>
      <c r="CB121" s="20">
        <f t="shared" si="64"/>
        <v>713.28657688382839</v>
      </c>
      <c r="CC121" s="59">
        <f t="shared" si="65"/>
        <v>1006.6199102171618</v>
      </c>
      <c r="CD121" s="59">
        <f ca="1">AVERAGE(OFFSET($CC$3,0,0,'Données projet'!$E$12+1,1))-AVERAGE(OFFSET($H$3,0,0,'Données projet'!$E$12+1,1))</f>
        <v>347.8889410585312</v>
      </c>
      <c r="CE121" s="59">
        <f t="shared" si="94"/>
        <v>254.78167322479203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0.45065527939259864</v>
      </c>
      <c r="CL121" s="21">
        <f>EXP(-LN(2)/25)*CL120+(1-EXP(-LN(2)/25))/(LN(2)/25)*Calculateur!CG121*Calculateur!CI121*VLOOKUP('Données projet'!$B$12,Paramètres!$A$1:$I$89,3,0)*0.475*44/12</f>
        <v>1.0513703116023205</v>
      </c>
      <c r="CM121" s="21">
        <f>EXP(-LN(2)/2)*CM120+(1-EXP(-LN(2)/2))/(LN(2)/2)*CG121*CJ121*VLOOKUP('Données projet'!$B$12,Paramètres!$A$1:$I$89,3,0)*0.475*44/12</f>
        <v>1.3096595121743625E-12</v>
      </c>
      <c r="CN121" s="22">
        <f t="shared" si="66"/>
        <v>1.5020255909962288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347.49999999999966</v>
      </c>
      <c r="O122" s="13">
        <f>N122*VLOOKUP('Données projet'!$B$9,Paramètres!$A$1:$I$89,3,0)*VLOOKUP('Données projet'!$B$9,Paramètres!$A$1:$I$89,5,0)</f>
        <v>314.41799999999967</v>
      </c>
      <c r="P122" s="13">
        <f t="shared" si="87"/>
        <v>74.190723151497266</v>
      </c>
      <c r="Q122" s="20">
        <f t="shared" si="107"/>
        <v>676.82685948885705</v>
      </c>
      <c r="R122" s="59">
        <f t="shared" si="55"/>
        <v>970.16019282219031</v>
      </c>
      <c r="S122" s="59">
        <f ca="1">AVERAGE(OFFSET($R$3,0,0,'Données projet'!$E$9+1,1))-AVERAGE(OFFSET($H$3,0,0,'Données projet'!$E$9+1,1))</f>
        <v>318.40875902853116</v>
      </c>
      <c r="T122" s="59">
        <f t="shared" si="88"/>
        <v>234.87694492493506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-5.1159076974727213E-13</v>
      </c>
      <c r="AJ122" s="13">
        <f>AI122*VLOOKUP('Données projet'!$B$10,Paramètres!$A$1:$I$89,3,0)*VLOOKUP('Données projet'!$B$10,Paramètres!$A$1:$I$89,5,0)</f>
        <v>-4.0702161641092972E-13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260.20517190557814</v>
      </c>
      <c r="AO122" s="59">
        <f t="shared" si="90"/>
        <v>307.22009971147133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0.5599374559502478</v>
      </c>
      <c r="AV122" s="21">
        <f>EXP(-LN(2)/25)*AV121+(1-EXP(-LN(2)/25))/(LN(2)/25)*Calculateur!AQ122*Calculateur!AS122*VLOOKUP('Données projet'!$B$10,Paramètres!$A$1:$I$89,3,0)*0.475*44/12</f>
        <v>1.7398113658729153</v>
      </c>
      <c r="AW122" s="21">
        <f>EXP(-LN(2)/2)*AW121+(1-EXP(-LN(2)/2))/(LN(2)/2)*AQ122*AT122*VLOOKUP('Données projet'!$B$10,Paramètres!$A$1:$I$89,3,0)*0.475*44/12</f>
        <v>9.6623376369395642E-13</v>
      </c>
      <c r="AX122" s="21">
        <f t="shared" si="60"/>
        <v>2.2997488218241293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-3.4317508834647017E-13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207.93042467236967</v>
      </c>
      <c r="BJ122" s="59">
        <f t="shared" si="92"/>
        <v>250.70954318710835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0.47210412952667902</v>
      </c>
      <c r="BQ122" s="21">
        <f>EXP(-LN(2)/25)*BQ121+(1-EXP(-LN(2)/25))/(LN(2)/25)*Calculateur!BL122*Calculateur!BN122*VLOOKUP('Données projet'!$B$11,Paramètres!$A$1:$I$89,3,0)*0.475*44/12</f>
        <v>1.4668997790693232</v>
      </c>
      <c r="BR122" s="21">
        <f>EXP(-LN(2)/2)*BR121+(1-EXP(-LN(2)/2))/(LN(2)/2)*BL122*BO122*VLOOKUP('Données projet'!$B$11,Paramètres!$A$1:$I$89,3,0)*0.475*44/12</f>
        <v>8.1466768311451223E-13</v>
      </c>
      <c r="BS122" s="22">
        <f t="shared" si="63"/>
        <v>1.9390039085968169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347.49999999999966</v>
      </c>
      <c r="BZ122" s="13">
        <f>BY122*VLOOKUP('Données projet'!$B$12,Paramètres!$A$1:$I$89,3,0)*VLOOKUP('Données projet'!$B$12,Paramètres!$A$1:$I$89,5,0)</f>
        <v>336.10199999999969</v>
      </c>
      <c r="CA122" s="13">
        <f t="shared" si="93"/>
        <v>78.694055268111242</v>
      </c>
      <c r="CB122" s="20">
        <f t="shared" si="64"/>
        <v>722.4364629252932</v>
      </c>
      <c r="CC122" s="59">
        <f t="shared" si="65"/>
        <v>1015.7697962586265</v>
      </c>
      <c r="CD122" s="59">
        <f ca="1">AVERAGE(OFFSET($CC$3,0,0,'Données projet'!$E$12+1,1))-AVERAGE(OFFSET($H$3,0,0,'Données projet'!$E$12+1,1))</f>
        <v>347.8889410585312</v>
      </c>
      <c r="CE122" s="59">
        <f t="shared" si="94"/>
        <v>254.78167322479203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0.44181820423628881</v>
      </c>
      <c r="CL122" s="21">
        <f>EXP(-LN(2)/25)*CL121+(1-EXP(-LN(2)/25))/(LN(2)/25)*Calculateur!CG122*Calculateur!CI122*VLOOKUP('Données projet'!$B$12,Paramètres!$A$1:$I$89,3,0)*0.475*44/12</f>
        <v>1.0226205351423934</v>
      </c>
      <c r="CM122" s="21">
        <f>EXP(-LN(2)/2)*CM121+(1-EXP(-LN(2)/2))/(LN(2)/2)*CG122*CJ122*VLOOKUP('Données projet'!$B$12,Paramètres!$A$1:$I$89,3,0)*0.475*44/12</f>
        <v>9.2606912210395748E-13</v>
      </c>
      <c r="CN122" s="22">
        <f t="shared" si="66"/>
        <v>1.4644387393796083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351.99999999999966</v>
      </c>
      <c r="O123" s="13">
        <f>N123*VLOOKUP('Données projet'!$B$9,Paramètres!$A$1:$I$89,3,0)*VLOOKUP('Données projet'!$B$9,Paramètres!$A$1:$I$89,5,0)</f>
        <v>318.48959999999971</v>
      </c>
      <c r="P123" s="13">
        <f t="shared" si="87"/>
        <v>75.038999086150227</v>
      </c>
      <c r="Q123" s="20">
        <f t="shared" si="107"/>
        <v>685.39564340837785</v>
      </c>
      <c r="R123" s="59">
        <f t="shared" si="55"/>
        <v>978.72897674171122</v>
      </c>
      <c r="S123" s="59">
        <f ca="1">AVERAGE(OFFSET($R$3,0,0,'Données projet'!$E$9+1,1))-AVERAGE(OFFSET($H$3,0,0,'Données projet'!$E$9+1,1))</f>
        <v>318.40875902853116</v>
      </c>
      <c r="T123" s="59">
        <f t="shared" si="88"/>
        <v>234.87694492493506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-5.1159076974727213E-13</v>
      </c>
      <c r="AJ123" s="13">
        <f>AI123*VLOOKUP('Données projet'!$B$10,Paramètres!$A$1:$I$89,3,0)*VLOOKUP('Données projet'!$B$10,Paramètres!$A$1:$I$89,5,0)</f>
        <v>-4.0702161641092972E-13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260.20517190557814</v>
      </c>
      <c r="AO123" s="59">
        <f t="shared" si="90"/>
        <v>307.22009971147133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0.5489574239671885</v>
      </c>
      <c r="AV123" s="21">
        <f>EXP(-LN(2)/25)*AV122+(1-EXP(-LN(2)/25))/(LN(2)/25)*Calculateur!AQ123*Calculateur!AS123*VLOOKUP('Données projet'!$B$10,Paramètres!$A$1:$I$89,3,0)*0.475*44/12</f>
        <v>1.6922361325804172</v>
      </c>
      <c r="AW123" s="21">
        <f>EXP(-LN(2)/2)*AW122+(1-EXP(-LN(2)/2))/(LN(2)/2)*AQ123*AT123*VLOOKUP('Données projet'!$B$10,Paramètres!$A$1:$I$89,3,0)*0.475*44/12</f>
        <v>6.8323044651939671E-13</v>
      </c>
      <c r="AX123" s="21">
        <f t="shared" si="60"/>
        <v>2.2411935565482888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-3.4317508834647017E-13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207.93042467236967</v>
      </c>
      <c r="BJ123" s="59">
        <f t="shared" si="92"/>
        <v>250.70954318710835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0.46284645550174663</v>
      </c>
      <c r="BQ123" s="21">
        <f>EXP(-LN(2)/25)*BQ122+(1-EXP(-LN(2)/25))/(LN(2)/25)*Calculateur!BL123*Calculateur!BN123*VLOOKUP('Données projet'!$B$11,Paramètres!$A$1:$I$89,3,0)*0.475*44/12</f>
        <v>1.4267873274697658</v>
      </c>
      <c r="BR123" s="21">
        <f>EXP(-LN(2)/2)*BR122+(1-EXP(-LN(2)/2))/(LN(2)/2)*BL123*BO123*VLOOKUP('Données projet'!$B$11,Paramètres!$A$1:$I$89,3,0)*0.475*44/12</f>
        <v>5.7605704314380503E-13</v>
      </c>
      <c r="BS123" s="22">
        <f t="shared" si="63"/>
        <v>1.8896337829720884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351.99999999999966</v>
      </c>
      <c r="BZ123" s="13">
        <f>BY123*VLOOKUP('Données projet'!$B$12,Paramètres!$A$1:$I$89,3,0)*VLOOKUP('Données projet'!$B$12,Paramètres!$A$1:$I$89,5,0)</f>
        <v>340.45439999999968</v>
      </c>
      <c r="CA123" s="13">
        <f t="shared" si="93"/>
        <v>79.593821040010596</v>
      </c>
      <c r="CB123" s="20">
        <f t="shared" si="64"/>
        <v>731.58398497801784</v>
      </c>
      <c r="CC123" s="59">
        <f t="shared" si="65"/>
        <v>1024.9173183113512</v>
      </c>
      <c r="CD123" s="59">
        <f ca="1">AVERAGE(OFFSET($CC$3,0,0,'Données projet'!$E$12+1,1))-AVERAGE(OFFSET($H$3,0,0,'Données projet'!$E$12+1,1))</f>
        <v>347.8889410585312</v>
      </c>
      <c r="CE123" s="59">
        <f t="shared" si="94"/>
        <v>254.78167322479203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352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0.43315441873371058</v>
      </c>
      <c r="CL123" s="21">
        <f>EXP(-LN(2)/25)*CL122+(1-EXP(-LN(2)/25))/(LN(2)/25)*Calculateur!CG123*Calculateur!CI123*VLOOKUP('Données projet'!$B$12,Paramètres!$A$1:$I$89,3,0)*0.475*44/12</f>
        <v>0.99465692283164786</v>
      </c>
      <c r="CM123" s="21">
        <f>EXP(-LN(2)/2)*CM122+(1-EXP(-LN(2)/2))/(LN(2)/2)*CG123*CJ123*VLOOKUP('Données projet'!$B$12,Paramètres!$A$1:$I$89,3,0)*0.475*44/12</f>
        <v>6.5482975608718124E-13</v>
      </c>
      <c r="CN123" s="22">
        <f t="shared" si="66"/>
        <v>1.4278113415660132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-3.0859155231155454E-13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318.40875902853116</v>
      </c>
      <c r="T124" s="59">
        <f t="shared" si="88"/>
        <v>234.87694492493506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-4.0702161641092972E-13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260.20517190557814</v>
      </c>
      <c r="AO124" s="59">
        <f t="shared" si="90"/>
        <v>307.22009971147133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0.53819270371415873</v>
      </c>
      <c r="AV124" s="21">
        <f>EXP(-LN(2)/25)*AV123+(1-EXP(-LN(2)/25))/(LN(2)/25)*Calculateur!AQ124*Calculateur!AS124*VLOOKUP('Données projet'!$B$10,Paramètres!$A$1:$I$89,3,0)*0.475*44/12</f>
        <v>1.6459618465441752</v>
      </c>
      <c r="AW124" s="21">
        <f>EXP(-LN(2)/2)*AW123+(1-EXP(-LN(2)/2))/(LN(2)/2)*AQ124*AT124*VLOOKUP('Données projet'!$B$10,Paramètres!$A$1:$I$89,3,0)*0.475*44/12</f>
        <v>4.8311688184697821E-13</v>
      </c>
      <c r="AX124" s="21">
        <f t="shared" si="60"/>
        <v>2.1841545502588171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-3.4317508834647017E-13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207.93042467236967</v>
      </c>
      <c r="BJ124" s="59">
        <f t="shared" si="92"/>
        <v>250.70954318710835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0.4537703188178196</v>
      </c>
      <c r="BQ124" s="21">
        <f>EXP(-LN(2)/25)*BQ123+(1-EXP(-LN(2)/25))/(LN(2)/25)*Calculateur!BL124*Calculateur!BN124*VLOOKUP('Données projet'!$B$11,Paramètres!$A$1:$I$89,3,0)*0.475*44/12</f>
        <v>1.3877717529686204</v>
      </c>
      <c r="BR124" s="21">
        <f>EXP(-LN(2)/2)*BR123+(1-EXP(-LN(2)/2))/(LN(2)/2)*BL124*BO124*VLOOKUP('Données projet'!$B$11,Paramètres!$A$1:$I$89,3,0)*0.475*44/12</f>
        <v>4.0733384155725612E-13</v>
      </c>
      <c r="BS124" s="22">
        <f t="shared" si="63"/>
        <v>1.8415420717868471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-3.2987372833304104E-13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347.8889410585312</v>
      </c>
      <c r="CE124" s="59">
        <f t="shared" si="94"/>
        <v>254.78167322479203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0.42466052478045052</v>
      </c>
      <c r="CL124" s="21">
        <f>EXP(-LN(2)/25)*CL123+(1-EXP(-LN(2)/25))/(LN(2)/25)*Calculateur!CG124*Calculateur!CI124*VLOOKUP('Données projet'!$B$12,Paramètres!$A$1:$I$89,3,0)*0.475*44/12</f>
        <v>0.96745797697008218</v>
      </c>
      <c r="CM124" s="21">
        <f>EXP(-LN(2)/2)*CM123+(1-EXP(-LN(2)/2))/(LN(2)/2)*CG124*CJ124*VLOOKUP('Données projet'!$B$12,Paramètres!$A$1:$I$89,3,0)*0.475*44/12</f>
        <v>4.6303456105197874E-13</v>
      </c>
      <c r="CN124" s="22">
        <f t="shared" si="66"/>
        <v>1.3921185017509956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-3.0859155231155454E-13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318.40875902853116</v>
      </c>
      <c r="T125" s="59">
        <f t="shared" si="88"/>
        <v>234.87694492493506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-4.0702161641092972E-13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260.20517190557814</v>
      </c>
      <c r="AO125" s="59">
        <f t="shared" si="90"/>
        <v>307.22009971147133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0.5276390730594599</v>
      </c>
      <c r="AV125" s="21">
        <f>EXP(-LN(2)/25)*AV124+(1-EXP(-LN(2)/25))/(LN(2)/25)*Calculateur!AQ125*Calculateur!AS125*VLOOKUP('Données projet'!$B$10,Paramètres!$A$1:$I$89,3,0)*0.475*44/12</f>
        <v>1.6009529332930532</v>
      </c>
      <c r="AW125" s="21">
        <f>EXP(-LN(2)/2)*AW124+(1-EXP(-LN(2)/2))/(LN(2)/2)*AQ125*AT125*VLOOKUP('Données projet'!$B$10,Paramètres!$A$1:$I$89,3,0)*0.475*44/12</f>
        <v>3.4161522325969836E-13</v>
      </c>
      <c r="AX125" s="21">
        <f t="shared" si="60"/>
        <v>2.1285920063528545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-3.4317508834647017E-13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207.93042467236967</v>
      </c>
      <c r="BJ125" s="59">
        <f t="shared" si="92"/>
        <v>250.70954318710835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0.44487215963836763</v>
      </c>
      <c r="BQ125" s="21">
        <f>EXP(-LN(2)/25)*BQ124+(1-EXP(-LN(2)/25))/(LN(2)/25)*Calculateur!BL125*Calculateur!BN125*VLOOKUP('Données projet'!$B$11,Paramètres!$A$1:$I$89,3,0)*0.475*44/12</f>
        <v>1.3498230614039488</v>
      </c>
      <c r="BR125" s="21">
        <f>EXP(-LN(2)/2)*BR124+(1-EXP(-LN(2)/2))/(LN(2)/2)*BL125*BO125*VLOOKUP('Données projet'!$B$11,Paramètres!$A$1:$I$89,3,0)*0.475*44/12</f>
        <v>2.8802852157190252E-13</v>
      </c>
      <c r="BS125" s="22">
        <f t="shared" si="63"/>
        <v>1.7946952210426044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-3.2987372833304104E-13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347.8889410585312</v>
      </c>
      <c r="CE125" s="59">
        <f t="shared" si="94"/>
        <v>254.78167322479203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0.41633319090685017</v>
      </c>
      <c r="CL125" s="21">
        <f>EXP(-LN(2)/25)*CL124+(1-EXP(-LN(2)/25))/(LN(2)/25)*Calculateur!CG125*Calculateur!CI125*VLOOKUP('Données projet'!$B$12,Paramètres!$A$1:$I$89,3,0)*0.475*44/12</f>
        <v>0.94100278771343138</v>
      </c>
      <c r="CM125" s="21">
        <f>EXP(-LN(2)/2)*CM124+(1-EXP(-LN(2)/2))/(LN(2)/2)*CG125*CJ125*VLOOKUP('Données projet'!$B$12,Paramètres!$A$1:$I$89,3,0)*0.475*44/12</f>
        <v>3.2741487804359062E-13</v>
      </c>
      <c r="CN125" s="22">
        <f t="shared" si="66"/>
        <v>1.3573359786206092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-3.0859155231155454E-13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318.40875902853116</v>
      </c>
      <c r="T126" s="59">
        <f t="shared" si="88"/>
        <v>234.87694492493506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-4.0702161641092972E-13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260.20517190557814</v>
      </c>
      <c r="AO126" s="59">
        <f t="shared" si="90"/>
        <v>307.22009971147133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0.51729239266482052</v>
      </c>
      <c r="AV126" s="21">
        <f>EXP(-LN(2)/25)*AV125+(1-EXP(-LN(2)/25))/(LN(2)/25)*Calculateur!AQ126*Calculateur!AS126*VLOOKUP('Données projet'!$B$10,Paramètres!$A$1:$I$89,3,0)*0.475*44/12</f>
        <v>1.5571747911416989</v>
      </c>
      <c r="AW126" s="21">
        <f>EXP(-LN(2)/2)*AW125+(1-EXP(-LN(2)/2))/(LN(2)/2)*AQ126*AT126*VLOOKUP('Données projet'!$B$10,Paramètres!$A$1:$I$89,3,0)*0.475*44/12</f>
        <v>2.415584409234891E-13</v>
      </c>
      <c r="AX126" s="21">
        <f t="shared" si="60"/>
        <v>2.0744671838067612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-3.4317508834647017E-13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207.93042467236967</v>
      </c>
      <c r="BJ126" s="59">
        <f t="shared" si="92"/>
        <v>250.70954318710835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0.43614848793308347</v>
      </c>
      <c r="BQ126" s="21">
        <f>EXP(-LN(2)/25)*BQ125+(1-EXP(-LN(2)/25))/(LN(2)/25)*Calculateur!BL126*Calculateur!BN126*VLOOKUP('Données projet'!$B$11,Paramètres!$A$1:$I$89,3,0)*0.475*44/12</f>
        <v>1.312912078805748</v>
      </c>
      <c r="BR126" s="21">
        <f>EXP(-LN(2)/2)*BR125+(1-EXP(-LN(2)/2))/(LN(2)/2)*BL126*BO126*VLOOKUP('Données projet'!$B$11,Paramètres!$A$1:$I$89,3,0)*0.475*44/12</f>
        <v>2.0366692077862806E-13</v>
      </c>
      <c r="BS126" s="22">
        <f t="shared" si="63"/>
        <v>1.7490605667390351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-3.2987372833304104E-13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347.8889410585312</v>
      </c>
      <c r="CE126" s="59">
        <f t="shared" si="94"/>
        <v>254.78167322479203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0.40816915097133899</v>
      </c>
      <c r="CL126" s="21">
        <f>EXP(-LN(2)/25)*CL125+(1-EXP(-LN(2)/25))/(LN(2)/25)*Calculateur!CG126*Calculateur!CI126*VLOOKUP('Données projet'!$B$12,Paramètres!$A$1:$I$89,3,0)*0.475*44/12</f>
        <v>0.91527101699822166</v>
      </c>
      <c r="CM126" s="21">
        <f>EXP(-LN(2)/2)*CM125+(1-EXP(-LN(2)/2))/(LN(2)/2)*CG126*CJ126*VLOOKUP('Données projet'!$B$12,Paramètres!$A$1:$I$89,3,0)*0.475*44/12</f>
        <v>2.3151728052598937E-13</v>
      </c>
      <c r="CN126" s="22">
        <f t="shared" si="66"/>
        <v>1.3234401679697922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-3.0859155231155454E-13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318.40875902853116</v>
      </c>
      <c r="T127" s="59">
        <f t="shared" si="88"/>
        <v>234.87694492493506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-4.0702161641092972E-13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260.20517190557814</v>
      </c>
      <c r="AO127" s="59">
        <f t="shared" si="90"/>
        <v>307.22009971147133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0.50714860436186815</v>
      </c>
      <c r="AV127" s="21">
        <f>EXP(-LN(2)/25)*AV126+(1-EXP(-LN(2)/25))/(LN(2)/25)*Calculateur!AQ127*Calculateur!AS127*VLOOKUP('Données projet'!$B$10,Paramètres!$A$1:$I$89,3,0)*0.475*44/12</f>
        <v>1.5145937645896659</v>
      </c>
      <c r="AW127" s="21">
        <f>EXP(-LN(2)/2)*AW126+(1-EXP(-LN(2)/2))/(LN(2)/2)*AQ127*AT127*VLOOKUP('Données projet'!$B$10,Paramètres!$A$1:$I$89,3,0)*0.475*44/12</f>
        <v>1.7080761162984918E-13</v>
      </c>
      <c r="AX127" s="21">
        <f t="shared" si="60"/>
        <v>2.0217423689517049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-3.4317508834647017E-13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207.93042467236967</v>
      </c>
      <c r="BJ127" s="59">
        <f t="shared" si="92"/>
        <v>250.70954318710835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0.4275958821090256</v>
      </c>
      <c r="BQ127" s="21">
        <f>EXP(-LN(2)/25)*BQ126+(1-EXP(-LN(2)/25))/(LN(2)/25)*Calculateur!BL127*Calculateur!BN127*VLOOKUP('Données projet'!$B$11,Paramètres!$A$1:$I$89,3,0)*0.475*44/12</f>
        <v>1.2770104289677593</v>
      </c>
      <c r="BR127" s="21">
        <f>EXP(-LN(2)/2)*BR126+(1-EXP(-LN(2)/2))/(LN(2)/2)*BL127*BO127*VLOOKUP('Données projet'!$B$11,Paramètres!$A$1:$I$89,3,0)*0.475*44/12</f>
        <v>1.4401426078595126E-13</v>
      </c>
      <c r="BS127" s="22">
        <f t="shared" si="63"/>
        <v>1.7046063110769289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-3.2987372833304104E-13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347.8889410585312</v>
      </c>
      <c r="CE127" s="59">
        <f t="shared" si="94"/>
        <v>254.78167322479203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0.4001652028793905</v>
      </c>
      <c r="CL127" s="21">
        <f>EXP(-LN(2)/25)*CL126+(1-EXP(-LN(2)/25))/(LN(2)/25)*Calculateur!CG127*Calculateur!CI127*VLOOKUP('Données projet'!$B$12,Paramètres!$A$1:$I$89,3,0)*0.475*44/12</f>
        <v>0.89024288290639442</v>
      </c>
      <c r="CM127" s="21">
        <f>EXP(-LN(2)/2)*CM126+(1-EXP(-LN(2)/2))/(LN(2)/2)*CG127*CJ127*VLOOKUP('Données projet'!$B$12,Paramètres!$A$1:$I$89,3,0)*0.475*44/12</f>
        <v>1.6370743902179531E-13</v>
      </c>
      <c r="CN127" s="22">
        <f t="shared" si="66"/>
        <v>1.2904080857859486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-3.0859155231155454E-13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318.40875902853116</v>
      </c>
      <c r="T128" s="59">
        <f t="shared" si="88"/>
        <v>234.87694492493506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-4.0702161641092972E-13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260.20517190557814</v>
      </c>
      <c r="AO128" s="59">
        <f t="shared" si="90"/>
        <v>307.22009971147133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0.49720372956043679</v>
      </c>
      <c r="AV128" s="21">
        <f>EXP(-LN(2)/25)*AV127+(1-EXP(-LN(2)/25))/(LN(2)/25)*Calculateur!AQ128*Calculateur!AS128*VLOOKUP('Données projet'!$B$10,Paramètres!$A$1:$I$89,3,0)*0.475*44/12</f>
        <v>1.473177118447937</v>
      </c>
      <c r="AW128" s="21">
        <f>EXP(-LN(2)/2)*AW127+(1-EXP(-LN(2)/2))/(LN(2)/2)*AQ128*AT128*VLOOKUP('Données projet'!$B$10,Paramètres!$A$1:$I$89,3,0)*0.475*44/12</f>
        <v>1.2077922046174455E-13</v>
      </c>
      <c r="AX128" s="21">
        <f t="shared" si="60"/>
        <v>1.9703808480084946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-3.4317508834647017E-13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207.93042467236967</v>
      </c>
      <c r="BJ128" s="59">
        <f t="shared" si="92"/>
        <v>250.70954318710835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0.4192109876686031</v>
      </c>
      <c r="BQ128" s="21">
        <f>EXP(-LN(2)/25)*BQ127+(1-EXP(-LN(2)/25))/(LN(2)/25)*Calculateur!BL128*Calculateur!BN128*VLOOKUP('Données projet'!$B$11,Paramètres!$A$1:$I$89,3,0)*0.475*44/12</f>
        <v>1.242090511632576</v>
      </c>
      <c r="BR128" s="21">
        <f>EXP(-LN(2)/2)*BR127+(1-EXP(-LN(2)/2))/(LN(2)/2)*BL128*BO128*VLOOKUP('Données projet'!$B$11,Paramètres!$A$1:$I$89,3,0)*0.475*44/12</f>
        <v>1.0183346038931403E-13</v>
      </c>
      <c r="BS128" s="22">
        <f t="shared" si="63"/>
        <v>1.6613014993012809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-3.2987372833304104E-13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347.8889410585312</v>
      </c>
      <c r="CE128" s="59">
        <f t="shared" si="94"/>
        <v>254.78167322479203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0.39231820732759887</v>
      </c>
      <c r="CL128" s="21">
        <f>EXP(-LN(2)/25)*CL127+(1-EXP(-LN(2)/25))/(LN(2)/25)*Calculateur!CG128*Calculateur!CI128*VLOOKUP('Données projet'!$B$12,Paramètres!$A$1:$I$89,3,0)*0.475*44/12</f>
        <v>0.86589914445748051</v>
      </c>
      <c r="CM128" s="21">
        <f>EXP(-LN(2)/2)*CM127+(1-EXP(-LN(2)/2))/(LN(2)/2)*CG128*CJ128*VLOOKUP('Données projet'!$B$12,Paramètres!$A$1:$I$89,3,0)*0.475*44/12</f>
        <v>1.1575864026299469E-13</v>
      </c>
      <c r="CN128" s="22">
        <f t="shared" si="66"/>
        <v>1.2582173517851951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-3.0859155231155454E-13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318.40875902853116</v>
      </c>
      <c r="T129" s="59">
        <f t="shared" si="88"/>
        <v>234.87694492493506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-4.0702161641092972E-13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260.20517190557814</v>
      </c>
      <c r="AO129" s="59">
        <f t="shared" si="90"/>
        <v>307.22009971147133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0.48745386768808679</v>
      </c>
      <c r="AV129" s="21">
        <f>EXP(-LN(2)/25)*AV128+(1-EXP(-LN(2)/25))/(LN(2)/25)*Calculateur!AQ129*Calculateur!AS129*VLOOKUP('Données projet'!$B$10,Paramètres!$A$1:$I$89,3,0)*0.475*44/12</f>
        <v>1.4328930126729604</v>
      </c>
      <c r="AW129" s="21">
        <f>EXP(-LN(2)/2)*AW128+(1-EXP(-LN(2)/2))/(LN(2)/2)*AQ129*AT129*VLOOKUP('Données projet'!$B$10,Paramètres!$A$1:$I$89,3,0)*0.475*44/12</f>
        <v>8.5403805814924589E-14</v>
      </c>
      <c r="AX129" s="21">
        <f t="shared" si="60"/>
        <v>1.9203468803611328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-3.4317508834647017E-13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207.93042467236967</v>
      </c>
      <c r="BJ129" s="59">
        <f t="shared" si="92"/>
        <v>250.70954318710835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0.41099051589387664</v>
      </c>
      <c r="BQ129" s="21">
        <f>EXP(-LN(2)/25)*BQ128+(1-EXP(-LN(2)/25))/(LN(2)/25)*Calculateur!BL129*Calculateur!BN129*VLOOKUP('Données projet'!$B$11,Paramètres!$A$1:$I$89,3,0)*0.475*44/12</f>
        <v>1.208125481273282</v>
      </c>
      <c r="BR129" s="21">
        <f>EXP(-LN(2)/2)*BR128+(1-EXP(-LN(2)/2))/(LN(2)/2)*BL129*BO129*VLOOKUP('Données projet'!$B$11,Paramètres!$A$1:$I$89,3,0)*0.475*44/12</f>
        <v>7.2007130392975629E-14</v>
      </c>
      <c r="BS129" s="22">
        <f t="shared" si="63"/>
        <v>1.6191159971672306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-3.2987372833304104E-13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347.8889410585312</v>
      </c>
      <c r="CE129" s="59">
        <f t="shared" si="94"/>
        <v>254.78167322479203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0.38462508657238315</v>
      </c>
      <c r="CL129" s="21">
        <f>EXP(-LN(2)/25)*CL128+(1-EXP(-LN(2)/25))/(LN(2)/25)*Calculateur!CG129*Calculateur!CI129*VLOOKUP('Données projet'!$B$12,Paramètres!$A$1:$I$89,3,0)*0.475*44/12</f>
        <v>0.84222108681663377</v>
      </c>
      <c r="CM129" s="21">
        <f>EXP(-LN(2)/2)*CM128+(1-EXP(-LN(2)/2))/(LN(2)/2)*CG129*CJ129*VLOOKUP('Données projet'!$B$12,Paramètres!$A$1:$I$89,3,0)*0.475*44/12</f>
        <v>8.1853719510897655E-14</v>
      </c>
      <c r="CN129" s="22">
        <f t="shared" si="66"/>
        <v>1.226846173389099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-3.0859155231155454E-13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318.40875902853116</v>
      </c>
      <c r="T130" s="59">
        <f t="shared" si="88"/>
        <v>234.87694492493506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-4.0702161641092972E-13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260.20517190557814</v>
      </c>
      <c r="AO130" s="59">
        <f t="shared" si="90"/>
        <v>307.22009971147133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0.47789519466022506</v>
      </c>
      <c r="AV130" s="21">
        <f>EXP(-LN(2)/25)*AV129+(1-EXP(-LN(2)/25))/(LN(2)/25)*Calculateur!AQ130*Calculateur!AS130*VLOOKUP('Données projet'!$B$10,Paramètres!$A$1:$I$89,3,0)*0.475*44/12</f>
        <v>1.3937104778888496</v>
      </c>
      <c r="AW130" s="21">
        <f>EXP(-LN(2)/2)*AW129+(1-EXP(-LN(2)/2))/(LN(2)/2)*AQ130*AT130*VLOOKUP('Données projet'!$B$10,Paramètres!$A$1:$I$89,3,0)*0.475*44/12</f>
        <v>6.0389610230872276E-14</v>
      </c>
      <c r="AX130" s="21">
        <f t="shared" si="60"/>
        <v>1.871605672549135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-3.4317508834647017E-13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207.93042467236967</v>
      </c>
      <c r="BJ130" s="59">
        <f t="shared" si="92"/>
        <v>250.70954318710835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0.40293124255665985</v>
      </c>
      <c r="BQ130" s="21">
        <f>EXP(-LN(2)/25)*BQ129+(1-EXP(-LN(2)/25))/(LN(2)/25)*Calculateur!BL130*Calculateur!BN130*VLOOKUP('Données projet'!$B$11,Paramètres!$A$1:$I$89,3,0)*0.475*44/12</f>
        <v>1.1750892264553063</v>
      </c>
      <c r="BR130" s="21">
        <f>EXP(-LN(2)/2)*BR129+(1-EXP(-LN(2)/2))/(LN(2)/2)*BL130*BO130*VLOOKUP('Données projet'!$B$11,Paramètres!$A$1:$I$89,3,0)*0.475*44/12</f>
        <v>5.0916730194657014E-14</v>
      </c>
      <c r="BS130" s="22">
        <f t="shared" si="63"/>
        <v>1.578020469012017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-3.2987372833304104E-13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347.8889410585312</v>
      </c>
      <c r="CE130" s="59">
        <f t="shared" si="94"/>
        <v>254.78167322479203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0.37708282322283687</v>
      </c>
      <c r="CL130" s="21">
        <f>EXP(-LN(2)/25)*CL129+(1-EXP(-LN(2)/25))/(LN(2)/25)*Calculateur!CG130*Calculateur!CI130*VLOOKUP('Données projet'!$B$12,Paramètres!$A$1:$I$89,3,0)*0.475*44/12</f>
        <v>0.81919050690715089</v>
      </c>
      <c r="CM130" s="21">
        <f>EXP(-LN(2)/2)*CM129+(1-EXP(-LN(2)/2))/(LN(2)/2)*CG130*CJ130*VLOOKUP('Données projet'!$B$12,Paramètres!$A$1:$I$89,3,0)*0.475*44/12</f>
        <v>5.7879320131497343E-14</v>
      </c>
      <c r="CN130" s="22">
        <f t="shared" si="66"/>
        <v>1.1962733301300457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-3.0859155231155454E-13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318.40875902853116</v>
      </c>
      <c r="T131" s="59">
        <f t="shared" si="88"/>
        <v>234.87694492493506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-4.0702161641092972E-13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260.20517190557814</v>
      </c>
      <c r="AO131" s="59">
        <f t="shared" si="90"/>
        <v>307.22009971147133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0.46852396138022484</v>
      </c>
      <c r="AV131" s="21">
        <f>EXP(-LN(2)/25)*AV130+(1-EXP(-LN(2)/25))/(LN(2)/25)*Calculateur!AQ131*Calculateur!AS131*VLOOKUP('Données projet'!$B$10,Paramètres!$A$1:$I$89,3,0)*0.475*44/12</f>
        <v>1.3555993915789304</v>
      </c>
      <c r="AW131" s="21">
        <f>EXP(-LN(2)/2)*AW130+(1-EXP(-LN(2)/2))/(LN(2)/2)*AQ131*AT131*VLOOKUP('Données projet'!$B$10,Paramètres!$A$1:$I$89,3,0)*0.475*44/12</f>
        <v>4.2701902907462295E-14</v>
      </c>
      <c r="AX131" s="21">
        <f t="shared" si="60"/>
        <v>1.8241233529591978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-3.4317508834647017E-13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207.93042467236967</v>
      </c>
      <c r="BJ131" s="59">
        <f t="shared" si="92"/>
        <v>250.70954318710835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0.39503000665391458</v>
      </c>
      <c r="BQ131" s="21">
        <f>EXP(-LN(2)/25)*BQ130+(1-EXP(-LN(2)/25))/(LN(2)/25)*Calculateur!BL131*Calculateur!BN131*VLOOKUP('Données projet'!$B$11,Paramètres!$A$1:$I$89,3,0)*0.475*44/12</f>
        <v>1.1429563497626292</v>
      </c>
      <c r="BR131" s="21">
        <f>EXP(-LN(2)/2)*BR130+(1-EXP(-LN(2)/2))/(LN(2)/2)*BL131*BO131*VLOOKUP('Données projet'!$B$11,Paramètres!$A$1:$I$89,3,0)*0.475*44/12</f>
        <v>3.6003565196487814E-14</v>
      </c>
      <c r="BS131" s="22">
        <f t="shared" si="63"/>
        <v>1.5379863564165797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-3.2987372833304104E-13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347.8889410585312</v>
      </c>
      <c r="CE131" s="59">
        <f t="shared" si="94"/>
        <v>254.78167322479203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0.36968845905724879</v>
      </c>
      <c r="CL131" s="21">
        <f>EXP(-LN(2)/25)*CL130+(1-EXP(-LN(2)/25))/(LN(2)/25)*Calculateur!CG131*Calculateur!CI131*VLOOKUP('Données projet'!$B$12,Paramètres!$A$1:$I$89,3,0)*0.475*44/12</f>
        <v>0.79678969941641842</v>
      </c>
      <c r="CM131" s="21">
        <f>EXP(-LN(2)/2)*CM130+(1-EXP(-LN(2)/2))/(LN(2)/2)*CG131*CJ131*VLOOKUP('Données projet'!$B$12,Paramètres!$A$1:$I$89,3,0)*0.475*44/12</f>
        <v>4.0926859755448827E-14</v>
      </c>
      <c r="CN131" s="22">
        <f t="shared" si="66"/>
        <v>1.1664781584737081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-3.0859155231155454E-13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318.40875902853116</v>
      </c>
      <c r="T132" s="59">
        <f t="shared" si="88"/>
        <v>234.87694492493506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-4.0702161641092972E-13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260.20517190557814</v>
      </c>
      <c r="AO132" s="59">
        <f t="shared" si="90"/>
        <v>307.22009971147133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0.45933649226895751</v>
      </c>
      <c r="AV132" s="21">
        <f>EXP(-LN(2)/25)*AV131+(1-EXP(-LN(2)/25))/(LN(2)/25)*Calculateur!AQ132*Calculateur!AS132*VLOOKUP('Données projet'!$B$10,Paramètres!$A$1:$I$89,3,0)*0.475*44/12</f>
        <v>1.3185304549283308</v>
      </c>
      <c r="AW132" s="21">
        <f>EXP(-LN(2)/2)*AW131+(1-EXP(-LN(2)/2))/(LN(2)/2)*AQ132*AT132*VLOOKUP('Données projet'!$B$10,Paramètres!$A$1:$I$89,3,0)*0.475*44/12</f>
        <v>3.0194805115436138E-14</v>
      </c>
      <c r="AX132" s="21">
        <f t="shared" ref="AX132:AX153" si="114">SUM(AU132:AW132)</f>
        <v>1.7778669471973185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-3.4317508834647017E-13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207.93042467236967</v>
      </c>
      <c r="BJ132" s="59">
        <f t="shared" si="92"/>
        <v>250.70954318710835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0.38728370916794408</v>
      </c>
      <c r="BQ132" s="21">
        <f>EXP(-LN(2)/25)*BQ131+(1-EXP(-LN(2)/25))/(LN(2)/25)*Calculateur!BL132*Calculateur!BN132*VLOOKUP('Données projet'!$B$11,Paramètres!$A$1:$I$89,3,0)*0.475*44/12</f>
        <v>1.1117021482729079</v>
      </c>
      <c r="BR132" s="21">
        <f>EXP(-LN(2)/2)*BR131+(1-EXP(-LN(2)/2))/(LN(2)/2)*BL132*BO132*VLOOKUP('Données projet'!$B$11,Paramètres!$A$1:$I$89,3,0)*0.475*44/12</f>
        <v>2.5458365097328507E-14</v>
      </c>
      <c r="BS132" s="22">
        <f t="shared" ref="BS132:BS153" si="117">SUM(BP132:BR132)</f>
        <v>1.4989858574408774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-3.2987372833304104E-13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347.8889410585312</v>
      </c>
      <c r="CE132" s="59">
        <f t="shared" si="94"/>
        <v>254.78167322479203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0.36243909386283107</v>
      </c>
      <c r="CL132" s="21">
        <f>EXP(-LN(2)/25)*CL131+(1-EXP(-LN(2)/25))/(LN(2)/25)*Calculateur!CG132*Calculateur!CI132*VLOOKUP('Données projet'!$B$12,Paramètres!$A$1:$I$89,3,0)*0.475*44/12</f>
        <v>0.77500144318452724</v>
      </c>
      <c r="CM132" s="21">
        <f>EXP(-LN(2)/2)*CM131+(1-EXP(-LN(2)/2))/(LN(2)/2)*CG132*CJ132*VLOOKUP('Données projet'!$B$12,Paramètres!$A$1:$I$89,3,0)*0.475*44/12</f>
        <v>2.8939660065748671E-14</v>
      </c>
      <c r="CN132" s="22">
        <f t="shared" ref="CN132:CN153" si="120">SUM(CK132:CM132)</f>
        <v>1.1374405370473872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-3.0859155231155454E-13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318.40875902853116</v>
      </c>
      <c r="T133" s="59">
        <f t="shared" ref="T133:T196" si="142">$T$3</f>
        <v>234.87694492493506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-4.0702161641092972E-13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260.20517190557814</v>
      </c>
      <c r="AO133" s="59">
        <f t="shared" ref="AO133:AO196" si="144">$AO$3</f>
        <v>307.22009971147133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0.45032918382315928</v>
      </c>
      <c r="AV133" s="21">
        <f>EXP(-LN(2)/25)*AV132+(1-EXP(-LN(2)/25))/(LN(2)/25)*Calculateur!AQ133*Calculateur!AS133*VLOOKUP('Données projet'!$B$10,Paramètres!$A$1:$I$89,3,0)*0.475*44/12</f>
        <v>1.2824751702998125</v>
      </c>
      <c r="AW133" s="21">
        <f>EXP(-LN(2)/2)*AW132+(1-EXP(-LN(2)/2))/(LN(2)/2)*AQ133*AT133*VLOOKUP('Données projet'!$B$10,Paramètres!$A$1:$I$89,3,0)*0.475*44/12</f>
        <v>2.1350951453731147E-14</v>
      </c>
      <c r="AX133" s="21">
        <f t="shared" si="114"/>
        <v>1.7328043541229932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-3.4317508834647017E-13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207.93042467236967</v>
      </c>
      <c r="BJ133" s="59">
        <f t="shared" ref="BJ133:BJ196" si="146">$BJ$3</f>
        <v>250.70954318710835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0.37968931185089855</v>
      </c>
      <c r="BQ133" s="21">
        <f>EXP(-LN(2)/25)*BQ132+(1-EXP(-LN(2)/25))/(LN(2)/25)*Calculateur!BL133*Calculateur!BN133*VLOOKUP('Données projet'!$B$11,Paramètres!$A$1:$I$89,3,0)*0.475*44/12</f>
        <v>1.08130259456651</v>
      </c>
      <c r="BR133" s="21">
        <f>EXP(-LN(2)/2)*BR132+(1-EXP(-LN(2)/2))/(LN(2)/2)*BL133*BO133*VLOOKUP('Données projet'!$B$11,Paramètres!$A$1:$I$89,3,0)*0.475*44/12</f>
        <v>1.8001782598243907E-14</v>
      </c>
      <c r="BS133" s="22">
        <f t="shared" si="117"/>
        <v>1.4609919064174266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-3.2987372833304104E-13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347.8889410585312</v>
      </c>
      <c r="CE133" s="59">
        <f t="shared" ref="CE133:CE196" si="148">$CE$3</f>
        <v>254.78167322479203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0.35533188429819973</v>
      </c>
      <c r="CL133" s="21">
        <f>EXP(-LN(2)/25)*CL132+(1-EXP(-LN(2)/25))/(LN(2)/25)*Calculateur!CG133*Calculateur!CI133*VLOOKUP('Données projet'!$B$12,Paramètres!$A$1:$I$89,3,0)*0.475*44/12</f>
        <v>0.75380898796509177</v>
      </c>
      <c r="CM133" s="21">
        <f>EXP(-LN(2)/2)*CM132+(1-EXP(-LN(2)/2))/(LN(2)/2)*CG133*CJ133*VLOOKUP('Données projet'!$B$12,Paramètres!$A$1:$I$89,3,0)*0.475*44/12</f>
        <v>2.0463429877724414E-14</v>
      </c>
      <c r="CN133" s="22">
        <f t="shared" si="120"/>
        <v>1.1091408722633118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-3.0859155231155454E-13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318.40875902853116</v>
      </c>
      <c r="T134" s="59">
        <f t="shared" si="142"/>
        <v>234.87694492493506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-4.0702161641092972E-13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260.20517190557814</v>
      </c>
      <c r="AO134" s="59">
        <f t="shared" si="144"/>
        <v>307.22009971147133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0.44149850320206752</v>
      </c>
      <c r="AV134" s="21">
        <f>EXP(-LN(2)/25)*AV133+(1-EXP(-LN(2)/25))/(LN(2)/25)*Calculateur!AQ134*Calculateur!AS134*VLOOKUP('Données projet'!$B$10,Paramètres!$A$1:$I$89,3,0)*0.475*44/12</f>
        <v>1.247405819325526</v>
      </c>
      <c r="AW134" s="21">
        <f>EXP(-LN(2)/2)*AW133+(1-EXP(-LN(2)/2))/(LN(2)/2)*AQ134*AT134*VLOOKUP('Données projet'!$B$10,Paramètres!$A$1:$I$89,3,0)*0.475*44/12</f>
        <v>1.5097402557718069E-14</v>
      </c>
      <c r="AX134" s="21">
        <f t="shared" si="114"/>
        <v>1.6889043225276086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-3.4317508834647017E-13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207.93042467236967</v>
      </c>
      <c r="BJ134" s="59">
        <f t="shared" si="146"/>
        <v>250.70954318710835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0.37224383603311528</v>
      </c>
      <c r="BQ134" s="21">
        <f>EXP(-LN(2)/25)*BQ133+(1-EXP(-LN(2)/25))/(LN(2)/25)*Calculateur!BL134*Calculateur!BN134*VLOOKUP('Données projet'!$B$11,Paramètres!$A$1:$I$89,3,0)*0.475*44/12</f>
        <v>1.0517343182548566</v>
      </c>
      <c r="BR134" s="21">
        <f>EXP(-LN(2)/2)*BR133+(1-EXP(-LN(2)/2))/(LN(2)/2)*BL134*BO134*VLOOKUP('Données projet'!$B$11,Paramètres!$A$1:$I$89,3,0)*0.475*44/12</f>
        <v>1.2729182548664254E-14</v>
      </c>
      <c r="BS134" s="22">
        <f t="shared" si="117"/>
        <v>1.4239781542879846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-3.2987372833304104E-13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347.8889410585312</v>
      </c>
      <c r="CE134" s="59">
        <f t="shared" si="148"/>
        <v>254.78167322479203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0.34836404277816102</v>
      </c>
      <c r="CL134" s="21">
        <f>EXP(-LN(2)/25)*CL133+(1-EXP(-LN(2)/25))/(LN(2)/25)*Calculateur!CG134*Calculateur!CI134*VLOOKUP('Données projet'!$B$12,Paramètres!$A$1:$I$89,3,0)*0.475*44/12</f>
        <v>0.73319604154809448</v>
      </c>
      <c r="CM134" s="21">
        <f>EXP(-LN(2)/2)*CM133+(1-EXP(-LN(2)/2))/(LN(2)/2)*CG134*CJ134*VLOOKUP('Données projet'!$B$12,Paramètres!$A$1:$I$89,3,0)*0.475*44/12</f>
        <v>1.4469830032874336E-14</v>
      </c>
      <c r="CN134" s="22">
        <f t="shared" si="120"/>
        <v>1.0815600843262698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-3.0859155231155454E-13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318.40875902853116</v>
      </c>
      <c r="T135" s="59">
        <f t="shared" si="142"/>
        <v>234.87694492493506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-4.0702161641092972E-13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260.20517190557814</v>
      </c>
      <c r="AO135" s="59">
        <f t="shared" si="144"/>
        <v>307.22009971147133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0.43284098684177197</v>
      </c>
      <c r="AV135" s="21">
        <f>EXP(-LN(2)/25)*AV134+(1-EXP(-LN(2)/25))/(LN(2)/25)*Calculateur!AQ135*Calculateur!AS135*VLOOKUP('Données projet'!$B$10,Paramètres!$A$1:$I$89,3,0)*0.475*44/12</f>
        <v>1.2132954415978483</v>
      </c>
      <c r="AW135" s="21">
        <f>EXP(-LN(2)/2)*AW134+(1-EXP(-LN(2)/2))/(LN(2)/2)*AQ135*AT135*VLOOKUP('Données projet'!$B$10,Paramètres!$A$1:$I$89,3,0)*0.475*44/12</f>
        <v>1.0675475726865574E-14</v>
      </c>
      <c r="AX135" s="21">
        <f t="shared" si="114"/>
        <v>1.6461364284396309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-3.4317508834647017E-13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207.93042467236967</v>
      </c>
      <c r="BJ135" s="59">
        <f t="shared" si="146"/>
        <v>250.70954318710835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0.36494436145482689</v>
      </c>
      <c r="BQ135" s="21">
        <f>EXP(-LN(2)/25)*BQ134+(1-EXP(-LN(2)/25))/(LN(2)/25)*Calculateur!BL135*Calculateur!BN135*VLOOKUP('Données projet'!$B$11,Paramètres!$A$1:$I$89,3,0)*0.475*44/12</f>
        <v>1.0229745880138736</v>
      </c>
      <c r="BR135" s="21">
        <f>EXP(-LN(2)/2)*BR134+(1-EXP(-LN(2)/2))/(LN(2)/2)*BL135*BO135*VLOOKUP('Données projet'!$B$11,Paramètres!$A$1:$I$89,3,0)*0.475*44/12</f>
        <v>9.0008912991219536E-15</v>
      </c>
      <c r="BS135" s="22">
        <f t="shared" si="117"/>
        <v>1.3879189494687096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-3.2987372833304104E-13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347.8889410585312</v>
      </c>
      <c r="CE135" s="59">
        <f t="shared" si="148"/>
        <v>254.78167322479203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0.34153283638036663</v>
      </c>
      <c r="CL135" s="21">
        <f>EXP(-LN(2)/25)*CL134+(1-EXP(-LN(2)/25))/(LN(2)/25)*Calculateur!CG135*Calculateur!CI135*VLOOKUP('Données projet'!$B$12,Paramètres!$A$1:$I$89,3,0)*0.475*44/12</f>
        <v>0.71314675723485776</v>
      </c>
      <c r="CM135" s="21">
        <f>EXP(-LN(2)/2)*CM134+(1-EXP(-LN(2)/2))/(LN(2)/2)*CG135*CJ135*VLOOKUP('Données projet'!$B$12,Paramètres!$A$1:$I$89,3,0)*0.475*44/12</f>
        <v>1.0231714938862207E-14</v>
      </c>
      <c r="CN135" s="22">
        <f t="shared" si="120"/>
        <v>1.0546795936152347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-3.0859155231155454E-13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318.40875902853116</v>
      </c>
      <c r="T136" s="59">
        <f t="shared" si="142"/>
        <v>234.87694492493506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-4.0702161641092972E-13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260.20517190557814</v>
      </c>
      <c r="AO136" s="59">
        <f t="shared" si="144"/>
        <v>307.22009971147133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0.42435323909673828</v>
      </c>
      <c r="AV136" s="21">
        <f>EXP(-LN(2)/25)*AV135+(1-EXP(-LN(2)/25))/(LN(2)/25)*Calculateur!AQ136*Calculateur!AS136*VLOOKUP('Données projet'!$B$10,Paramètres!$A$1:$I$89,3,0)*0.475*44/12</f>
        <v>1.1801178139429209</v>
      </c>
      <c r="AW136" s="21">
        <f>EXP(-LN(2)/2)*AW135+(1-EXP(-LN(2)/2))/(LN(2)/2)*AQ136*AT136*VLOOKUP('Données projet'!$B$10,Paramètres!$A$1:$I$89,3,0)*0.475*44/12</f>
        <v>7.5487012788590345E-15</v>
      </c>
      <c r="AX136" s="21">
        <f t="shared" si="114"/>
        <v>1.6044710530396666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-3.4317508834647017E-13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207.93042467236967</v>
      </c>
      <c r="BJ136" s="59">
        <f t="shared" si="146"/>
        <v>250.70954318710835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0.3577880251207789</v>
      </c>
      <c r="BQ136" s="21">
        <f>EXP(-LN(2)/25)*BQ135+(1-EXP(-LN(2)/25))/(LN(2)/25)*Calculateur!BL136*Calculateur!BN136*VLOOKUP('Données projet'!$B$11,Paramètres!$A$1:$I$89,3,0)*0.475*44/12</f>
        <v>0.99500129410873872</v>
      </c>
      <c r="BR136" s="21">
        <f>EXP(-LN(2)/2)*BR135+(1-EXP(-LN(2)/2))/(LN(2)/2)*BL136*BO136*VLOOKUP('Données projet'!$B$11,Paramètres!$A$1:$I$89,3,0)*0.475*44/12</f>
        <v>6.3645912743321268E-15</v>
      </c>
      <c r="BS136" s="22">
        <f t="shared" si="117"/>
        <v>1.3527893192295239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-3.2987372833304104E-13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347.8889410585312</v>
      </c>
      <c r="CE136" s="59">
        <f t="shared" si="148"/>
        <v>254.78167322479203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0.3348355857734085</v>
      </c>
      <c r="CL136" s="21">
        <f>EXP(-LN(2)/25)*CL135+(1-EXP(-LN(2)/25))/(LN(2)/25)*Calculateur!CG136*Calculateur!CI136*VLOOKUP('Données projet'!$B$12,Paramètres!$A$1:$I$89,3,0)*0.475*44/12</f>
        <v>0.69364572165551253</v>
      </c>
      <c r="CM136" s="21">
        <f>EXP(-LN(2)/2)*CM135+(1-EXP(-LN(2)/2))/(LN(2)/2)*CG136*CJ136*VLOOKUP('Données projet'!$B$12,Paramètres!$A$1:$I$89,3,0)*0.475*44/12</f>
        <v>7.2349150164371678E-15</v>
      </c>
      <c r="CN136" s="22">
        <f t="shared" si="120"/>
        <v>1.0284813074289283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-3.0859155231155454E-13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318.40875902853116</v>
      </c>
      <c r="T137" s="59">
        <f t="shared" si="142"/>
        <v>234.87694492493506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-4.0702161641092972E-13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260.20517190557814</v>
      </c>
      <c r="AO137" s="59">
        <f t="shared" si="144"/>
        <v>307.22009971147133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0.41603193090796975</v>
      </c>
      <c r="AV137" s="21">
        <f>EXP(-LN(2)/25)*AV136+(1-EXP(-LN(2)/25))/(LN(2)/25)*Calculateur!AQ137*Calculateur!AS137*VLOOKUP('Données projet'!$B$10,Paramètres!$A$1:$I$89,3,0)*0.475*44/12</f>
        <v>1.1478474302609531</v>
      </c>
      <c r="AW137" s="21">
        <f>EXP(-LN(2)/2)*AW136+(1-EXP(-LN(2)/2))/(LN(2)/2)*AQ137*AT137*VLOOKUP('Données projet'!$B$10,Paramètres!$A$1:$I$89,3,0)*0.475*44/12</f>
        <v>5.3377378634327868E-15</v>
      </c>
      <c r="AX137" s="21">
        <f t="shared" si="114"/>
        <v>1.5638793611689281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-3.4317508834647017E-13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207.93042467236967</v>
      </c>
      <c r="BJ137" s="59">
        <f t="shared" si="146"/>
        <v>250.70954318710835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0.35077202017730741</v>
      </c>
      <c r="BQ137" s="21">
        <f>EXP(-LN(2)/25)*BQ136+(1-EXP(-LN(2)/25))/(LN(2)/25)*Calculateur!BL137*Calculateur!BN137*VLOOKUP('Données projet'!$B$11,Paramètres!$A$1:$I$89,3,0)*0.475*44/12</f>
        <v>0.96779293139649136</v>
      </c>
      <c r="BR137" s="21">
        <f>EXP(-LN(2)/2)*BR136+(1-EXP(-LN(2)/2))/(LN(2)/2)*BL137*BO137*VLOOKUP('Données projet'!$B$11,Paramètres!$A$1:$I$89,3,0)*0.475*44/12</f>
        <v>4.5004456495609768E-15</v>
      </c>
      <c r="BS137" s="22">
        <f t="shared" si="117"/>
        <v>1.3185649515738032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-3.2987372833304104E-13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347.8889410585312</v>
      </c>
      <c r="CE137" s="59">
        <f t="shared" si="148"/>
        <v>254.78167322479203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0.32826966416593328</v>
      </c>
      <c r="CL137" s="21">
        <f>EXP(-LN(2)/25)*CL136+(1-EXP(-LN(2)/25))/(LN(2)/25)*Calculateur!CG137*Calculateur!CI137*VLOOKUP('Données projet'!$B$12,Paramètres!$A$1:$I$89,3,0)*0.475*44/12</f>
        <v>0.67467794291959937</v>
      </c>
      <c r="CM137" s="21">
        <f>EXP(-LN(2)/2)*CM136+(1-EXP(-LN(2)/2))/(LN(2)/2)*CG137*CJ137*VLOOKUP('Données projet'!$B$12,Paramètres!$A$1:$I$89,3,0)*0.475*44/12</f>
        <v>5.1158574694311034E-15</v>
      </c>
      <c r="CN137" s="22">
        <f t="shared" si="120"/>
        <v>1.0029476070855379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-3.0859155231155454E-13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318.40875902853116</v>
      </c>
      <c r="T138" s="59">
        <f t="shared" si="142"/>
        <v>234.87694492493506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-4.0702161641092972E-13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260.20517190557814</v>
      </c>
      <c r="AO138" s="59">
        <f t="shared" si="144"/>
        <v>307.22009971147133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0.40787379849728617</v>
      </c>
      <c r="AV138" s="21">
        <f>EXP(-LN(2)/25)*AV137+(1-EXP(-LN(2)/25))/(LN(2)/25)*Calculateur!AQ138*Calculateur!AS138*VLOOKUP('Données projet'!$B$10,Paramètres!$A$1:$I$89,3,0)*0.475*44/12</f>
        <v>1.1164594819177944</v>
      </c>
      <c r="AW138" s="21">
        <f>EXP(-LN(2)/2)*AW137+(1-EXP(-LN(2)/2))/(LN(2)/2)*AQ138*AT138*VLOOKUP('Données projet'!$B$10,Paramètres!$A$1:$I$89,3,0)*0.475*44/12</f>
        <v>3.7743506394295173E-15</v>
      </c>
      <c r="AX138" s="21">
        <f t="shared" si="114"/>
        <v>1.5243332804150844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-3.4317508834647017E-13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207.93042467236967</v>
      </c>
      <c r="BJ138" s="59">
        <f t="shared" si="146"/>
        <v>250.70954318710835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0.34389359481143694</v>
      </c>
      <c r="BQ138" s="21">
        <f>EXP(-LN(2)/25)*BQ137+(1-EXP(-LN(2)/25))/(LN(2)/25)*Calculateur!BL138*Calculateur!BN138*VLOOKUP('Données projet'!$B$11,Paramètres!$A$1:$I$89,3,0)*0.475*44/12</f>
        <v>0.94132858279343601</v>
      </c>
      <c r="BR138" s="21">
        <f>EXP(-LN(2)/2)*BR137+(1-EXP(-LN(2)/2))/(LN(2)/2)*BL138*BO138*VLOOKUP('Données projet'!$B$11,Paramètres!$A$1:$I$89,3,0)*0.475*44/12</f>
        <v>3.1822956371660634E-15</v>
      </c>
      <c r="BS138" s="22">
        <f t="shared" si="117"/>
        <v>1.285222177604876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-3.2987372833304104E-13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347.8889410585312</v>
      </c>
      <c r="CE138" s="59">
        <f t="shared" si="148"/>
        <v>254.78167322479203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0.3218324962763639</v>
      </c>
      <c r="CL138" s="21">
        <f>EXP(-LN(2)/25)*CL137+(1-EXP(-LN(2)/25))/(LN(2)/25)*Calculateur!CG138*Calculateur!CI138*VLOOKUP('Données projet'!$B$12,Paramètres!$A$1:$I$89,3,0)*0.475*44/12</f>
        <v>0.65622883909069185</v>
      </c>
      <c r="CM138" s="21">
        <f>EXP(-LN(2)/2)*CM137+(1-EXP(-LN(2)/2))/(LN(2)/2)*CG138*CJ138*VLOOKUP('Données projet'!$B$12,Paramètres!$A$1:$I$89,3,0)*0.475*44/12</f>
        <v>3.6174575082185839E-15</v>
      </c>
      <c r="CN138" s="22">
        <f t="shared" si="120"/>
        <v>0.97806133536705941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-3.0859155231155454E-13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318.40875902853116</v>
      </c>
      <c r="T139" s="59">
        <f t="shared" si="142"/>
        <v>234.87694492493506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-4.0702161641092972E-13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260.20517190557814</v>
      </c>
      <c r="AO139" s="59">
        <f t="shared" si="144"/>
        <v>307.22009971147133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0.39987564208720666</v>
      </c>
      <c r="AV139" s="21">
        <f>EXP(-LN(2)/25)*AV138+(1-EXP(-LN(2)/25))/(LN(2)/25)*Calculateur!AQ139*Calculateur!AS139*VLOOKUP('Données projet'!$B$10,Paramètres!$A$1:$I$89,3,0)*0.475*44/12</f>
        <v>1.0859298386726999</v>
      </c>
      <c r="AW139" s="21">
        <f>EXP(-LN(2)/2)*AW138+(1-EXP(-LN(2)/2))/(LN(2)/2)*AQ139*AT139*VLOOKUP('Données projet'!$B$10,Paramètres!$A$1:$I$89,3,0)*0.475*44/12</f>
        <v>2.6688689317163934E-15</v>
      </c>
      <c r="AX139" s="21">
        <f t="shared" si="114"/>
        <v>1.4858054807599093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-3.4317508834647017E-13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207.93042467236967</v>
      </c>
      <c r="BJ139" s="59">
        <f t="shared" si="146"/>
        <v>250.70954318710835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0.33715005117156599</v>
      </c>
      <c r="BQ139" s="21">
        <f>EXP(-LN(2)/25)*BQ138+(1-EXP(-LN(2)/25))/(LN(2)/25)*Calculateur!BL139*Calculateur!BN139*VLOOKUP('Données projet'!$B$11,Paramètres!$A$1:$I$89,3,0)*0.475*44/12</f>
        <v>0.91558790319463079</v>
      </c>
      <c r="BR139" s="21">
        <f>EXP(-LN(2)/2)*BR138+(1-EXP(-LN(2)/2))/(LN(2)/2)*BL139*BO139*VLOOKUP('Données projet'!$B$11,Paramètres!$A$1:$I$89,3,0)*0.475*44/12</f>
        <v>2.2502228247804884E-15</v>
      </c>
      <c r="BS139" s="22">
        <f t="shared" si="117"/>
        <v>1.2527379543661989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-3.2987372833304104E-13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347.8889410585312</v>
      </c>
      <c r="CE139" s="59">
        <f t="shared" si="148"/>
        <v>254.78167322479203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0.31552155732282428</v>
      </c>
      <c r="CL139" s="21">
        <f>EXP(-LN(2)/25)*CL138+(1-EXP(-LN(2)/25))/(LN(2)/25)*Calculateur!CG139*Calculateur!CI139*VLOOKUP('Données projet'!$B$12,Paramètres!$A$1:$I$89,3,0)*0.475*44/12</f>
        <v>0.63828422697618203</v>
      </c>
      <c r="CM139" s="21">
        <f>EXP(-LN(2)/2)*CM138+(1-EXP(-LN(2)/2))/(LN(2)/2)*CG139*CJ139*VLOOKUP('Données projet'!$B$12,Paramètres!$A$1:$I$89,3,0)*0.475*44/12</f>
        <v>2.5579287347155517E-15</v>
      </c>
      <c r="CN139" s="22">
        <f t="shared" si="120"/>
        <v>0.95380578429900886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-3.0859155231155454E-13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318.40875902853116</v>
      </c>
      <c r="T140" s="59">
        <f t="shared" si="142"/>
        <v>234.87694492493506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-4.0702161641092972E-13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260.20517190557814</v>
      </c>
      <c r="AO140" s="59">
        <f t="shared" si="144"/>
        <v>307.22009971147133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0.39203432464593507</v>
      </c>
      <c r="AV140" s="21">
        <f>EXP(-LN(2)/25)*AV139+(1-EXP(-LN(2)/25))/(LN(2)/25)*Calculateur!AQ140*Calculateur!AS140*VLOOKUP('Données projet'!$B$10,Paramètres!$A$1:$I$89,3,0)*0.475*44/12</f>
        <v>1.0562350301276267</v>
      </c>
      <c r="AW140" s="21">
        <f>EXP(-LN(2)/2)*AW139+(1-EXP(-LN(2)/2))/(LN(2)/2)*AQ140*AT140*VLOOKUP('Données projet'!$B$10,Paramètres!$A$1:$I$89,3,0)*0.475*44/12</f>
        <v>1.8871753197147586E-15</v>
      </c>
      <c r="AX140" s="21">
        <f t="shared" si="114"/>
        <v>1.4482693547735634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-3.4317508834647017E-13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207.93042467236967</v>
      </c>
      <c r="BJ140" s="59">
        <f t="shared" si="146"/>
        <v>250.70954318710835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0.3305387443093174</v>
      </c>
      <c r="BQ140" s="21">
        <f>EXP(-LN(2)/25)*BQ139+(1-EXP(-LN(2)/25))/(LN(2)/25)*Calculateur!BL140*Calculateur!BN140*VLOOKUP('Données projet'!$B$11,Paramètres!$A$1:$I$89,3,0)*0.475*44/12</f>
        <v>0.89055110383309843</v>
      </c>
      <c r="BR140" s="21">
        <f>EXP(-LN(2)/2)*BR139+(1-EXP(-LN(2)/2))/(LN(2)/2)*BL140*BO140*VLOOKUP('Données projet'!$B$11,Paramètres!$A$1:$I$89,3,0)*0.475*44/12</f>
        <v>1.5911478185830317E-15</v>
      </c>
      <c r="BS140" s="22">
        <f t="shared" si="117"/>
        <v>1.2210898481424175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-3.2987372833304104E-13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347.8889410585312</v>
      </c>
      <c r="CE140" s="59">
        <f t="shared" si="148"/>
        <v>254.78167322479203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0.3093343720328709</v>
      </c>
      <c r="CL140" s="21">
        <f>EXP(-LN(2)/25)*CL139+(1-EXP(-LN(2)/25))/(LN(2)/25)*Calculateur!CG140*Calculateur!CI140*VLOOKUP('Données projet'!$B$12,Paramètres!$A$1:$I$89,3,0)*0.475*44/12</f>
        <v>0.62083031122360965</v>
      </c>
      <c r="CM140" s="21">
        <f>EXP(-LN(2)/2)*CM139+(1-EXP(-LN(2)/2))/(LN(2)/2)*CG140*CJ140*VLOOKUP('Données projet'!$B$12,Paramètres!$A$1:$I$89,3,0)*0.475*44/12</f>
        <v>1.808728754109292E-15</v>
      </c>
      <c r="CN140" s="22">
        <f t="shared" si="120"/>
        <v>0.93016468325648227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-3.0859155231155454E-13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318.40875902853116</v>
      </c>
      <c r="T141" s="59">
        <f t="shared" si="142"/>
        <v>234.87694492493506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-4.0702161641092972E-13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260.20517190557814</v>
      </c>
      <c r="AO141" s="59">
        <f t="shared" si="144"/>
        <v>307.22009971147133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0.38434677065695544</v>
      </c>
      <c r="AV141" s="21">
        <f>EXP(-LN(2)/25)*AV140+(1-EXP(-LN(2)/25))/(LN(2)/25)*Calculateur!AQ141*Calculateur!AS141*VLOOKUP('Données projet'!$B$10,Paramètres!$A$1:$I$89,3,0)*0.475*44/12</f>
        <v>1.0273522276838005</v>
      </c>
      <c r="AW141" s="21">
        <f>EXP(-LN(2)/2)*AW140+(1-EXP(-LN(2)/2))/(LN(2)/2)*AQ141*AT141*VLOOKUP('Données projet'!$B$10,Paramètres!$A$1:$I$89,3,0)*0.475*44/12</f>
        <v>1.3344344658581967E-15</v>
      </c>
      <c r="AX141" s="21">
        <f t="shared" si="114"/>
        <v>1.4116989983407573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-3.4317508834647017E-13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207.93042467236967</v>
      </c>
      <c r="BJ141" s="59">
        <f t="shared" si="146"/>
        <v>250.70954318710835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0.32405708114213849</v>
      </c>
      <c r="BQ141" s="21">
        <f>EXP(-LN(2)/25)*BQ140+(1-EXP(-LN(2)/25))/(LN(2)/25)*Calculateur!BL141*Calculateur!BN141*VLOOKUP('Données projet'!$B$11,Paramètres!$A$1:$I$89,3,0)*0.475*44/12</f>
        <v>0.86619893706673523</v>
      </c>
      <c r="BR141" s="21">
        <f>EXP(-LN(2)/2)*BR140+(1-EXP(-LN(2)/2))/(LN(2)/2)*BL141*BO141*VLOOKUP('Données projet'!$B$11,Paramètres!$A$1:$I$89,3,0)*0.475*44/12</f>
        <v>1.1251114123902442E-15</v>
      </c>
      <c r="BS141" s="22">
        <f t="shared" si="117"/>
        <v>1.1902560182088748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-3.2987372833304104E-13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347.8889410585312</v>
      </c>
      <c r="CE141" s="59">
        <f t="shared" si="148"/>
        <v>254.78167322479203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0.30326851367264307</v>
      </c>
      <c r="CL141" s="21">
        <f>EXP(-LN(2)/25)*CL140+(1-EXP(-LN(2)/25))/(LN(2)/25)*Calculateur!CG141*Calculateur!CI141*VLOOKUP('Données projet'!$B$12,Paramètres!$A$1:$I$89,3,0)*0.475*44/12</f>
        <v>0.60385367371515286</v>
      </c>
      <c r="CM141" s="21">
        <f>EXP(-LN(2)/2)*CM140+(1-EXP(-LN(2)/2))/(LN(2)/2)*CG141*CJ141*VLOOKUP('Données projet'!$B$12,Paramètres!$A$1:$I$89,3,0)*0.475*44/12</f>
        <v>1.2789643673577759E-15</v>
      </c>
      <c r="CN141" s="22">
        <f t="shared" si="120"/>
        <v>0.90712218738779726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-3.0859155231155454E-13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318.40875902853116</v>
      </c>
      <c r="T142" s="59">
        <f t="shared" si="142"/>
        <v>234.87694492493506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-4.0702161641092972E-13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260.20517190557814</v>
      </c>
      <c r="AO142" s="59">
        <f t="shared" si="144"/>
        <v>307.22009971147133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0.37680996491275476</v>
      </c>
      <c r="AV142" s="21">
        <f>EXP(-LN(2)/25)*AV141+(1-EXP(-LN(2)/25))/(LN(2)/25)*Calculateur!AQ142*Calculateur!AS142*VLOOKUP('Données projet'!$B$10,Paramètres!$A$1:$I$89,3,0)*0.475*44/12</f>
        <v>0.99925922699168135</v>
      </c>
      <c r="AW142" s="21">
        <f>EXP(-LN(2)/2)*AW141+(1-EXP(-LN(2)/2))/(LN(2)/2)*AQ142*AT142*VLOOKUP('Données projet'!$B$10,Paramètres!$A$1:$I$89,3,0)*0.475*44/12</f>
        <v>9.4358765985737932E-16</v>
      </c>
      <c r="AX142" s="21">
        <f t="shared" si="114"/>
        <v>1.376069191904437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-3.4317508834647017E-13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207.93042467236967</v>
      </c>
      <c r="BJ142" s="59">
        <f t="shared" si="146"/>
        <v>250.70954318710835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0.31770251943624384</v>
      </c>
      <c r="BQ142" s="21">
        <f>EXP(-LN(2)/25)*BQ141+(1-EXP(-LN(2)/25))/(LN(2)/25)*Calculateur!BL142*Calculateur!BN142*VLOOKUP('Données projet'!$B$11,Paramètres!$A$1:$I$89,3,0)*0.475*44/12</f>
        <v>0.84251268158122294</v>
      </c>
      <c r="BR142" s="21">
        <f>EXP(-LN(2)/2)*BR141+(1-EXP(-LN(2)/2))/(LN(2)/2)*BL142*BO142*VLOOKUP('Données projet'!$B$11,Paramètres!$A$1:$I$89,3,0)*0.475*44/12</f>
        <v>7.9557390929151585E-16</v>
      </c>
      <c r="BS142" s="22">
        <f t="shared" si="117"/>
        <v>1.1602152010174676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-3.2987372833304104E-13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347.8889410585312</v>
      </c>
      <c r="CE142" s="59">
        <f t="shared" si="148"/>
        <v>254.78167322479203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0.29732160309505107</v>
      </c>
      <c r="CL142" s="21">
        <f>EXP(-LN(2)/25)*CL141+(1-EXP(-LN(2)/25))/(LN(2)/25)*Calculateur!CG142*Calculateur!CI142*VLOOKUP('Données projet'!$B$12,Paramètres!$A$1:$I$89,3,0)*0.475*44/12</f>
        <v>0.58734126325212743</v>
      </c>
      <c r="CM142" s="21">
        <f>EXP(-LN(2)/2)*CM141+(1-EXP(-LN(2)/2))/(LN(2)/2)*CG142*CJ142*VLOOKUP('Données projet'!$B$12,Paramètres!$A$1:$I$89,3,0)*0.475*44/12</f>
        <v>9.0436437705464598E-16</v>
      </c>
      <c r="CN142" s="22">
        <f t="shared" si="120"/>
        <v>0.88466286634717939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-3.0859155231155454E-13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318.40875902853116</v>
      </c>
      <c r="T143" s="59">
        <f t="shared" si="142"/>
        <v>234.87694492493506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-4.0702161641092972E-13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260.20517190557814</v>
      </c>
      <c r="AO143" s="59">
        <f t="shared" si="144"/>
        <v>307.22009971147133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0.36942095133220026</v>
      </c>
      <c r="AV143" s="21">
        <f>EXP(-LN(2)/25)*AV142+(1-EXP(-LN(2)/25))/(LN(2)/25)*Calculateur!AQ143*Calculateur!AS143*VLOOKUP('Données projet'!$B$10,Paramètres!$A$1:$I$89,3,0)*0.475*44/12</f>
        <v>0.97193443088083487</v>
      </c>
      <c r="AW143" s="21">
        <f>EXP(-LN(2)/2)*AW142+(1-EXP(-LN(2)/2))/(LN(2)/2)*AQ143*AT143*VLOOKUP('Données projet'!$B$10,Paramètres!$A$1:$I$89,3,0)*0.475*44/12</f>
        <v>6.6721723292909835E-16</v>
      </c>
      <c r="AX143" s="21">
        <f t="shared" si="114"/>
        <v>1.3413553822130357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-3.4317508834647017E-13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207.93042467236967</v>
      </c>
      <c r="BJ143" s="59">
        <f t="shared" si="146"/>
        <v>250.70954318710835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0.31147256680950181</v>
      </c>
      <c r="BQ143" s="21">
        <f>EXP(-LN(2)/25)*BQ142+(1-EXP(-LN(2)/25))/(LN(2)/25)*Calculateur!BL143*Calculateur!BN143*VLOOKUP('Données projet'!$B$11,Paramètres!$A$1:$I$89,3,0)*0.475*44/12</f>
        <v>0.81947412799756802</v>
      </c>
      <c r="BR143" s="21">
        <f>EXP(-LN(2)/2)*BR142+(1-EXP(-LN(2)/2))/(LN(2)/2)*BL143*BO143*VLOOKUP('Données projet'!$B$11,Paramètres!$A$1:$I$89,3,0)*0.475*44/12</f>
        <v>5.625557061951221E-16</v>
      </c>
      <c r="BS143" s="22">
        <f t="shared" si="117"/>
        <v>1.1309466948070706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-3.2987372833304104E-13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347.8889410585312</v>
      </c>
      <c r="CE143" s="59">
        <f t="shared" si="148"/>
        <v>254.78167322479203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0.29149130780662835</v>
      </c>
      <c r="CL143" s="21">
        <f>EXP(-LN(2)/25)*CL142+(1-EXP(-LN(2)/25))/(LN(2)/25)*Calculateur!CG143*Calculateur!CI143*VLOOKUP('Données projet'!$B$12,Paramètres!$A$1:$I$89,3,0)*0.475*44/12</f>
        <v>0.57128038552156335</v>
      </c>
      <c r="CM143" s="21">
        <f>EXP(-LN(2)/2)*CM142+(1-EXP(-LN(2)/2))/(LN(2)/2)*CG143*CJ143*VLOOKUP('Données projet'!$B$12,Paramètres!$A$1:$I$89,3,0)*0.475*44/12</f>
        <v>6.3948218367888793E-16</v>
      </c>
      <c r="CN143" s="22">
        <f t="shared" si="120"/>
        <v>0.86277169332819237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-3.0859155231155454E-13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318.40875902853116</v>
      </c>
      <c r="T144" s="59">
        <f t="shared" si="142"/>
        <v>234.87694492493506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-4.0702161641092972E-13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260.20517190557814</v>
      </c>
      <c r="AO144" s="59">
        <f t="shared" si="144"/>
        <v>307.22009971147133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0.36217683180110716</v>
      </c>
      <c r="AV144" s="21">
        <f>EXP(-LN(2)/25)*AV143+(1-EXP(-LN(2)/25))/(LN(2)/25)*Calculateur!AQ144*Calculateur!AS144*VLOOKUP('Données projet'!$B$10,Paramètres!$A$1:$I$89,3,0)*0.475*44/12</f>
        <v>0.94535683275658811</v>
      </c>
      <c r="AW144" s="21">
        <f>EXP(-LN(2)/2)*AW143+(1-EXP(-LN(2)/2))/(LN(2)/2)*AQ144*AT144*VLOOKUP('Données projet'!$B$10,Paramètres!$A$1:$I$89,3,0)*0.475*44/12</f>
        <v>4.7179382992868966E-16</v>
      </c>
      <c r="AX144" s="21">
        <f t="shared" si="114"/>
        <v>1.3075336645576958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-3.4317508834647017E-13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207.93042467236967</v>
      </c>
      <c r="BJ144" s="59">
        <f t="shared" si="146"/>
        <v>250.70954318710835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0.30536477975387433</v>
      </c>
      <c r="BQ144" s="21">
        <f>EXP(-LN(2)/25)*BQ143+(1-EXP(-LN(2)/25))/(LN(2)/25)*Calculateur!BL144*Calculateur!BN144*VLOOKUP('Données projet'!$B$11,Paramètres!$A$1:$I$89,3,0)*0.475*44/12</f>
        <v>0.79706556487320301</v>
      </c>
      <c r="BR144" s="21">
        <f>EXP(-LN(2)/2)*BR143+(1-EXP(-LN(2)/2))/(LN(2)/2)*BL144*BO144*VLOOKUP('Données projet'!$B$11,Paramètres!$A$1:$I$89,3,0)*0.475*44/12</f>
        <v>3.9778695464575793E-16</v>
      </c>
      <c r="BS144" s="22">
        <f t="shared" si="117"/>
        <v>1.1024303446270778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-3.2987372833304104E-13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347.8889410585312</v>
      </c>
      <c r="CE144" s="59">
        <f t="shared" si="148"/>
        <v>254.78167322479203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0.2857753410526826</v>
      </c>
      <c r="CL144" s="21">
        <f>EXP(-LN(2)/25)*CL143+(1-EXP(-LN(2)/25))/(LN(2)/25)*Calculateur!CG144*Calculateur!CI144*VLOOKUP('Données projet'!$B$12,Paramètres!$A$1:$I$89,3,0)*0.475*44/12</f>
        <v>0.55565869333714646</v>
      </c>
      <c r="CM144" s="21">
        <f>EXP(-LN(2)/2)*CM143+(1-EXP(-LN(2)/2))/(LN(2)/2)*CG144*CJ144*VLOOKUP('Données projet'!$B$12,Paramètres!$A$1:$I$89,3,0)*0.475*44/12</f>
        <v>4.5218218852732299E-16</v>
      </c>
      <c r="CN144" s="22">
        <f t="shared" si="120"/>
        <v>0.84143403438982944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-3.0859155231155454E-13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318.40875902853116</v>
      </c>
      <c r="T145" s="59">
        <f t="shared" si="142"/>
        <v>234.87694492493506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-4.0702161641092972E-13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260.20517190557814</v>
      </c>
      <c r="AO145" s="59">
        <f t="shared" si="144"/>
        <v>307.22009971147133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0.35507476503554219</v>
      </c>
      <c r="AV145" s="21">
        <f>EXP(-LN(2)/25)*AV144+(1-EXP(-LN(2)/25))/(LN(2)/25)*Calculateur!AQ145*Calculateur!AS145*VLOOKUP('Données projet'!$B$10,Paramètres!$A$1:$I$89,3,0)*0.475*44/12</f>
        <v>0.91950600045070396</v>
      </c>
      <c r="AW145" s="21">
        <f>EXP(-LN(2)/2)*AW144+(1-EXP(-LN(2)/2))/(LN(2)/2)*AQ145*AT145*VLOOKUP('Données projet'!$B$10,Paramètres!$A$1:$I$89,3,0)*0.475*44/12</f>
        <v>3.3360861646454918E-16</v>
      </c>
      <c r="AX145" s="21">
        <f t="shared" si="114"/>
        <v>1.2745807654862467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-3.4317508834647017E-13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207.93042467236967</v>
      </c>
      <c r="BJ145" s="59">
        <f t="shared" si="146"/>
        <v>250.70954318710835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0.29937676267702545</v>
      </c>
      <c r="BQ145" s="21">
        <f>EXP(-LN(2)/25)*BQ144+(1-EXP(-LN(2)/25))/(LN(2)/25)*Calculateur!BL145*Calculateur!BN145*VLOOKUP('Données projet'!$B$11,Paramètres!$A$1:$I$89,3,0)*0.475*44/12</f>
        <v>0.77526976508588896</v>
      </c>
      <c r="BR145" s="21">
        <f>EXP(-LN(2)/2)*BR144+(1-EXP(-LN(2)/2))/(LN(2)/2)*BL145*BO145*VLOOKUP('Données projet'!$B$11,Paramètres!$A$1:$I$89,3,0)*0.475*44/12</f>
        <v>2.8127785309756105E-16</v>
      </c>
      <c r="BS145" s="22">
        <f t="shared" si="117"/>
        <v>1.0746465277629147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-3.2987372833304104E-13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347.8889410585312</v>
      </c>
      <c r="CE145" s="59">
        <f t="shared" si="148"/>
        <v>254.78167322479203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0.28017146092038625</v>
      </c>
      <c r="CL145" s="21">
        <f>EXP(-LN(2)/25)*CL144+(1-EXP(-LN(2)/25))/(LN(2)/25)*Calculateur!CG145*Calculateur!CI145*VLOOKUP('Données projet'!$B$12,Paramètres!$A$1:$I$89,3,0)*0.475*44/12</f>
        <v>0.54046417714702144</v>
      </c>
      <c r="CM145" s="21">
        <f>EXP(-LN(2)/2)*CM144+(1-EXP(-LN(2)/2))/(LN(2)/2)*CG145*CJ145*VLOOKUP('Données projet'!$B$12,Paramètres!$A$1:$I$89,3,0)*0.475*44/12</f>
        <v>3.1974109183944396E-16</v>
      </c>
      <c r="CN145" s="22">
        <f t="shared" si="120"/>
        <v>0.82063563806740802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-3.0859155231155454E-13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318.40875902853116</v>
      </c>
      <c r="T146" s="59">
        <f t="shared" si="142"/>
        <v>234.87694492493506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-4.0702161641092972E-13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260.20517190557814</v>
      </c>
      <c r="AO146" s="59">
        <f t="shared" si="144"/>
        <v>307.22009971147133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0.34811196546741696</v>
      </c>
      <c r="AV146" s="21">
        <f>EXP(-LN(2)/25)*AV145+(1-EXP(-LN(2)/25))/(LN(2)/25)*Calculateur!AQ146*Calculateur!AS146*VLOOKUP('Données projet'!$B$10,Paramètres!$A$1:$I$89,3,0)*0.475*44/12</f>
        <v>0.89436206051366041</v>
      </c>
      <c r="AW146" s="21">
        <f>EXP(-LN(2)/2)*AW145+(1-EXP(-LN(2)/2))/(LN(2)/2)*AQ146*AT146*VLOOKUP('Données projet'!$B$10,Paramètres!$A$1:$I$89,3,0)*0.475*44/12</f>
        <v>2.3589691496434483E-16</v>
      </c>
      <c r="AX146" s="21">
        <f t="shared" si="114"/>
        <v>1.2424740259810776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-3.4317508834647017E-13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207.93042467236967</v>
      </c>
      <c r="BJ146" s="59">
        <f t="shared" si="146"/>
        <v>250.70954318710835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0.2935061669627238</v>
      </c>
      <c r="BQ146" s="21">
        <f>EXP(-LN(2)/25)*BQ145+(1-EXP(-LN(2)/25))/(LN(2)/25)*Calculateur!BL146*Calculateur!BN146*VLOOKUP('Données projet'!$B$11,Paramètres!$A$1:$I$89,3,0)*0.475*44/12</f>
        <v>0.75406997258995023</v>
      </c>
      <c r="BR146" s="21">
        <f>EXP(-LN(2)/2)*BR145+(1-EXP(-LN(2)/2))/(LN(2)/2)*BL146*BO146*VLOOKUP('Données projet'!$B$11,Paramètres!$A$1:$I$89,3,0)*0.475*44/12</f>
        <v>1.9889347732287896E-16</v>
      </c>
      <c r="BS146" s="22">
        <f t="shared" si="117"/>
        <v>1.0475761395526744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-3.2987372833304104E-13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347.8889410585312</v>
      </c>
      <c r="CE146" s="59">
        <f t="shared" si="148"/>
        <v>254.78167322479203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0.27467746945945487</v>
      </c>
      <c r="CL146" s="21">
        <f>EXP(-LN(2)/25)*CL145+(1-EXP(-LN(2)/25))/(LN(2)/25)*Calculateur!CG146*Calculateur!CI146*VLOOKUP('Données projet'!$B$12,Paramètres!$A$1:$I$89,3,0)*0.475*44/12</f>
        <v>0.52568515580116026</v>
      </c>
      <c r="CM146" s="21">
        <f>EXP(-LN(2)/2)*CM145+(1-EXP(-LN(2)/2))/(LN(2)/2)*CG146*CJ146*VLOOKUP('Données projet'!$B$12,Paramètres!$A$1:$I$89,3,0)*0.475*44/12</f>
        <v>2.260910942636615E-16</v>
      </c>
      <c r="CN146" s="22">
        <f t="shared" si="120"/>
        <v>0.8003626252606153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-3.0859155231155454E-13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318.40875902853116</v>
      </c>
      <c r="T147" s="59">
        <f t="shared" si="142"/>
        <v>234.87694492493506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-4.0702161641092972E-13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260.20517190557814</v>
      </c>
      <c r="AO147" s="59">
        <f t="shared" si="144"/>
        <v>307.22009971147133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0.34128570215193427</v>
      </c>
      <c r="AV147" s="21">
        <f>EXP(-LN(2)/25)*AV146+(1-EXP(-LN(2)/25))/(LN(2)/25)*Calculateur!AQ147*Calculateur!AS147*VLOOKUP('Données projet'!$B$10,Paramètres!$A$1:$I$89,3,0)*0.475*44/12</f>
        <v>0.86990568293645765</v>
      </c>
      <c r="AW147" s="21">
        <f>EXP(-LN(2)/2)*AW146+(1-EXP(-LN(2)/2))/(LN(2)/2)*AQ147*AT147*VLOOKUP('Données projet'!$B$10,Paramètres!$A$1:$I$89,3,0)*0.475*44/12</f>
        <v>1.6680430823227459E-16</v>
      </c>
      <c r="AX147" s="21">
        <f t="shared" si="114"/>
        <v>1.2111913850883922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-3.4317508834647017E-13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207.93042467236967</v>
      </c>
      <c r="BJ147" s="59">
        <f t="shared" si="146"/>
        <v>250.70954318710835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0.2877506900496698</v>
      </c>
      <c r="BQ147" s="21">
        <f>EXP(-LN(2)/25)*BQ146+(1-EXP(-LN(2)/25))/(LN(2)/25)*Calculateur!BL147*Calculateur!BN147*VLOOKUP('Données projet'!$B$11,Paramètres!$A$1:$I$89,3,0)*0.475*44/12</f>
        <v>0.73344988953466161</v>
      </c>
      <c r="BR147" s="21">
        <f>EXP(-LN(2)/2)*BR146+(1-EXP(-LN(2)/2))/(LN(2)/2)*BL147*BO147*VLOOKUP('Données projet'!$B$11,Paramètres!$A$1:$I$89,3,0)*0.475*44/12</f>
        <v>1.4063892654878053E-16</v>
      </c>
      <c r="BS147" s="22">
        <f t="shared" si="117"/>
        <v>1.0212005795843317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-3.2987372833304104E-13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347.8889410585312</v>
      </c>
      <c r="CE147" s="59">
        <f t="shared" si="148"/>
        <v>254.78167322479203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0.26929121182006843</v>
      </c>
      <c r="CL147" s="21">
        <f>EXP(-LN(2)/25)*CL146+(1-EXP(-LN(2)/25))/(LN(2)/25)*Calculateur!CG147*Calculateur!CI147*VLOOKUP('Données projet'!$B$12,Paramètres!$A$1:$I$89,3,0)*0.475*44/12</f>
        <v>0.51131026757119669</v>
      </c>
      <c r="CM147" s="21">
        <f>EXP(-LN(2)/2)*CM146+(1-EXP(-LN(2)/2))/(LN(2)/2)*CG147*CJ147*VLOOKUP('Données projet'!$B$12,Paramètres!$A$1:$I$89,3,0)*0.475*44/12</f>
        <v>1.5987054591972198E-16</v>
      </c>
      <c r="CN147" s="22">
        <f t="shared" si="120"/>
        <v>0.78060147939126523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-3.0859155231155454E-13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318.40875902853116</v>
      </c>
      <c r="T148" s="59">
        <f t="shared" si="142"/>
        <v>234.87694492493506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-4.0702161641092972E-13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260.20517190557814</v>
      </c>
      <c r="AO148" s="59">
        <f t="shared" si="144"/>
        <v>307.22009971147133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0.33459329769645868</v>
      </c>
      <c r="AV148" s="21">
        <f>EXP(-LN(2)/25)*AV147+(1-EXP(-LN(2)/25))/(LN(2)/25)*Calculateur!AQ148*Calculateur!AS148*VLOOKUP('Données projet'!$B$10,Paramètres!$A$1:$I$89,3,0)*0.475*44/12</f>
        <v>0.84611806629020858</v>
      </c>
      <c r="AW148" s="21">
        <f>EXP(-LN(2)/2)*AW147+(1-EXP(-LN(2)/2))/(LN(2)/2)*AQ148*AT148*VLOOKUP('Données projet'!$B$10,Paramètres!$A$1:$I$89,3,0)*0.475*44/12</f>
        <v>1.1794845748217241E-16</v>
      </c>
      <c r="AX148" s="21">
        <f t="shared" si="114"/>
        <v>1.1807113639866675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-3.4317508834647017E-13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207.93042467236967</v>
      </c>
      <c r="BJ148" s="59">
        <f t="shared" si="146"/>
        <v>250.70954318710835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0.28210807452838649</v>
      </c>
      <c r="BQ148" s="21">
        <f>EXP(-LN(2)/25)*BQ147+(1-EXP(-LN(2)/25))/(LN(2)/25)*Calculateur!BL148*Calculateur!BN148*VLOOKUP('Données projet'!$B$11,Paramètres!$A$1:$I$89,3,0)*0.475*44/12</f>
        <v>0.71339366373488289</v>
      </c>
      <c r="BR148" s="21">
        <f>EXP(-LN(2)/2)*BR147+(1-EXP(-LN(2)/2))/(LN(2)/2)*BL148*BO148*VLOOKUP('Données projet'!$B$11,Paramètres!$A$1:$I$89,3,0)*0.475*44/12</f>
        <v>9.9446738661439481E-17</v>
      </c>
      <c r="BS148" s="22">
        <f t="shared" si="117"/>
        <v>0.99550173826326949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-3.2987372833304104E-13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347.8889410585312</v>
      </c>
      <c r="CE148" s="59">
        <f t="shared" si="148"/>
        <v>254.78167322479203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0.26401057540769762</v>
      </c>
      <c r="CL148" s="21">
        <f>EXP(-LN(2)/25)*CL147+(1-EXP(-LN(2)/25))/(LN(2)/25)*Calculateur!CG148*Calculateur!CI148*VLOOKUP('Données projet'!$B$12,Paramètres!$A$1:$I$89,3,0)*0.475*44/12</f>
        <v>0.49732846141582393</v>
      </c>
      <c r="CM148" s="21">
        <f>EXP(-LN(2)/2)*CM147+(1-EXP(-LN(2)/2))/(LN(2)/2)*CG148*CJ148*VLOOKUP('Données projet'!$B$12,Paramètres!$A$1:$I$89,3,0)*0.475*44/12</f>
        <v>1.1304554713183075E-16</v>
      </c>
      <c r="CN148" s="22">
        <f t="shared" si="120"/>
        <v>0.76133903682352166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-3.0859155231155454E-13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318.40875902853116</v>
      </c>
      <c r="T149" s="59">
        <f t="shared" si="142"/>
        <v>234.87694492493506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-4.0702161641092972E-13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260.20517190557814</v>
      </c>
      <c r="AO149" s="59">
        <f t="shared" si="144"/>
        <v>307.22009971147133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0.32803212721039132</v>
      </c>
      <c r="AV149" s="21">
        <f>EXP(-LN(2)/25)*AV148+(1-EXP(-LN(2)/25))/(LN(2)/25)*Calculateur!AQ149*Calculateur!AS149*VLOOKUP('Données projet'!$B$10,Paramètres!$A$1:$I$89,3,0)*0.475*44/12</f>
        <v>0.82298092327208761</v>
      </c>
      <c r="AW149" s="21">
        <f>EXP(-LN(2)/2)*AW148+(1-EXP(-LN(2)/2))/(LN(2)/2)*AQ149*AT149*VLOOKUP('Données projet'!$B$10,Paramètres!$A$1:$I$89,3,0)*0.475*44/12</f>
        <v>8.3402154116137294E-17</v>
      </c>
      <c r="AX149" s="21">
        <f t="shared" si="114"/>
        <v>1.1510130504824789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-3.4317508834647017E-13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207.93042467236967</v>
      </c>
      <c r="BJ149" s="59">
        <f t="shared" si="146"/>
        <v>250.70954318710835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0.27657610725581988</v>
      </c>
      <c r="BQ149" s="21">
        <f>EXP(-LN(2)/25)*BQ148+(1-EXP(-LN(2)/25))/(LN(2)/25)*Calculateur!BL149*Calculateur!BN149*VLOOKUP('Données projet'!$B$11,Paramètres!$A$1:$I$89,3,0)*0.475*44/12</f>
        <v>0.69388587648431022</v>
      </c>
      <c r="BR149" s="21">
        <f>EXP(-LN(2)/2)*BR148+(1-EXP(-LN(2)/2))/(LN(2)/2)*BL149*BO149*VLOOKUP('Données projet'!$B$11,Paramètres!$A$1:$I$89,3,0)*0.475*44/12</f>
        <v>7.0319463274390263E-17</v>
      </c>
      <c r="BS149" s="22">
        <f t="shared" si="117"/>
        <v>0.97046198374013015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-3.2987372833304104E-13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347.8889410585312</v>
      </c>
      <c r="CE149" s="59">
        <f t="shared" si="148"/>
        <v>254.78167322479203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0.25883348905450321</v>
      </c>
      <c r="CL149" s="21">
        <f>EXP(-LN(2)/25)*CL148+(1-EXP(-LN(2)/25))/(LN(2)/25)*Calculateur!CG149*Calculateur!CI149*VLOOKUP('Données projet'!$B$12,Paramètres!$A$1:$I$89,3,0)*0.475*44/12</f>
        <v>0.48372898848504109</v>
      </c>
      <c r="CM149" s="21">
        <f>EXP(-LN(2)/2)*CM148+(1-EXP(-LN(2)/2))/(LN(2)/2)*CG149*CJ149*VLOOKUP('Données projet'!$B$12,Paramètres!$A$1:$I$89,3,0)*0.475*44/12</f>
        <v>7.9935272959860991E-17</v>
      </c>
      <c r="CN149" s="22">
        <f t="shared" si="120"/>
        <v>0.74256247753954441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-3.0859155231155454E-13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318.40875902853116</v>
      </c>
      <c r="T150" s="59">
        <f t="shared" si="142"/>
        <v>234.87694492493506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-4.0702161641092972E-13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260.20517190557814</v>
      </c>
      <c r="AO150" s="59">
        <f t="shared" si="144"/>
        <v>307.22009971147133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0.32159961727563691</v>
      </c>
      <c r="AV150" s="21">
        <f>EXP(-LN(2)/25)*AV149+(1-EXP(-LN(2)/25))/(LN(2)/25)*Calculateur!AQ150*Calculateur!AS150*VLOOKUP('Données projet'!$B$10,Paramètres!$A$1:$I$89,3,0)*0.475*44/12</f>
        <v>0.80047646664652661</v>
      </c>
      <c r="AW150" s="21">
        <f>EXP(-LN(2)/2)*AW149+(1-EXP(-LN(2)/2))/(LN(2)/2)*AQ150*AT150*VLOOKUP('Données projet'!$B$10,Paramètres!$A$1:$I$89,3,0)*0.475*44/12</f>
        <v>5.8974228741086207E-17</v>
      </c>
      <c r="AX150" s="21">
        <f t="shared" si="114"/>
        <v>1.1220760839221635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-3.4317508834647017E-13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207.93042467236967</v>
      </c>
      <c r="BJ150" s="59">
        <f t="shared" si="146"/>
        <v>250.70954318710835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0.27115261848730143</v>
      </c>
      <c r="BQ150" s="21">
        <f>EXP(-LN(2)/25)*BQ149+(1-EXP(-LN(2)/25))/(LN(2)/25)*Calculateur!BL150*Calculateur!BN150*VLOOKUP('Données projet'!$B$11,Paramètres!$A$1:$I$89,3,0)*0.475*44/12</f>
        <v>0.6749115307019744</v>
      </c>
      <c r="BR150" s="21">
        <f>EXP(-LN(2)/2)*BR149+(1-EXP(-LN(2)/2))/(LN(2)/2)*BL150*BO150*VLOOKUP('Données projet'!$B$11,Paramètres!$A$1:$I$89,3,0)*0.475*44/12</f>
        <v>4.9723369330719741E-17</v>
      </c>
      <c r="BS150" s="22">
        <f t="shared" si="117"/>
        <v>0.94606414918927584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-3.2987372833304104E-13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347.8889410585312</v>
      </c>
      <c r="CE150" s="59">
        <f t="shared" si="148"/>
        <v>254.78167322479203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0.25375792220698407</v>
      </c>
      <c r="CL150" s="21">
        <f>EXP(-LN(2)/25)*CL149+(1-EXP(-LN(2)/25))/(LN(2)/25)*Calculateur!CG150*Calculateur!CI150*VLOOKUP('Données projet'!$B$12,Paramètres!$A$1:$I$89,3,0)*0.475*44/12</f>
        <v>0.47050139385671569</v>
      </c>
      <c r="CM150" s="21">
        <f>EXP(-LN(2)/2)*CM149+(1-EXP(-LN(2)/2))/(LN(2)/2)*CG150*CJ150*VLOOKUP('Données projet'!$B$12,Paramètres!$A$1:$I$89,3,0)*0.475*44/12</f>
        <v>5.6522773565915374E-17</v>
      </c>
      <c r="CN150" s="22">
        <f t="shared" si="120"/>
        <v>0.72425931606369987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-3.0859155231155454E-13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318.40875902853116</v>
      </c>
      <c r="T151" s="59">
        <f t="shared" si="142"/>
        <v>234.87694492493506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-4.0702161641092972E-13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260.20517190557814</v>
      </c>
      <c r="AO151" s="59">
        <f t="shared" si="144"/>
        <v>307.22009971147133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0.31529324493725935</v>
      </c>
      <c r="AV151" s="21">
        <f>EXP(-LN(2)/25)*AV150+(1-EXP(-LN(2)/25))/(LN(2)/25)*Calculateur!AQ151*Calculateur!AS151*VLOOKUP('Données projet'!$B$10,Paramètres!$A$1:$I$89,3,0)*0.475*44/12</f>
        <v>0.77858739557084944</v>
      </c>
      <c r="AW151" s="21">
        <f>EXP(-LN(2)/2)*AW150+(1-EXP(-LN(2)/2))/(LN(2)/2)*AQ151*AT151*VLOOKUP('Données projet'!$B$10,Paramètres!$A$1:$I$89,3,0)*0.475*44/12</f>
        <v>4.1701077058068647E-17</v>
      </c>
      <c r="AX151" s="21">
        <f t="shared" si="114"/>
        <v>1.0938806405081087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-3.4317508834647017E-13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207.93042467236967</v>
      </c>
      <c r="BJ151" s="59">
        <f t="shared" si="146"/>
        <v>250.70954318710835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0.26583548102553212</v>
      </c>
      <c r="BQ151" s="21">
        <f>EXP(-LN(2)/25)*BQ150+(1-EXP(-LN(2)/25))/(LN(2)/25)*Calculateur!BL151*Calculateur!BN151*VLOOKUP('Données projet'!$B$11,Paramètres!$A$1:$I$89,3,0)*0.475*44/12</f>
        <v>0.656456039402874</v>
      </c>
      <c r="BR151" s="21">
        <f>EXP(-LN(2)/2)*BR150+(1-EXP(-LN(2)/2))/(LN(2)/2)*BL151*BO151*VLOOKUP('Données projet'!$B$11,Paramètres!$A$1:$I$89,3,0)*0.475*44/12</f>
        <v>3.5159731637195131E-17</v>
      </c>
      <c r="BS151" s="22">
        <f t="shared" si="117"/>
        <v>0.92229152042840612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-3.2987372833304104E-13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347.8889410585312</v>
      </c>
      <c r="CE151" s="59">
        <f t="shared" si="148"/>
        <v>254.78167322479203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0.24878188412955468</v>
      </c>
      <c r="CL151" s="21">
        <f>EXP(-LN(2)/25)*CL150+(1-EXP(-LN(2)/25))/(LN(2)/25)*Calculateur!CG151*Calculateur!CI151*VLOOKUP('Données projet'!$B$12,Paramètres!$A$1:$I$89,3,0)*0.475*44/12</f>
        <v>0.45763550849911083</v>
      </c>
      <c r="CM151" s="21">
        <f>EXP(-LN(2)/2)*CM150+(1-EXP(-LN(2)/2))/(LN(2)/2)*CG151*CJ151*VLOOKUP('Données projet'!$B$12,Paramètres!$A$1:$I$89,3,0)*0.475*44/12</f>
        <v>3.9967636479930495E-17</v>
      </c>
      <c r="CN151" s="22">
        <f t="shared" si="120"/>
        <v>0.70641739262866554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-3.0859155231155454E-13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318.40875902853116</v>
      </c>
      <c r="T152" s="59">
        <f t="shared" si="142"/>
        <v>234.87694492493506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-4.0702161641092972E-13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260.20517190557814</v>
      </c>
      <c r="AO152" s="59">
        <f t="shared" si="144"/>
        <v>307.22009971147133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0.30911053671393007</v>
      </c>
      <c r="AV152" s="21">
        <f>EXP(-LN(2)/25)*AV151+(1-EXP(-LN(2)/25))/(LN(2)/25)*Calculateur!AQ152*Calculateur!AS152*VLOOKUP('Données projet'!$B$10,Paramètres!$A$1:$I$89,3,0)*0.475*44/12</f>
        <v>0.75729688229483294</v>
      </c>
      <c r="AW152" s="21">
        <f>EXP(-LN(2)/2)*AW151+(1-EXP(-LN(2)/2))/(LN(2)/2)*AQ152*AT152*VLOOKUP('Données projet'!$B$10,Paramètres!$A$1:$I$89,3,0)*0.475*44/12</f>
        <v>2.9487114370543104E-17</v>
      </c>
      <c r="AX152" s="21">
        <f t="shared" si="114"/>
        <v>1.0664074190087631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-3.4317508834647017E-13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207.93042467236967</v>
      </c>
      <c r="BJ152" s="59">
        <f t="shared" si="146"/>
        <v>250.70954318710835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0.26062260938625448</v>
      </c>
      <c r="BQ152" s="21">
        <f>EXP(-LN(2)/25)*BQ151+(1-EXP(-LN(2)/25))/(LN(2)/25)*Calculateur!BL152*Calculateur!BN152*VLOOKUP('Données projet'!$B$11,Paramètres!$A$1:$I$89,3,0)*0.475*44/12</f>
        <v>0.63850521448387965</v>
      </c>
      <c r="BR152" s="21">
        <f>EXP(-LN(2)/2)*BR151+(1-EXP(-LN(2)/2))/(LN(2)/2)*BL152*BO152*VLOOKUP('Données projet'!$B$11,Paramètres!$A$1:$I$89,3,0)*0.475*44/12</f>
        <v>2.486168466535987E-17</v>
      </c>
      <c r="BS152" s="22">
        <f t="shared" si="117"/>
        <v>0.89912782387013412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-3.2987372833304104E-13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347.8889410585312</v>
      </c>
      <c r="CE152" s="59">
        <f t="shared" si="148"/>
        <v>254.78167322479203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0.24390342312374017</v>
      </c>
      <c r="CL152" s="21">
        <f>EXP(-LN(2)/25)*CL151+(1-EXP(-LN(2)/25))/(LN(2)/25)*Calculateur!CG152*Calculateur!CI152*VLOOKUP('Données projet'!$B$12,Paramètres!$A$1:$I$89,3,0)*0.475*44/12</f>
        <v>0.44512144145319721</v>
      </c>
      <c r="CM152" s="21">
        <f>EXP(-LN(2)/2)*CM151+(1-EXP(-LN(2)/2))/(LN(2)/2)*CG152*CJ152*VLOOKUP('Données projet'!$B$12,Paramètres!$A$1:$I$89,3,0)*0.475*44/12</f>
        <v>2.8261386782957687E-17</v>
      </c>
      <c r="CN152" s="22">
        <f t="shared" si="120"/>
        <v>0.68902486457693735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-3.0859155231155454E-13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318.40875902853116</v>
      </c>
      <c r="T153" s="59">
        <f t="shared" si="142"/>
        <v>234.87694492493506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-4.0702161641092972E-13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260.20517190557814</v>
      </c>
      <c r="AO153" s="59">
        <f t="shared" si="144"/>
        <v>307.22009971147133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0.30304906762778067</v>
      </c>
      <c r="AV153" s="21">
        <f>EXP(-LN(2)/25)*AV152+(1-EXP(-LN(2)/25))/(LN(2)/25)*Calculateur!AQ153*Calculateur!AS153*VLOOKUP('Données projet'!$B$10,Paramètres!$A$1:$I$89,3,0)*0.475*44/12</f>
        <v>0.73658855922396849</v>
      </c>
      <c r="AW153" s="21">
        <f>EXP(-LN(2)/2)*AW152+(1-EXP(-LN(2)/2))/(LN(2)/2)*AQ153*AT153*VLOOKUP('Données projet'!$B$10,Paramètres!$A$1:$I$89,3,0)*0.475*44/12</f>
        <v>2.0850538529034324E-17</v>
      </c>
      <c r="AX153" s="21">
        <f t="shared" si="114"/>
        <v>1.0396376268517491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-3.4317508834647017E-13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207.93042467236967</v>
      </c>
      <c r="BJ153" s="59">
        <f t="shared" si="146"/>
        <v>250.70954318710835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0.25551195898028534</v>
      </c>
      <c r="BQ153" s="21">
        <f>EXP(-LN(2)/25)*BQ152+(1-EXP(-LN(2)/25))/(LN(2)/25)*Calculateur!BL153*Calculateur!BN153*VLOOKUP('Données projet'!$B$11,Paramètres!$A$1:$I$89,3,0)*0.475*44/12</f>
        <v>0.621045255816288</v>
      </c>
      <c r="BR153" s="21">
        <f>EXP(-LN(2)/2)*BR152+(1-EXP(-LN(2)/2))/(LN(2)/2)*BL153*BO153*VLOOKUP('Données projet'!$B$11,Paramètres!$A$1:$I$89,3,0)*0.475*44/12</f>
        <v>1.7579865818597566E-17</v>
      </c>
      <c r="BS153" s="22">
        <f t="shared" si="117"/>
        <v>0.87655721479657334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-3.2987372833304104E-13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347.8889410585312</v>
      </c>
      <c r="CE153" s="59">
        <f t="shared" si="148"/>
        <v>254.78167322479203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0.23912062576268225</v>
      </c>
      <c r="CL153" s="21">
        <f>EXP(-LN(2)/25)*CL152+(1-EXP(-LN(2)/25))/(LN(2)/25)*Calculateur!CG153*Calculateur!CI153*VLOOKUP('Données projet'!$B$12,Paramètres!$A$1:$I$89,3,0)*0.475*44/12</f>
        <v>0.43294957222874025</v>
      </c>
      <c r="CM153" s="21">
        <f>EXP(-LN(2)/2)*CM152+(1-EXP(-LN(2)/2))/(LN(2)/2)*CG153*CJ153*VLOOKUP('Données projet'!$B$12,Paramètres!$A$1:$I$89,3,0)*0.475*44/12</f>
        <v>1.9983818239965248E-17</v>
      </c>
      <c r="CN153" s="22">
        <f t="shared" si="120"/>
        <v>0.67207019799142254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-3.0859155231155454E-13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318.40875902853116</v>
      </c>
      <c r="T154" s="59">
        <f t="shared" si="142"/>
        <v>234.87694492493506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-4.0702161641092972E-13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260.20517190557814</v>
      </c>
      <c r="AO154" s="59">
        <f t="shared" si="144"/>
        <v>307.22009971147133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0.29710646025327953</v>
      </c>
      <c r="AV154" s="21">
        <f>EXP(-LN(2)/25)*AV153+(1-EXP(-LN(2)/25))/(LN(2)/25)*Calculateur!AQ154*Calculateur!AS154*VLOOKUP('Données projet'!$B$10,Paramètres!$A$1:$I$89,3,0)*0.475*44/12</f>
        <v>0.71644650633648022</v>
      </c>
      <c r="AW154" s="21">
        <f>EXP(-LN(2)/2)*AW153+(1-EXP(-LN(2)/2))/(LN(2)/2)*AQ154*AT154*VLOOKUP('Données projet'!$B$10,Paramètres!$A$1:$I$89,3,0)*0.475*44/12</f>
        <v>1.4743557185271552E-17</v>
      </c>
      <c r="AX154" s="21">
        <f t="shared" ref="AX154:AX203" si="166">SUM(AU154:AW154)</f>
        <v>1.0135529665897598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-3.4317508834647017E-13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207.93042467236967</v>
      </c>
      <c r="BJ154" s="59">
        <f t="shared" si="146"/>
        <v>250.70954318710835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0.25050152531158831</v>
      </c>
      <c r="BQ154" s="21">
        <f>EXP(-LN(2)/25)*BQ153+(1-EXP(-LN(2)/25))/(LN(2)/25)*Calculateur!BL154*Calculateur!BN154*VLOOKUP('Données projet'!$B$11,Paramètres!$A$1:$I$89,3,0)*0.475*44/12</f>
        <v>0.604062740636641</v>
      </c>
      <c r="BR154" s="21">
        <f>EXP(-LN(2)/2)*BR153+(1-EXP(-LN(2)/2))/(LN(2)/2)*BL154*BO154*VLOOKUP('Données projet'!$B$11,Paramètres!$A$1:$I$89,3,0)*0.475*44/12</f>
        <v>1.2430842332679935E-17</v>
      </c>
      <c r="BS154" s="22">
        <f t="shared" ref="BS154:BS203" si="169">SUM(BP154:BR154)</f>
        <v>0.85456426594822932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-3.2987372833304104E-13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347.8889410585312</v>
      </c>
      <c r="CE154" s="59">
        <f t="shared" si="148"/>
        <v>254.78167322479203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0.23443161614065636</v>
      </c>
      <c r="CL154" s="21">
        <f>EXP(-LN(2)/25)*CL153+(1-EXP(-LN(2)/25))/(LN(2)/25)*Calculateur!CG154*Calculateur!CI154*VLOOKUP('Données projet'!$B$12,Paramètres!$A$1:$I$89,3,0)*0.475*44/12</f>
        <v>0.42111054340831688</v>
      </c>
      <c r="CM154" s="21">
        <f>EXP(-LN(2)/2)*CM153+(1-EXP(-LN(2)/2))/(LN(2)/2)*CG154*CJ154*VLOOKUP('Données projet'!$B$12,Paramètres!$A$1:$I$89,3,0)*0.475*44/12</f>
        <v>1.4130693391478843E-17</v>
      </c>
      <c r="CN154" s="22">
        <f t="shared" ref="CN154:CN203" si="172">SUM(CK154:CM154)</f>
        <v>0.65554215954897321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-3.0859155231155454E-13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318.40875902853116</v>
      </c>
      <c r="T155" s="59">
        <f t="shared" si="142"/>
        <v>234.87694492493506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-4.0702161641092972E-13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260.20517190557814</v>
      </c>
      <c r="AO155" s="59">
        <f t="shared" si="144"/>
        <v>307.22009971147133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0.29128038378475979</v>
      </c>
      <c r="AV155" s="21">
        <f>EXP(-LN(2)/25)*AV154+(1-EXP(-LN(2)/25))/(LN(2)/25)*Calculateur!AQ155*Calculateur!AS155*VLOOKUP('Données projet'!$B$10,Paramètres!$A$1:$I$89,3,0)*0.475*44/12</f>
        <v>0.6968552389444248</v>
      </c>
      <c r="AW155" s="21">
        <f>EXP(-LN(2)/2)*AW154+(1-EXP(-LN(2)/2))/(LN(2)/2)*AQ155*AT155*VLOOKUP('Données projet'!$B$10,Paramètres!$A$1:$I$89,3,0)*0.475*44/12</f>
        <v>1.0425269264517162E-17</v>
      </c>
      <c r="AX155" s="21">
        <f t="shared" si="166"/>
        <v>0.98813562272918465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-3.4317508834647017E-13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207.93042467236967</v>
      </c>
      <c r="BJ155" s="59">
        <f t="shared" si="146"/>
        <v>250.70954318710835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0.24558934319107167</v>
      </c>
      <c r="BQ155" s="21">
        <f>EXP(-LN(2)/25)*BQ154+(1-EXP(-LN(2)/25))/(LN(2)/25)*Calculateur!BL155*Calculateur!BN155*VLOOKUP('Données projet'!$B$11,Paramètres!$A$1:$I$89,3,0)*0.475*44/12</f>
        <v>0.58754461322765317</v>
      </c>
      <c r="BR155" s="21">
        <f>EXP(-LN(2)/2)*BR154+(1-EXP(-LN(2)/2))/(LN(2)/2)*BL155*BO155*VLOOKUP('Données projet'!$B$11,Paramètres!$A$1:$I$89,3,0)*0.475*44/12</f>
        <v>8.7899329092987828E-18</v>
      </c>
      <c r="BS155" s="22">
        <f t="shared" si="169"/>
        <v>0.83313395641872479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-3.2987372833304104E-13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347.8889410585312</v>
      </c>
      <c r="CE155" s="59">
        <f t="shared" si="148"/>
        <v>254.78167322479203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0.22983455513730491</v>
      </c>
      <c r="CL155" s="21">
        <f>EXP(-LN(2)/25)*CL154+(1-EXP(-LN(2)/25))/(LN(2)/25)*Calculateur!CG155*Calculateur!CI155*VLOOKUP('Données projet'!$B$12,Paramètres!$A$1:$I$89,3,0)*0.475*44/12</f>
        <v>0.40959525345357545</v>
      </c>
      <c r="CM155" s="21">
        <f>EXP(-LN(2)/2)*CM154+(1-EXP(-LN(2)/2))/(LN(2)/2)*CG155*CJ155*VLOOKUP('Données projet'!$B$12,Paramètres!$A$1:$I$89,3,0)*0.475*44/12</f>
        <v>9.9919091199826239E-18</v>
      </c>
      <c r="CN155" s="22">
        <f t="shared" si="172"/>
        <v>0.63942980859088039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-3.0859155231155454E-13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318.40875902853116</v>
      </c>
      <c r="T156" s="59">
        <f t="shared" si="142"/>
        <v>234.87694492493506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-4.0702161641092972E-13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260.20517190557814</v>
      </c>
      <c r="AO156" s="59">
        <f t="shared" si="144"/>
        <v>307.22009971147133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0.28556855312223195</v>
      </c>
      <c r="AV156" s="21">
        <f>EXP(-LN(2)/25)*AV155+(1-EXP(-LN(2)/25))/(LN(2)/25)*Calculateur!AQ156*Calculateur!AS156*VLOOKUP('Données projet'!$B$10,Paramètres!$A$1:$I$89,3,0)*0.475*44/12</f>
        <v>0.6777996957894652</v>
      </c>
      <c r="AW156" s="21">
        <f>EXP(-LN(2)/2)*AW155+(1-EXP(-LN(2)/2))/(LN(2)/2)*AQ156*AT156*VLOOKUP('Données projet'!$B$10,Paramètres!$A$1:$I$89,3,0)*0.475*44/12</f>
        <v>7.3717785926357759E-18</v>
      </c>
      <c r="AX156" s="21">
        <f t="shared" si="166"/>
        <v>0.96336824891169714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-3.4317508834647017E-13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207.93042467236967</v>
      </c>
      <c r="BJ156" s="59">
        <f t="shared" si="146"/>
        <v>250.70954318710835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0.24077348596580311</v>
      </c>
      <c r="BQ156" s="21">
        <f>EXP(-LN(2)/25)*BQ155+(1-EXP(-LN(2)/25))/(LN(2)/25)*Calculateur!BL156*Calculateur!BN156*VLOOKUP('Données projet'!$B$11,Paramètres!$A$1:$I$89,3,0)*0.475*44/12</f>
        <v>0.57147817488131458</v>
      </c>
      <c r="BR156" s="21">
        <f>EXP(-LN(2)/2)*BR155+(1-EXP(-LN(2)/2))/(LN(2)/2)*BL156*BO156*VLOOKUP('Données projet'!$B$11,Paramètres!$A$1:$I$89,3,0)*0.475*44/12</f>
        <v>6.2154211663399676E-18</v>
      </c>
      <c r="BS156" s="22">
        <f t="shared" si="169"/>
        <v>0.81225166084711775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-3.2987372833304104E-13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347.8889410585312</v>
      </c>
      <c r="CE156" s="59">
        <f t="shared" si="148"/>
        <v>254.78167322479203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0.22532763969629885</v>
      </c>
      <c r="CL156" s="21">
        <f>EXP(-LN(2)/25)*CL155+(1-EXP(-LN(2)/25))/(LN(2)/25)*Calculateur!CG156*Calculateur!CI156*VLOOKUP('Données projet'!$B$12,Paramètres!$A$1:$I$89,3,0)*0.475*44/12</f>
        <v>0.39839484970820921</v>
      </c>
      <c r="CM156" s="21">
        <f>EXP(-LN(2)/2)*CM155+(1-EXP(-LN(2)/2))/(LN(2)/2)*CG156*CJ156*VLOOKUP('Données projet'!$B$12,Paramètres!$A$1:$I$89,3,0)*0.475*44/12</f>
        <v>7.0653466957394217E-18</v>
      </c>
      <c r="CN156" s="22">
        <f t="shared" si="172"/>
        <v>0.62372248940450803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-3.0859155231155454E-13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318.40875902853116</v>
      </c>
      <c r="T157" s="59">
        <f t="shared" si="142"/>
        <v>234.87694492493506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-4.0702161641092972E-13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260.20517190557814</v>
      </c>
      <c r="AO157" s="59">
        <f t="shared" si="144"/>
        <v>307.22009971147133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0.27996872797512357</v>
      </c>
      <c r="AV157" s="21">
        <f>EXP(-LN(2)/25)*AV156+(1-EXP(-LN(2)/25))/(LN(2)/25)*Calculateur!AQ157*Calculateur!AS157*VLOOKUP('Données projet'!$B$10,Paramètres!$A$1:$I$89,3,0)*0.475*44/12</f>
        <v>0.65926522746416538</v>
      </c>
      <c r="AW157" s="21">
        <f>EXP(-LN(2)/2)*AW156+(1-EXP(-LN(2)/2))/(LN(2)/2)*AQ157*AT157*VLOOKUP('Données projet'!$B$10,Paramètres!$A$1:$I$89,3,0)*0.475*44/12</f>
        <v>5.2126346322585809E-18</v>
      </c>
      <c r="AX157" s="21">
        <f t="shared" si="166"/>
        <v>0.939233955439289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-3.4317508834647017E-13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207.93042467236967</v>
      </c>
      <c r="BJ157" s="59">
        <f t="shared" si="146"/>
        <v>250.70954318710835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0.2360520647633392</v>
      </c>
      <c r="BQ157" s="21">
        <f>EXP(-LN(2)/25)*BQ156+(1-EXP(-LN(2)/25))/(LN(2)/25)*Calculateur!BL157*Calculateur!BN157*VLOOKUP('Données projet'!$B$11,Paramètres!$A$1:$I$89,3,0)*0.475*44/12</f>
        <v>0.55585107413645396</v>
      </c>
      <c r="BR157" s="21">
        <f>EXP(-LN(2)/2)*BR156+(1-EXP(-LN(2)/2))/(LN(2)/2)*BL157*BO157*VLOOKUP('Données projet'!$B$11,Paramètres!$A$1:$I$89,3,0)*0.475*44/12</f>
        <v>4.3949664546493914E-18</v>
      </c>
      <c r="BS157" s="22">
        <f t="shared" si="169"/>
        <v>0.79190313889979314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-3.2987372833304104E-13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347.8889410585312</v>
      </c>
      <c r="CE157" s="59">
        <f t="shared" si="148"/>
        <v>254.78167322479203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0.22090910211814394</v>
      </c>
      <c r="CL157" s="21">
        <f>EXP(-LN(2)/25)*CL156+(1-EXP(-LN(2)/25))/(LN(2)/25)*Calculateur!CG157*Calculateur!CI157*VLOOKUP('Données projet'!$B$12,Paramètres!$A$1:$I$89,3,0)*0.475*44/12</f>
        <v>0.38750072159226362</v>
      </c>
      <c r="CM157" s="21">
        <f>EXP(-LN(2)/2)*CM156+(1-EXP(-LN(2)/2))/(LN(2)/2)*CG157*CJ157*VLOOKUP('Données projet'!$B$12,Paramètres!$A$1:$I$89,3,0)*0.475*44/12</f>
        <v>4.9959545599913119E-18</v>
      </c>
      <c r="CN157" s="22">
        <f t="shared" si="172"/>
        <v>0.60840982371040753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-3.0859155231155454E-13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318.40875902853116</v>
      </c>
      <c r="T158" s="59">
        <f t="shared" si="142"/>
        <v>234.87694492493506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-4.0702161641092972E-13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260.20517190557814</v>
      </c>
      <c r="AO158" s="59">
        <f t="shared" si="144"/>
        <v>307.22009971147133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0.27447871198359391</v>
      </c>
      <c r="AV158" s="21">
        <f>EXP(-LN(2)/25)*AV157+(1-EXP(-LN(2)/25))/(LN(2)/25)*Calculateur!AQ158*Calculateur!AS158*VLOOKUP('Données projet'!$B$10,Paramètres!$A$1:$I$89,3,0)*0.475*44/12</f>
        <v>0.64123758514990625</v>
      </c>
      <c r="AW158" s="21">
        <f>EXP(-LN(2)/2)*AW157+(1-EXP(-LN(2)/2))/(LN(2)/2)*AQ158*AT158*VLOOKUP('Données projet'!$B$10,Paramètres!$A$1:$I$89,3,0)*0.475*44/12</f>
        <v>3.6858892963178879E-18</v>
      </c>
      <c r="AX158" s="21">
        <f t="shared" si="166"/>
        <v>0.91571629713350022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-3.4317508834647017E-13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207.93042467236967</v>
      </c>
      <c r="BJ158" s="59">
        <f t="shared" si="146"/>
        <v>250.70954318710835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0.23142322775087301</v>
      </c>
      <c r="BQ158" s="21">
        <f>EXP(-LN(2)/25)*BQ157+(1-EXP(-LN(2)/25))/(LN(2)/25)*Calculateur!BL158*Calculateur!BN158*VLOOKUP('Données projet'!$B$11,Paramètres!$A$1:$I$89,3,0)*0.475*44/12</f>
        <v>0.54065129728325501</v>
      </c>
      <c r="BR158" s="21">
        <f>EXP(-LN(2)/2)*BR157+(1-EXP(-LN(2)/2))/(LN(2)/2)*BL158*BO158*VLOOKUP('Données projet'!$B$11,Paramètres!$A$1:$I$89,3,0)*0.475*44/12</f>
        <v>3.1077105831699838E-18</v>
      </c>
      <c r="BS158" s="22">
        <f t="shared" si="169"/>
        <v>0.77207452503412799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-3.2987372833304104E-13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347.8889410585312</v>
      </c>
      <c r="CE158" s="59">
        <f t="shared" si="148"/>
        <v>254.78167322479203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0.21657720936685484</v>
      </c>
      <c r="CL158" s="21">
        <f>EXP(-LN(2)/25)*CL157+(1-EXP(-LN(2)/25))/(LN(2)/25)*Calculateur!CG158*Calculateur!CI158*VLOOKUP('Données projet'!$B$12,Paramètres!$A$1:$I$89,3,0)*0.475*44/12</f>
        <v>0.37690449398254589</v>
      </c>
      <c r="CM158" s="21">
        <f>EXP(-LN(2)/2)*CM157+(1-EXP(-LN(2)/2))/(LN(2)/2)*CG158*CJ158*VLOOKUP('Données projet'!$B$12,Paramètres!$A$1:$I$89,3,0)*0.475*44/12</f>
        <v>3.5326733478697109E-18</v>
      </c>
      <c r="CN158" s="22">
        <f t="shared" si="172"/>
        <v>0.59348170334940076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-3.0859155231155454E-13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318.40875902853116</v>
      </c>
      <c r="T159" s="59">
        <f t="shared" si="142"/>
        <v>234.87694492493506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-4.0702161641092972E-13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260.20517190557814</v>
      </c>
      <c r="AO159" s="59">
        <f t="shared" si="144"/>
        <v>307.22009971147133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0.26909635185707903</v>
      </c>
      <c r="AV159" s="21">
        <f>EXP(-LN(2)/25)*AV158+(1-EXP(-LN(2)/25))/(LN(2)/25)*Calculateur!AQ159*Calculateur!AS159*VLOOKUP('Données projet'!$B$10,Paramètres!$A$1:$I$89,3,0)*0.475*44/12</f>
        <v>0.62370290966276298</v>
      </c>
      <c r="AW159" s="21">
        <f>EXP(-LN(2)/2)*AW158+(1-EXP(-LN(2)/2))/(LN(2)/2)*AQ159*AT159*VLOOKUP('Données projet'!$B$10,Paramètres!$A$1:$I$89,3,0)*0.475*44/12</f>
        <v>2.6063173161292904E-18</v>
      </c>
      <c r="AX159" s="21">
        <f t="shared" si="166"/>
        <v>0.89279926151984201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-3.4317508834647017E-13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207.93042467236967</v>
      </c>
      <c r="BJ159" s="59">
        <f t="shared" si="146"/>
        <v>250.70954318710835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0.22688515940890949</v>
      </c>
      <c r="BQ159" s="21">
        <f>EXP(-LN(2)/25)*BQ158+(1-EXP(-LN(2)/25))/(LN(2)/25)*Calculateur!BL159*Calculateur!BN159*VLOOKUP('Données projet'!$B$11,Paramètres!$A$1:$I$89,3,0)*0.475*44/12</f>
        <v>0.52586715912742832</v>
      </c>
      <c r="BR159" s="21">
        <f>EXP(-LN(2)/2)*BR158+(1-EXP(-LN(2)/2))/(LN(2)/2)*BL159*BO159*VLOOKUP('Données projet'!$B$11,Paramètres!$A$1:$I$89,3,0)*0.475*44/12</f>
        <v>2.1974832273246957E-18</v>
      </c>
      <c r="BS159" s="22">
        <f t="shared" si="169"/>
        <v>0.75275231853633784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-3.2987372833304104E-13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347.8889410585312</v>
      </c>
      <c r="CE159" s="59">
        <f t="shared" si="148"/>
        <v>254.78167322479203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0.21233026239022484</v>
      </c>
      <c r="CL159" s="21">
        <f>EXP(-LN(2)/25)*CL158+(1-EXP(-LN(2)/25))/(LN(2)/25)*Calculateur!CG159*Calculateur!CI159*VLOOKUP('Données projet'!$B$12,Paramètres!$A$1:$I$89,3,0)*0.475*44/12</f>
        <v>0.36659802077404724</v>
      </c>
      <c r="CM159" s="21">
        <f>EXP(-LN(2)/2)*CM158+(1-EXP(-LN(2)/2))/(LN(2)/2)*CG159*CJ159*VLOOKUP('Données projet'!$B$12,Paramètres!$A$1:$I$89,3,0)*0.475*44/12</f>
        <v>2.497977279995656E-18</v>
      </c>
      <c r="CN159" s="22">
        <f t="shared" si="172"/>
        <v>0.57892828316427214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-3.0859155231155454E-13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318.40875902853116</v>
      </c>
      <c r="T160" s="59">
        <f t="shared" si="142"/>
        <v>234.87694492493506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-4.0702161641092972E-13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260.20517190557814</v>
      </c>
      <c r="AO160" s="59">
        <f t="shared" si="144"/>
        <v>307.22009971147133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0.26381953652972961</v>
      </c>
      <c r="AV160" s="21">
        <f>EXP(-LN(2)/25)*AV159+(1-EXP(-LN(2)/25))/(LN(2)/25)*Calculateur!AQ160*Calculateur!AS160*VLOOKUP('Données projet'!$B$10,Paramètres!$A$1:$I$89,3,0)*0.475*44/12</f>
        <v>0.60664772079892415</v>
      </c>
      <c r="AW160" s="21">
        <f>EXP(-LN(2)/2)*AW159+(1-EXP(-LN(2)/2))/(LN(2)/2)*AQ160*AT160*VLOOKUP('Données projet'!$B$10,Paramètres!$A$1:$I$89,3,0)*0.475*44/12</f>
        <v>1.842944648158944E-18</v>
      </c>
      <c r="AX160" s="21">
        <f t="shared" si="166"/>
        <v>0.87046725732865382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-3.4317508834647017E-13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207.93042467236967</v>
      </c>
      <c r="BJ160" s="59">
        <f t="shared" si="146"/>
        <v>250.70954318710835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0.22243607981918351</v>
      </c>
      <c r="BQ160" s="21">
        <f>EXP(-LN(2)/25)*BQ159+(1-EXP(-LN(2)/25))/(LN(2)/25)*Calculateur!BL160*Calculateur!BN160*VLOOKUP('Données projet'!$B$11,Paramètres!$A$1:$I$89,3,0)*0.475*44/12</f>
        <v>0.51148729400693682</v>
      </c>
      <c r="BR160" s="21">
        <f>EXP(-LN(2)/2)*BR159+(1-EXP(-LN(2)/2))/(LN(2)/2)*BL160*BO160*VLOOKUP('Données projet'!$B$11,Paramètres!$A$1:$I$89,3,0)*0.475*44/12</f>
        <v>1.5538552915849919E-18</v>
      </c>
      <c r="BS160" s="22">
        <f t="shared" si="169"/>
        <v>0.73392337382612038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-3.2987372833304104E-13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347.8889410585312</v>
      </c>
      <c r="CE160" s="59">
        <f t="shared" si="148"/>
        <v>254.78167322479203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0.20816659545342467</v>
      </c>
      <c r="CL160" s="21">
        <f>EXP(-LN(2)/25)*CL159+(1-EXP(-LN(2)/25))/(LN(2)/25)*Calculateur!CG160*Calculateur!CI160*VLOOKUP('Données projet'!$B$12,Paramètres!$A$1:$I$89,3,0)*0.475*44/12</f>
        <v>0.35657337861742888</v>
      </c>
      <c r="CM160" s="21">
        <f>EXP(-LN(2)/2)*CM159+(1-EXP(-LN(2)/2))/(LN(2)/2)*CG160*CJ160*VLOOKUP('Données projet'!$B$12,Paramètres!$A$1:$I$89,3,0)*0.475*44/12</f>
        <v>1.7663366739348554E-18</v>
      </c>
      <c r="CN160" s="22">
        <f t="shared" si="172"/>
        <v>0.56473997407085352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-3.0859155231155454E-13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318.40875902853116</v>
      </c>
      <c r="T161" s="59">
        <f t="shared" si="142"/>
        <v>234.87694492493506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-4.0702161641092972E-13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260.20517190557814</v>
      </c>
      <c r="AO161" s="59">
        <f t="shared" si="144"/>
        <v>307.22009971147133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0.25864619633240998</v>
      </c>
      <c r="AV161" s="21">
        <f>EXP(-LN(2)/25)*AV160+(1-EXP(-LN(2)/25))/(LN(2)/25)*Calculateur!AQ161*Calculateur!AS161*VLOOKUP('Données projet'!$B$10,Paramètres!$A$1:$I$89,3,0)*0.475*44/12</f>
        <v>0.59005890697146046</v>
      </c>
      <c r="AW161" s="21">
        <f>EXP(-LN(2)/2)*AW160+(1-EXP(-LN(2)/2))/(LN(2)/2)*AQ161*AT161*VLOOKUP('Données projet'!$B$10,Paramètres!$A$1:$I$89,3,0)*0.475*44/12</f>
        <v>1.3031586580646452E-18</v>
      </c>
      <c r="AX161" s="21">
        <f t="shared" si="166"/>
        <v>0.84870510330387039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-3.4317508834647017E-13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207.93042467236967</v>
      </c>
      <c r="BJ161" s="59">
        <f t="shared" si="146"/>
        <v>250.70954318710835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0.21807424396654146</v>
      </c>
      <c r="BQ161" s="21">
        <f>EXP(-LN(2)/25)*BQ160+(1-EXP(-LN(2)/25))/(LN(2)/25)*Calculateur!BL161*Calculateur!BN161*VLOOKUP('Données projet'!$B$11,Paramètres!$A$1:$I$89,3,0)*0.475*44/12</f>
        <v>0.49750064705436936</v>
      </c>
      <c r="BR161" s="21">
        <f>EXP(-LN(2)/2)*BR160+(1-EXP(-LN(2)/2))/(LN(2)/2)*BL161*BO161*VLOOKUP('Données projet'!$B$11,Paramètres!$A$1:$I$89,3,0)*0.475*44/12</f>
        <v>1.0987416136623479E-18</v>
      </c>
      <c r="BS161" s="22">
        <f t="shared" si="169"/>
        <v>0.71557489102091076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-3.2987372833304104E-13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347.8889410585312</v>
      </c>
      <c r="CE161" s="59">
        <f t="shared" si="148"/>
        <v>254.78167322479203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0.20408457548566908</v>
      </c>
      <c r="CL161" s="21">
        <f>EXP(-LN(2)/25)*CL160+(1-EXP(-LN(2)/25))/(LN(2)/25)*Calculateur!CG161*Calculateur!CI161*VLOOKUP('Données projet'!$B$12,Paramètres!$A$1:$I$89,3,0)*0.475*44/12</f>
        <v>0.34682286082775626</v>
      </c>
      <c r="CM161" s="21">
        <f>EXP(-LN(2)/2)*CM160+(1-EXP(-LN(2)/2))/(LN(2)/2)*CG161*CJ161*VLOOKUP('Données projet'!$B$12,Paramètres!$A$1:$I$89,3,0)*0.475*44/12</f>
        <v>1.248988639997828E-18</v>
      </c>
      <c r="CN161" s="22">
        <f t="shared" si="172"/>
        <v>0.55090743631342531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-3.0859155231155454E-13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318.40875902853116</v>
      </c>
      <c r="T162" s="59">
        <f t="shared" si="142"/>
        <v>234.87694492493506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-4.0702161641092972E-13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260.20517190557814</v>
      </c>
      <c r="AO162" s="59">
        <f t="shared" si="144"/>
        <v>307.22009971147133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0.2535743021809338</v>
      </c>
      <c r="AV162" s="21">
        <f>EXP(-LN(2)/25)*AV161+(1-EXP(-LN(2)/25))/(LN(2)/25)*Calculateur!AQ162*Calculateur!AS162*VLOOKUP('Données projet'!$B$10,Paramètres!$A$1:$I$89,3,0)*0.475*44/12</f>
        <v>0.57392371513047657</v>
      </c>
      <c r="AW162" s="21">
        <f>EXP(-LN(2)/2)*AW161+(1-EXP(-LN(2)/2))/(LN(2)/2)*AQ162*AT162*VLOOKUP('Données projet'!$B$10,Paramètres!$A$1:$I$89,3,0)*0.475*44/12</f>
        <v>9.2147232407947199E-19</v>
      </c>
      <c r="AX162" s="21">
        <f t="shared" si="166"/>
        <v>0.82749801731141037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-3.4317508834647017E-13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207.93042467236967</v>
      </c>
      <c r="BJ162" s="59">
        <f t="shared" si="146"/>
        <v>250.70954318710835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0.21379794105451255</v>
      </c>
      <c r="BQ162" s="21">
        <f>EXP(-LN(2)/25)*BQ161+(1-EXP(-LN(2)/25))/(LN(2)/25)*Calculateur!BL162*Calculateur!BN162*VLOOKUP('Données projet'!$B$11,Paramètres!$A$1:$I$89,3,0)*0.475*44/12</f>
        <v>0.48389646569824568</v>
      </c>
      <c r="BR162" s="21">
        <f>EXP(-LN(2)/2)*BR161+(1-EXP(-LN(2)/2))/(LN(2)/2)*BL162*BO162*VLOOKUP('Données projet'!$B$11,Paramètres!$A$1:$I$89,3,0)*0.475*44/12</f>
        <v>7.7692764579249595E-19</v>
      </c>
      <c r="BS162" s="22">
        <f t="shared" si="169"/>
        <v>0.69769440675275818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-3.2987372833304104E-13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347.8889410585312</v>
      </c>
      <c r="CE162" s="59">
        <f t="shared" si="148"/>
        <v>254.78167322479203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0.20008260143969483</v>
      </c>
      <c r="CL162" s="21">
        <f>EXP(-LN(2)/25)*CL161+(1-EXP(-LN(2)/25))/(LN(2)/25)*Calculateur!CG162*Calculateur!CI162*VLOOKUP('Données projet'!$B$12,Paramètres!$A$1:$I$89,3,0)*0.475*44/12</f>
        <v>0.33733897145979969</v>
      </c>
      <c r="CM162" s="21">
        <f>EXP(-LN(2)/2)*CM161+(1-EXP(-LN(2)/2))/(LN(2)/2)*CG162*CJ162*VLOOKUP('Données projet'!$B$12,Paramètres!$A$1:$I$89,3,0)*0.475*44/12</f>
        <v>8.8316833696742771E-19</v>
      </c>
      <c r="CN162" s="22">
        <f t="shared" si="172"/>
        <v>0.53742157289949455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-3.0859155231155454E-13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318.40875902853116</v>
      </c>
      <c r="T163" s="59">
        <f t="shared" si="142"/>
        <v>234.87694492493506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-4.0702161641092972E-13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260.20517190557814</v>
      </c>
      <c r="AO163" s="59">
        <f t="shared" si="144"/>
        <v>307.22009971147133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0.24860186478021812</v>
      </c>
      <c r="AV163" s="21">
        <f>EXP(-LN(2)/25)*AV162+(1-EXP(-LN(2)/25))/(LN(2)/25)*Calculateur!AQ163*Calculateur!AS163*VLOOKUP('Données projet'!$B$10,Paramètres!$A$1:$I$89,3,0)*0.475*44/12</f>
        <v>0.55822974095889721</v>
      </c>
      <c r="AW163" s="21">
        <f>EXP(-LN(2)/2)*AW162+(1-EXP(-LN(2)/2))/(LN(2)/2)*AQ163*AT163*VLOOKUP('Données projet'!$B$10,Paramètres!$A$1:$I$89,3,0)*0.475*44/12</f>
        <v>6.5157932903232261E-19</v>
      </c>
      <c r="AX163" s="21">
        <f t="shared" si="166"/>
        <v>0.80683160573911539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-3.4317508834647017E-13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207.93042467236967</v>
      </c>
      <c r="BJ163" s="59">
        <f t="shared" si="146"/>
        <v>250.70954318710835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0.2096054938343013</v>
      </c>
      <c r="BQ163" s="21">
        <f>EXP(-LN(2)/25)*BQ162+(1-EXP(-LN(2)/25))/(LN(2)/25)*Calculateur!BL163*Calculateur!BN163*VLOOKUP('Données projet'!$B$11,Paramètres!$A$1:$I$89,3,0)*0.475*44/12</f>
        <v>0.470664291396718</v>
      </c>
      <c r="BR163" s="21">
        <f>EXP(-LN(2)/2)*BR162+(1-EXP(-LN(2)/2))/(LN(2)/2)*BL163*BO163*VLOOKUP('Données projet'!$B$11,Paramètres!$A$1:$I$89,3,0)*0.475*44/12</f>
        <v>5.4937080683117393E-19</v>
      </c>
      <c r="BS163" s="22">
        <f t="shared" si="169"/>
        <v>0.68026978523101933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-3.2987372833304104E-13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347.8889410585312</v>
      </c>
      <c r="CE163" s="59">
        <f t="shared" si="148"/>
        <v>254.78167322479203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0.19615910366379902</v>
      </c>
      <c r="CL163" s="21">
        <f>EXP(-LN(2)/25)*CL162+(1-EXP(-LN(2)/25))/(LN(2)/25)*Calculateur!CG163*Calculateur!CI163*VLOOKUP('Données projet'!$B$12,Paramètres!$A$1:$I$89,3,0)*0.475*44/12</f>
        <v>0.32811441954534593</v>
      </c>
      <c r="CM163" s="21">
        <f>EXP(-LN(2)/2)*CM162+(1-EXP(-LN(2)/2))/(LN(2)/2)*CG163*CJ163*VLOOKUP('Données projet'!$B$12,Paramètres!$A$1:$I$89,3,0)*0.475*44/12</f>
        <v>6.2449431999891399E-19</v>
      </c>
      <c r="CN163" s="22">
        <f t="shared" si="172"/>
        <v>0.52427352320914489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-3.0859155231155454E-13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318.40875902853116</v>
      </c>
      <c r="T164" s="59">
        <f t="shared" si="142"/>
        <v>234.87694492493506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-4.0702161641092972E-13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260.20517190557814</v>
      </c>
      <c r="AO164" s="59">
        <f t="shared" si="144"/>
        <v>307.22009971147133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0.24372693384404312</v>
      </c>
      <c r="AV164" s="21">
        <f>EXP(-LN(2)/25)*AV163+(1-EXP(-LN(2)/25))/(LN(2)/25)*Calculateur!AQ164*Calculateur!AS164*VLOOKUP('Données projet'!$B$10,Paramètres!$A$1:$I$89,3,0)*0.475*44/12</f>
        <v>0.54296491933634994</v>
      </c>
      <c r="AW164" s="21">
        <f>EXP(-LN(2)/2)*AW163+(1-EXP(-LN(2)/2))/(LN(2)/2)*AQ164*AT164*VLOOKUP('Données projet'!$B$10,Paramètres!$A$1:$I$89,3,0)*0.475*44/12</f>
        <v>4.6073616203973599E-19</v>
      </c>
      <c r="AX164" s="21">
        <f t="shared" si="166"/>
        <v>0.78669185318039303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-3.4317508834647017E-13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207.93042467236967</v>
      </c>
      <c r="BJ164" s="59">
        <f t="shared" si="146"/>
        <v>250.70954318710835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0.20549525794693807</v>
      </c>
      <c r="BQ164" s="21">
        <f>EXP(-LN(2)/25)*BQ163+(1-EXP(-LN(2)/25))/(LN(2)/25)*Calculateur!BL164*Calculateur!BN164*VLOOKUP('Données projet'!$B$11,Paramètres!$A$1:$I$89,3,0)*0.475*44/12</f>
        <v>0.4577939515973154</v>
      </c>
      <c r="BR164" s="21">
        <f>EXP(-LN(2)/2)*BR163+(1-EXP(-LN(2)/2))/(LN(2)/2)*BL164*BO164*VLOOKUP('Données projet'!$B$11,Paramètres!$A$1:$I$89,3,0)*0.475*44/12</f>
        <v>3.8846382289624797E-19</v>
      </c>
      <c r="BS164" s="22">
        <f t="shared" si="169"/>
        <v>0.66328920954425352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-3.2987372833304104E-13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347.8889410585312</v>
      </c>
      <c r="CE164" s="59">
        <f t="shared" si="148"/>
        <v>254.78167322479203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0.19231254328619116</v>
      </c>
      <c r="CL164" s="21">
        <f>EXP(-LN(2)/25)*CL163+(1-EXP(-LN(2)/25))/(LN(2)/25)*Calculateur!CG164*Calculateur!CI164*VLOOKUP('Données projet'!$B$12,Paramètres!$A$1:$I$89,3,0)*0.475*44/12</f>
        <v>0.31914211348809102</v>
      </c>
      <c r="CM164" s="21">
        <f>EXP(-LN(2)/2)*CM163+(1-EXP(-LN(2)/2))/(LN(2)/2)*CG164*CJ164*VLOOKUP('Données projet'!$B$12,Paramètres!$A$1:$I$89,3,0)*0.475*44/12</f>
        <v>4.4158416848371386E-19</v>
      </c>
      <c r="CN164" s="22">
        <f t="shared" si="172"/>
        <v>0.51145465677428215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-3.0859155231155454E-13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318.40875902853116</v>
      </c>
      <c r="T165" s="59">
        <f t="shared" si="142"/>
        <v>234.87694492493506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-4.0702161641092972E-13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260.20517190557814</v>
      </c>
      <c r="AO165" s="59">
        <f t="shared" si="144"/>
        <v>307.22009971147133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0.23894759733011225</v>
      </c>
      <c r="AV165" s="21">
        <f>EXP(-LN(2)/25)*AV164+(1-EXP(-LN(2)/25))/(LN(2)/25)*Calculateur!AQ165*Calculateur!AS165*VLOOKUP('Données projet'!$B$10,Paramètres!$A$1:$I$89,3,0)*0.475*44/12</f>
        <v>0.52811751506381333</v>
      </c>
      <c r="AW165" s="21">
        <f>EXP(-LN(2)/2)*AW164+(1-EXP(-LN(2)/2))/(LN(2)/2)*AQ165*AT165*VLOOKUP('Données projet'!$B$10,Paramètres!$A$1:$I$89,3,0)*0.475*44/12</f>
        <v>3.2578966451616131E-19</v>
      </c>
      <c r="AX165" s="21">
        <f t="shared" si="166"/>
        <v>0.76706511239392561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-3.4317508834647017E-13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207.93042467236967</v>
      </c>
      <c r="BJ165" s="59">
        <f t="shared" si="146"/>
        <v>250.70954318710835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0.2014656212783297</v>
      </c>
      <c r="BQ165" s="21">
        <f>EXP(-LN(2)/25)*BQ164+(1-EXP(-LN(2)/25))/(LN(2)/25)*Calculateur!BL165*Calculateur!BN165*VLOOKUP('Données projet'!$B$11,Paramètres!$A$1:$I$89,3,0)*0.475*44/12</f>
        <v>0.44527555191654922</v>
      </c>
      <c r="BR165" s="21">
        <f>EXP(-LN(2)/2)*BR164+(1-EXP(-LN(2)/2))/(LN(2)/2)*BL165*BO165*VLOOKUP('Données projet'!$B$11,Paramètres!$A$1:$I$89,3,0)*0.475*44/12</f>
        <v>2.7468540341558696E-19</v>
      </c>
      <c r="BS165" s="22">
        <f t="shared" si="169"/>
        <v>0.64674117319487889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-3.2987372833304104E-13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347.8889410585312</v>
      </c>
      <c r="CE165" s="59">
        <f t="shared" si="148"/>
        <v>254.78167322479203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0.18854141161141802</v>
      </c>
      <c r="CL165" s="21">
        <f>EXP(-LN(2)/25)*CL164+(1-EXP(-LN(2)/25))/(LN(2)/25)*Calculateur!CG165*Calculateur!CI165*VLOOKUP('Données projet'!$B$12,Paramètres!$A$1:$I$89,3,0)*0.475*44/12</f>
        <v>0.31041515561180483</v>
      </c>
      <c r="CM165" s="21">
        <f>EXP(-LN(2)/2)*CM164+(1-EXP(-LN(2)/2))/(LN(2)/2)*CG165*CJ165*VLOOKUP('Données projet'!$B$12,Paramètres!$A$1:$I$89,3,0)*0.475*44/12</f>
        <v>3.12247159999457E-19</v>
      </c>
      <c r="CN165" s="22">
        <f t="shared" si="172"/>
        <v>0.49895656722322285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-3.0859155231155454E-13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318.40875902853116</v>
      </c>
      <c r="T166" s="59">
        <f t="shared" si="142"/>
        <v>234.87694492493506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-4.0702161641092972E-13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260.20517190557814</v>
      </c>
      <c r="AO166" s="59">
        <f t="shared" si="144"/>
        <v>307.22009971147133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0.23426198069011214</v>
      </c>
      <c r="AV166" s="21">
        <f>EXP(-LN(2)/25)*AV165+(1-EXP(-LN(2)/25))/(LN(2)/25)*Calculateur!AQ166*Calculateur!AS166*VLOOKUP('Données projet'!$B$10,Paramètres!$A$1:$I$89,3,0)*0.475*44/12</f>
        <v>0.51367611384190026</v>
      </c>
      <c r="AW166" s="21">
        <f>EXP(-LN(2)/2)*AW165+(1-EXP(-LN(2)/2))/(LN(2)/2)*AQ166*AT166*VLOOKUP('Données projet'!$B$10,Paramètres!$A$1:$I$89,3,0)*0.475*44/12</f>
        <v>2.30368081019868E-19</v>
      </c>
      <c r="AX166" s="21">
        <f t="shared" si="166"/>
        <v>0.74793809453201243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-3.4317508834647017E-13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207.93042467236967</v>
      </c>
      <c r="BJ166" s="59">
        <f t="shared" si="146"/>
        <v>250.70954318710835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0.19751500332695707</v>
      </c>
      <c r="BQ166" s="21">
        <f>EXP(-LN(2)/25)*BQ165+(1-EXP(-LN(2)/25))/(LN(2)/25)*Calculateur!BL166*Calculateur!BN166*VLOOKUP('Données projet'!$B$11,Paramètres!$A$1:$I$89,3,0)*0.475*44/12</f>
        <v>0.43309946853336762</v>
      </c>
      <c r="BR166" s="21">
        <f>EXP(-LN(2)/2)*BR165+(1-EXP(-LN(2)/2))/(LN(2)/2)*BL166*BO166*VLOOKUP('Données projet'!$B$11,Paramètres!$A$1:$I$89,3,0)*0.475*44/12</f>
        <v>1.9423191144812399E-19</v>
      </c>
      <c r="BS166" s="22">
        <f t="shared" si="169"/>
        <v>0.63061447186032471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-3.2987372833304104E-13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347.8889410585312</v>
      </c>
      <c r="CE166" s="59">
        <f t="shared" si="148"/>
        <v>254.78167322479203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0.184844229528624</v>
      </c>
      <c r="CL166" s="21">
        <f>EXP(-LN(2)/25)*CL165+(1-EXP(-LN(2)/25))/(LN(2)/25)*Calculateur!CG166*Calculateur!CI166*VLOOKUP('Données projet'!$B$12,Paramètres!$A$1:$I$89,3,0)*0.475*44/12</f>
        <v>0.30192683685757643</v>
      </c>
      <c r="CM166" s="21">
        <f>EXP(-LN(2)/2)*CM165+(1-EXP(-LN(2)/2))/(LN(2)/2)*CG166*CJ166*VLOOKUP('Données projet'!$B$12,Paramètres!$A$1:$I$89,3,0)*0.475*44/12</f>
        <v>2.2079208424185693E-19</v>
      </c>
      <c r="CN166" s="22">
        <f t="shared" si="172"/>
        <v>0.48677106638620043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-3.0859155231155454E-13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318.40875902853116</v>
      </c>
      <c r="T167" s="59">
        <f t="shared" si="142"/>
        <v>234.87694492493506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-4.0702161641092972E-13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260.20517190557814</v>
      </c>
      <c r="AO167" s="59">
        <f t="shared" si="144"/>
        <v>307.22009971147133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0.22966824613447848</v>
      </c>
      <c r="AV167" s="21">
        <f>EXP(-LN(2)/25)*AV166+(1-EXP(-LN(2)/25))/(LN(2)/25)*Calculateur!AQ167*Calculateur!AS167*VLOOKUP('Données projet'!$B$10,Paramètres!$A$1:$I$89,3,0)*0.475*44/12</f>
        <v>0.49962961349584067</v>
      </c>
      <c r="AW167" s="21">
        <f>EXP(-LN(2)/2)*AW166+(1-EXP(-LN(2)/2))/(LN(2)/2)*AQ167*AT167*VLOOKUP('Données projet'!$B$10,Paramètres!$A$1:$I$89,3,0)*0.475*44/12</f>
        <v>1.6289483225808065E-19</v>
      </c>
      <c r="AX167" s="21">
        <f t="shared" si="166"/>
        <v>0.72929785963031912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-3.4317508834647017E-13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207.93042467236967</v>
      </c>
      <c r="BJ167" s="59">
        <f t="shared" si="146"/>
        <v>250.70954318710835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0.19364185458397182</v>
      </c>
      <c r="BQ167" s="21">
        <f>EXP(-LN(2)/25)*BQ166+(1-EXP(-LN(2)/25))/(LN(2)/25)*Calculateur!BL167*Calculateur!BN167*VLOOKUP('Données projet'!$B$11,Paramètres!$A$1:$I$89,3,0)*0.475*44/12</f>
        <v>0.42125634079061147</v>
      </c>
      <c r="BR167" s="21">
        <f>EXP(-LN(2)/2)*BR166+(1-EXP(-LN(2)/2))/(LN(2)/2)*BL167*BO167*VLOOKUP('Données projet'!$B$11,Paramètres!$A$1:$I$89,3,0)*0.475*44/12</f>
        <v>1.3734270170779348E-19</v>
      </c>
      <c r="BS167" s="22">
        <f t="shared" si="169"/>
        <v>0.61489819537458335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-3.2987372833304104E-13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347.8889410585312</v>
      </c>
      <c r="CE167" s="59">
        <f t="shared" si="148"/>
        <v>254.78167322479203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0.18121954693141518</v>
      </c>
      <c r="CL167" s="21">
        <f>EXP(-LN(2)/25)*CL166+(1-EXP(-LN(2)/25))/(LN(2)/25)*Calculateur!CG167*Calculateur!CI167*VLOOKUP('Données projet'!$B$12,Paramètres!$A$1:$I$89,3,0)*0.475*44/12</f>
        <v>0.29367063162606372</v>
      </c>
      <c r="CM167" s="21">
        <f>EXP(-LN(2)/2)*CM166+(1-EXP(-LN(2)/2))/(LN(2)/2)*CG167*CJ167*VLOOKUP('Données projet'!$B$12,Paramètres!$A$1:$I$89,3,0)*0.475*44/12</f>
        <v>1.561235799997285E-19</v>
      </c>
      <c r="CN167" s="22">
        <f t="shared" si="172"/>
        <v>0.47489017855747889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-3.0859155231155454E-13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318.40875902853116</v>
      </c>
      <c r="T168" s="59">
        <f t="shared" si="142"/>
        <v>234.87694492493506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-4.0702161641092972E-13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260.20517190557814</v>
      </c>
      <c r="AO168" s="59">
        <f t="shared" si="144"/>
        <v>307.22009971147133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0.22516459191157936</v>
      </c>
      <c r="AV168" s="21">
        <f>EXP(-LN(2)/25)*AV167+(1-EXP(-LN(2)/25))/(LN(2)/25)*Calculateur!AQ168*Calculateur!AS168*VLOOKUP('Données projet'!$B$10,Paramètres!$A$1:$I$89,3,0)*0.475*44/12</f>
        <v>0.48596721544041743</v>
      </c>
      <c r="AW168" s="21">
        <f>EXP(-LN(2)/2)*AW167+(1-EXP(-LN(2)/2))/(LN(2)/2)*AQ168*AT168*VLOOKUP('Données projet'!$B$10,Paramètres!$A$1:$I$89,3,0)*0.475*44/12</f>
        <v>1.15184040509934E-19</v>
      </c>
      <c r="AX168" s="21">
        <f t="shared" si="166"/>
        <v>0.71113180735199677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-3.4317508834647017E-13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207.93042467236967</v>
      </c>
      <c r="BJ168" s="59">
        <f t="shared" si="146"/>
        <v>250.70954318710835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0.18984465592544905</v>
      </c>
      <c r="BQ168" s="21">
        <f>EXP(-LN(2)/25)*BQ167+(1-EXP(-LN(2)/25))/(LN(2)/25)*Calculateur!BL168*Calculateur!BN168*VLOOKUP('Données projet'!$B$11,Paramètres!$A$1:$I$89,3,0)*0.475*44/12</f>
        <v>0.40973706399878401</v>
      </c>
      <c r="BR168" s="21">
        <f>EXP(-LN(2)/2)*BR167+(1-EXP(-LN(2)/2))/(LN(2)/2)*BL168*BO168*VLOOKUP('Données projet'!$B$11,Paramètres!$A$1:$I$89,3,0)*0.475*44/12</f>
        <v>9.7115955724061993E-20</v>
      </c>
      <c r="BS168" s="22">
        <f t="shared" si="169"/>
        <v>0.59958171992423304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-3.2987372833304104E-13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347.8889410585312</v>
      </c>
      <c r="CE168" s="59">
        <f t="shared" si="148"/>
        <v>254.78167322479203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0.17766594214909953</v>
      </c>
      <c r="CL168" s="21">
        <f>EXP(-LN(2)/25)*CL167+(1-EXP(-LN(2)/25))/(LN(2)/25)*Calculateur!CG168*Calculateur!CI168*VLOOKUP('Données projet'!$B$12,Paramètres!$A$1:$I$89,3,0)*0.475*44/12</f>
        <v>0.28564019276078167</v>
      </c>
      <c r="CM168" s="21">
        <f>EXP(-LN(2)/2)*CM167+(1-EXP(-LN(2)/2))/(LN(2)/2)*CG168*CJ168*VLOOKUP('Données projet'!$B$12,Paramètres!$A$1:$I$89,3,0)*0.475*44/12</f>
        <v>1.1039604212092846E-19</v>
      </c>
      <c r="CN168" s="22">
        <f t="shared" si="172"/>
        <v>0.46330613490988121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-3.0859155231155454E-13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318.40875902853116</v>
      </c>
      <c r="T169" s="59">
        <f t="shared" si="142"/>
        <v>234.87694492493506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-4.0702161641092972E-13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260.20517190557814</v>
      </c>
      <c r="AO169" s="59">
        <f t="shared" si="144"/>
        <v>307.22009971147133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0.22074925160103348</v>
      </c>
      <c r="AV169" s="21">
        <f>EXP(-LN(2)/25)*AV168+(1-EXP(-LN(2)/25))/(LN(2)/25)*Calculateur!AQ169*Calculateur!AS169*VLOOKUP('Données projet'!$B$10,Paramètres!$A$1:$I$89,3,0)*0.475*44/12</f>
        <v>0.47267841637829405</v>
      </c>
      <c r="AW169" s="21">
        <f>EXP(-LN(2)/2)*AW168+(1-EXP(-LN(2)/2))/(LN(2)/2)*AQ169*AT169*VLOOKUP('Données projet'!$B$10,Paramètres!$A$1:$I$89,3,0)*0.475*44/12</f>
        <v>8.1447416129040326E-20</v>
      </c>
      <c r="AX169" s="21">
        <f t="shared" si="166"/>
        <v>0.69342766797932753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-3.4317508834647017E-13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207.93042467236967</v>
      </c>
      <c r="BJ169" s="59">
        <f t="shared" si="146"/>
        <v>250.70954318710835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0.18612191801655742</v>
      </c>
      <c r="BQ169" s="21">
        <f>EXP(-LN(2)/25)*BQ168+(1-EXP(-LN(2)/25))/(LN(2)/25)*Calculateur!BL169*Calculateur!BN169*VLOOKUP('Données projet'!$B$11,Paramètres!$A$1:$I$89,3,0)*0.475*44/12</f>
        <v>0.39853278243660151</v>
      </c>
      <c r="BR169" s="21">
        <f>EXP(-LN(2)/2)*BR168+(1-EXP(-LN(2)/2))/(LN(2)/2)*BL169*BO169*VLOOKUP('Données projet'!$B$11,Paramètres!$A$1:$I$89,3,0)*0.475*44/12</f>
        <v>6.8671350853896741E-20</v>
      </c>
      <c r="BS169" s="22">
        <f t="shared" si="169"/>
        <v>0.58465470045315893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-3.2987372833304104E-13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347.8889410585312</v>
      </c>
      <c r="CE169" s="59">
        <f t="shared" si="148"/>
        <v>254.78167322479203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0.1741820213890802</v>
      </c>
      <c r="CL169" s="21">
        <f>EXP(-LN(2)/25)*CL168+(1-EXP(-LN(2)/25))/(LN(2)/25)*Calculateur!CG169*Calculateur!CI169*VLOOKUP('Données projet'!$B$12,Paramètres!$A$1:$I$89,3,0)*0.475*44/12</f>
        <v>0.27782934666857323</v>
      </c>
      <c r="CM169" s="21">
        <f>EXP(-LN(2)/2)*CM168+(1-EXP(-LN(2)/2))/(LN(2)/2)*CG169*CJ169*VLOOKUP('Données projet'!$B$12,Paramètres!$A$1:$I$89,3,0)*0.475*44/12</f>
        <v>7.8061789999864249E-20</v>
      </c>
      <c r="CN169" s="22">
        <f t="shared" si="172"/>
        <v>0.45201136805765341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-3.0859155231155454E-13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318.40875902853116</v>
      </c>
      <c r="T170" s="59">
        <f t="shared" si="142"/>
        <v>234.87694492493506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-4.0702161641092972E-13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260.20517190557814</v>
      </c>
      <c r="AO170" s="59">
        <f t="shared" si="144"/>
        <v>307.22009971147133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0.21642049342088573</v>
      </c>
      <c r="AV170" s="21">
        <f>EXP(-LN(2)/25)*AV169+(1-EXP(-LN(2)/25))/(LN(2)/25)*Calculateur!AQ170*Calculateur!AS170*VLOOKUP('Données projet'!$B$10,Paramètres!$A$1:$I$89,3,0)*0.475*44/12</f>
        <v>0.45975300022535198</v>
      </c>
      <c r="AW170" s="21">
        <f>EXP(-LN(2)/2)*AW169+(1-EXP(-LN(2)/2))/(LN(2)/2)*AQ170*AT170*VLOOKUP('Données projet'!$B$10,Paramètres!$A$1:$I$89,3,0)*0.475*44/12</f>
        <v>5.7592020254966999E-20</v>
      </c>
      <c r="AX170" s="21">
        <f t="shared" si="166"/>
        <v>0.67617349364623769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-3.4317508834647017E-13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207.93042467236967</v>
      </c>
      <c r="BJ170" s="59">
        <f t="shared" si="146"/>
        <v>250.70954318710835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0.18247218072741322</v>
      </c>
      <c r="BQ170" s="21">
        <f>EXP(-LN(2)/25)*BQ169+(1-EXP(-LN(2)/25))/(LN(2)/25)*Calculateur!BL170*Calculateur!BN170*VLOOKUP('Données projet'!$B$11,Paramètres!$A$1:$I$89,3,0)*0.475*44/12</f>
        <v>0.38763488254294448</v>
      </c>
      <c r="BR170" s="21">
        <f>EXP(-LN(2)/2)*BR169+(1-EXP(-LN(2)/2))/(LN(2)/2)*BL170*BO170*VLOOKUP('Données projet'!$B$11,Paramètres!$A$1:$I$89,3,0)*0.475*44/12</f>
        <v>4.8557977862030997E-20</v>
      </c>
      <c r="BS170" s="22">
        <f t="shared" si="169"/>
        <v>0.57010706327035776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-3.2987372833304104E-13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347.8889410585312</v>
      </c>
      <c r="CE170" s="59">
        <f t="shared" si="148"/>
        <v>254.78167322479203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0.17076641819018301</v>
      </c>
      <c r="CL170" s="21">
        <f>EXP(-LN(2)/25)*CL169+(1-EXP(-LN(2)/25))/(LN(2)/25)*Calculateur!CG170*Calculateur!CI170*VLOOKUP('Données projet'!$B$12,Paramètres!$A$1:$I$89,3,0)*0.475*44/12</f>
        <v>0.27023208857351072</v>
      </c>
      <c r="CM170" s="21">
        <f>EXP(-LN(2)/2)*CM169+(1-EXP(-LN(2)/2))/(LN(2)/2)*CG170*CJ170*VLOOKUP('Données projet'!$B$12,Paramètres!$A$1:$I$89,3,0)*0.475*44/12</f>
        <v>5.5198021060464232E-20</v>
      </c>
      <c r="CN170" s="22">
        <f t="shared" si="172"/>
        <v>0.44099850676369373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-3.0859155231155454E-13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318.40875902853116</v>
      </c>
      <c r="T171" s="59">
        <f t="shared" si="142"/>
        <v>234.87694492493506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-4.0702161641092972E-13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260.20517190557814</v>
      </c>
      <c r="AO171" s="59">
        <f t="shared" si="144"/>
        <v>307.22009971147133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0.21217661954836889</v>
      </c>
      <c r="AV171" s="21">
        <f>EXP(-LN(2)/25)*AV170+(1-EXP(-LN(2)/25))/(LN(2)/25)*Calculateur!AQ171*Calculateur!AS171*VLOOKUP('Données projet'!$B$10,Paramètres!$A$1:$I$89,3,0)*0.475*44/12</f>
        <v>0.4471810302568302</v>
      </c>
      <c r="AW171" s="21">
        <f>EXP(-LN(2)/2)*AW170+(1-EXP(-LN(2)/2))/(LN(2)/2)*AQ171*AT171*VLOOKUP('Données projet'!$B$10,Paramètres!$A$1:$I$89,3,0)*0.475*44/12</f>
        <v>4.0723708064520163E-20</v>
      </c>
      <c r="AX171" s="21">
        <f t="shared" si="166"/>
        <v>0.65935764980519906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-3.4317508834647017E-13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207.93042467236967</v>
      </c>
      <c r="BJ171" s="59">
        <f t="shared" si="146"/>
        <v>250.70954318710835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0.17889401256038923</v>
      </c>
      <c r="BQ171" s="21">
        <f>EXP(-LN(2)/25)*BQ170+(1-EXP(-LN(2)/25))/(LN(2)/25)*Calculateur!BL171*Calculateur!BN171*VLOOKUP('Données projet'!$B$11,Paramètres!$A$1:$I$89,3,0)*0.475*44/12</f>
        <v>0.37703498629497512</v>
      </c>
      <c r="BR171" s="21">
        <f>EXP(-LN(2)/2)*BR170+(1-EXP(-LN(2)/2))/(LN(2)/2)*BL171*BO171*VLOOKUP('Données projet'!$B$11,Paramètres!$A$1:$I$89,3,0)*0.475*44/12</f>
        <v>3.433567542694837E-20</v>
      </c>
      <c r="BS171" s="22">
        <f t="shared" si="169"/>
        <v>0.5559289988553644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-3.2987372833304104E-13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347.8889410585312</v>
      </c>
      <c r="CE171" s="59">
        <f t="shared" si="148"/>
        <v>254.78167322479203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0.16741779288670394</v>
      </c>
      <c r="CL171" s="21">
        <f>EXP(-LN(2)/25)*CL170+(1-EXP(-LN(2)/25))/(LN(2)/25)*Calculateur!CG171*Calculateur!CI171*VLOOKUP('Données projet'!$B$12,Paramètres!$A$1:$I$89,3,0)*0.475*44/12</f>
        <v>0.26284257790058013</v>
      </c>
      <c r="CM171" s="21">
        <f>EXP(-LN(2)/2)*CM170+(1-EXP(-LN(2)/2))/(LN(2)/2)*CG171*CJ171*VLOOKUP('Données projet'!$B$12,Paramètres!$A$1:$I$89,3,0)*0.475*44/12</f>
        <v>3.9030894999932124E-20</v>
      </c>
      <c r="CN171" s="22">
        <f t="shared" si="172"/>
        <v>0.43026037078728407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-3.0859155231155454E-13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318.40875902853116</v>
      </c>
      <c r="T172" s="59">
        <f t="shared" si="142"/>
        <v>234.87694492493506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-4.0702161641092972E-13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260.20517190557814</v>
      </c>
      <c r="AO172" s="59">
        <f t="shared" si="144"/>
        <v>307.22009971147133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0.20801596545398462</v>
      </c>
      <c r="AV172" s="21">
        <f>EXP(-LN(2)/25)*AV171+(1-EXP(-LN(2)/25))/(LN(2)/25)*Calculateur!AQ172*Calculateur!AS172*VLOOKUP('Données projet'!$B$10,Paramètres!$A$1:$I$89,3,0)*0.475*44/12</f>
        <v>0.43495284146822882</v>
      </c>
      <c r="AW172" s="21">
        <f>EXP(-LN(2)/2)*AW171+(1-EXP(-LN(2)/2))/(LN(2)/2)*AQ172*AT172*VLOOKUP('Données projet'!$B$10,Paramètres!$A$1:$I$89,3,0)*0.475*44/12</f>
        <v>2.87960101274835E-20</v>
      </c>
      <c r="AX172" s="21">
        <f t="shared" si="166"/>
        <v>0.64296880692221348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-3.4317508834647017E-13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207.93042467236967</v>
      </c>
      <c r="BJ172" s="59">
        <f t="shared" si="146"/>
        <v>250.70954318710835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0.17538601008865348</v>
      </c>
      <c r="BQ172" s="21">
        <f>EXP(-LN(2)/25)*BQ171+(1-EXP(-LN(2)/25))/(LN(2)/25)*Calculateur!BL172*Calculateur!BN172*VLOOKUP('Données projet'!$B$11,Paramètres!$A$1:$I$89,3,0)*0.475*44/12</f>
        <v>0.36672494476733081</v>
      </c>
      <c r="BR172" s="21">
        <f>EXP(-LN(2)/2)*BR171+(1-EXP(-LN(2)/2))/(LN(2)/2)*BL172*BO172*VLOOKUP('Données projet'!$B$11,Paramètres!$A$1:$I$89,3,0)*0.475*44/12</f>
        <v>2.4278988931015498E-20</v>
      </c>
      <c r="BS172" s="22">
        <f t="shared" si="169"/>
        <v>0.54211095485598426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-3.2987372833304104E-13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347.8889410585312</v>
      </c>
      <c r="CE172" s="59">
        <f t="shared" si="148"/>
        <v>254.78167322479203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0.16413483208296634</v>
      </c>
      <c r="CL172" s="21">
        <f>EXP(-LN(2)/25)*CL171+(1-EXP(-LN(2)/25))/(LN(2)/25)*Calculateur!CG172*Calculateur!CI172*VLOOKUP('Données projet'!$B$12,Paramètres!$A$1:$I$89,3,0)*0.475*44/12</f>
        <v>0.25565513378559834</v>
      </c>
      <c r="CM172" s="21">
        <f>EXP(-LN(2)/2)*CM171+(1-EXP(-LN(2)/2))/(LN(2)/2)*CG172*CJ172*VLOOKUP('Données projet'!$B$12,Paramètres!$A$1:$I$89,3,0)*0.475*44/12</f>
        <v>2.7599010530232116E-20</v>
      </c>
      <c r="CN172" s="22">
        <f t="shared" si="172"/>
        <v>0.41978996586856465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-3.0859155231155454E-13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318.40875902853116</v>
      </c>
      <c r="T173" s="59">
        <f t="shared" si="142"/>
        <v>234.87694492493506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-4.0702161641092972E-13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260.20517190557814</v>
      </c>
      <c r="AO173" s="59">
        <f t="shared" si="144"/>
        <v>307.22009971147133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0.20393689924864283</v>
      </c>
      <c r="AV173" s="21">
        <f>EXP(-LN(2)/25)*AV172+(1-EXP(-LN(2)/25))/(LN(2)/25)*Calculateur!AQ173*Calculateur!AS173*VLOOKUP('Données projet'!$B$10,Paramètres!$A$1:$I$89,3,0)*0.475*44/12</f>
        <v>0.42305903314510429</v>
      </c>
      <c r="AW173" s="21">
        <f>EXP(-LN(2)/2)*AW172+(1-EXP(-LN(2)/2))/(LN(2)/2)*AQ173*AT173*VLOOKUP('Données projet'!$B$10,Paramètres!$A$1:$I$89,3,0)*0.475*44/12</f>
        <v>2.0361854032260082E-20</v>
      </c>
      <c r="AX173" s="21">
        <f t="shared" si="166"/>
        <v>0.62699593239374707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-3.4317508834647017E-13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207.93042467236967</v>
      </c>
      <c r="BJ173" s="59">
        <f t="shared" si="146"/>
        <v>250.70954318710835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0.17194679740571825</v>
      </c>
      <c r="BQ173" s="21">
        <f>EXP(-LN(2)/25)*BQ172+(1-EXP(-LN(2)/25))/(LN(2)/25)*Calculateur!BL173*Calculateur!BN173*VLOOKUP('Données projet'!$B$11,Paramètres!$A$1:$I$89,3,0)*0.475*44/12</f>
        <v>0.35669683186744144</v>
      </c>
      <c r="BR173" s="21">
        <f>EXP(-LN(2)/2)*BR172+(1-EXP(-LN(2)/2))/(LN(2)/2)*BL173*BO173*VLOOKUP('Données projet'!$B$11,Paramètres!$A$1:$I$89,3,0)*0.475*44/12</f>
        <v>1.7167837713474185E-20</v>
      </c>
      <c r="BS173" s="22">
        <f t="shared" si="169"/>
        <v>0.52864362927315967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-3.2987372833304104E-13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347.8889410585312</v>
      </c>
      <c r="CE173" s="59">
        <f t="shared" si="148"/>
        <v>254.78167322479203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0.16091624813818167</v>
      </c>
      <c r="CL173" s="21">
        <f>EXP(-LN(2)/25)*CL172+(1-EXP(-LN(2)/25))/(LN(2)/25)*Calculateur!CG173*Calculateur!CI173*VLOOKUP('Données projet'!$B$12,Paramètres!$A$1:$I$89,3,0)*0.475*44/12</f>
        <v>0.24866423070791197</v>
      </c>
      <c r="CM173" s="21">
        <f>EXP(-LN(2)/2)*CM172+(1-EXP(-LN(2)/2))/(LN(2)/2)*CG173*CJ173*VLOOKUP('Données projet'!$B$12,Paramètres!$A$1:$I$89,3,0)*0.475*44/12</f>
        <v>1.9515447499966062E-20</v>
      </c>
      <c r="CN173" s="22">
        <f t="shared" si="172"/>
        <v>0.40958047884609361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-3.0859155231155454E-13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318.40875902853116</v>
      </c>
      <c r="T174" s="59">
        <f t="shared" si="142"/>
        <v>234.87694492493506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-4.0702161641092972E-13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260.20517190557814</v>
      </c>
      <c r="AO174" s="59">
        <f t="shared" si="144"/>
        <v>307.22009971147133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0.19993782104360308</v>
      </c>
      <c r="AV174" s="21">
        <f>EXP(-LN(2)/25)*AV173+(1-EXP(-LN(2)/25))/(LN(2)/25)*Calculateur!AQ174*Calculateur!AS174*VLOOKUP('Données projet'!$B$10,Paramètres!$A$1:$I$89,3,0)*0.475*44/12</f>
        <v>0.4114904616360438</v>
      </c>
      <c r="AW174" s="21">
        <f>EXP(-LN(2)/2)*AW173+(1-EXP(-LN(2)/2))/(LN(2)/2)*AQ174*AT174*VLOOKUP('Données projet'!$B$10,Paramètres!$A$1:$I$89,3,0)*0.475*44/12</f>
        <v>1.439800506374175E-20</v>
      </c>
      <c r="AX174" s="21">
        <f t="shared" si="166"/>
        <v>0.61142828267964688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-3.4317508834647017E-13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207.93042467236967</v>
      </c>
      <c r="BJ174" s="59">
        <f t="shared" si="146"/>
        <v>250.70954318710835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0.16857502558578277</v>
      </c>
      <c r="BQ174" s="21">
        <f>EXP(-LN(2)/25)*BQ173+(1-EXP(-LN(2)/25))/(LN(2)/25)*Calculateur!BL174*Calculateur!BN174*VLOOKUP('Données projet'!$B$11,Paramètres!$A$1:$I$89,3,0)*0.475*44/12</f>
        <v>0.34694293824215511</v>
      </c>
      <c r="BR174" s="21">
        <f>EXP(-LN(2)/2)*BR173+(1-EXP(-LN(2)/2))/(LN(2)/2)*BL174*BO174*VLOOKUP('Données projet'!$B$11,Paramètres!$A$1:$I$89,3,0)*0.475*44/12</f>
        <v>1.2139494465507749E-20</v>
      </c>
      <c r="BS174" s="22">
        <f t="shared" si="169"/>
        <v>0.51551796382793791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-3.2987372833304104E-13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347.8889410585312</v>
      </c>
      <c r="CE174" s="59">
        <f t="shared" si="148"/>
        <v>254.78167322479203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0.15776077866141186</v>
      </c>
      <c r="CL174" s="21">
        <f>EXP(-LN(2)/25)*CL173+(1-EXP(-LN(2)/25))/(LN(2)/25)*Calculateur!CG174*Calculateur!CI174*VLOOKUP('Données projet'!$B$12,Paramètres!$A$1:$I$89,3,0)*0.475*44/12</f>
        <v>0.24186449424252054</v>
      </c>
      <c r="CM174" s="21">
        <f>EXP(-LN(2)/2)*CM173+(1-EXP(-LN(2)/2))/(LN(2)/2)*CG174*CJ174*VLOOKUP('Données projet'!$B$12,Paramètres!$A$1:$I$89,3,0)*0.475*44/12</f>
        <v>1.3799505265116058E-20</v>
      </c>
      <c r="CN174" s="22">
        <f t="shared" si="172"/>
        <v>0.3996252729039324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-3.0859155231155454E-13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318.40875902853116</v>
      </c>
      <c r="T175" s="59">
        <f t="shared" si="142"/>
        <v>234.87694492493506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-4.0702161641092972E-13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260.20517190557814</v>
      </c>
      <c r="AO175" s="59">
        <f t="shared" si="144"/>
        <v>307.22009971147133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0.19601716232296729</v>
      </c>
      <c r="AV175" s="21">
        <f>EXP(-LN(2)/25)*AV174+(1-EXP(-LN(2)/25))/(LN(2)/25)*Calculateur!AQ175*Calculateur!AS175*VLOOKUP('Données projet'!$B$10,Paramètres!$A$1:$I$89,3,0)*0.475*44/12</f>
        <v>0.4002382333232633</v>
      </c>
      <c r="AW175" s="21">
        <f>EXP(-LN(2)/2)*AW174+(1-EXP(-LN(2)/2))/(LN(2)/2)*AQ175*AT175*VLOOKUP('Données projet'!$B$10,Paramètres!$A$1:$I$89,3,0)*0.475*44/12</f>
        <v>1.0180927016130041E-20</v>
      </c>
      <c r="AX175" s="21">
        <f t="shared" si="166"/>
        <v>0.59625539564623065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-3.4317508834647017E-13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207.93042467236967</v>
      </c>
      <c r="BJ175" s="59">
        <f t="shared" si="146"/>
        <v>250.70954318710835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0.16526937215465848</v>
      </c>
      <c r="BQ175" s="21">
        <f>EXP(-LN(2)/25)*BQ174+(1-EXP(-LN(2)/25))/(LN(2)/25)*Calculateur!BL175*Calculateur!BN175*VLOOKUP('Données projet'!$B$11,Paramètres!$A$1:$I$89,3,0)*0.475*44/12</f>
        <v>0.3374557653509872</v>
      </c>
      <c r="BR175" s="21">
        <f>EXP(-LN(2)/2)*BR174+(1-EXP(-LN(2)/2))/(LN(2)/2)*BL175*BO175*VLOOKUP('Données projet'!$B$11,Paramètres!$A$1:$I$89,3,0)*0.475*44/12</f>
        <v>8.5839188567370926E-21</v>
      </c>
      <c r="BS175" s="22">
        <f t="shared" si="169"/>
        <v>0.50272513750564563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-3.2987372833304104E-13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347.8889410585312</v>
      </c>
      <c r="CE175" s="59">
        <f t="shared" si="148"/>
        <v>254.78167322479203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0.15466718601643517</v>
      </c>
      <c r="CL175" s="21">
        <f>EXP(-LN(2)/25)*CL174+(1-EXP(-LN(2)/25))/(LN(2)/25)*Calculateur!CG175*Calculateur!CI175*VLOOKUP('Données projet'!$B$12,Paramètres!$A$1:$I$89,3,0)*0.475*44/12</f>
        <v>0.23525069692835784</v>
      </c>
      <c r="CM175" s="21">
        <f>EXP(-LN(2)/2)*CM174+(1-EXP(-LN(2)/2))/(LN(2)/2)*CG175*CJ175*VLOOKUP('Données projet'!$B$12,Paramètres!$A$1:$I$89,3,0)*0.475*44/12</f>
        <v>9.7577237499830311E-21</v>
      </c>
      <c r="CN175" s="22">
        <f t="shared" si="172"/>
        <v>0.38991788294479302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-3.0859155231155454E-13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318.40875902853116</v>
      </c>
      <c r="T176" s="59">
        <f t="shared" si="142"/>
        <v>234.87694492493506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-4.0702161641092972E-13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260.20517190557814</v>
      </c>
      <c r="AO176" s="59">
        <f t="shared" si="144"/>
        <v>307.22009971147133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0.19217338532847747</v>
      </c>
      <c r="AV176" s="21">
        <f>EXP(-LN(2)/25)*AV175+(1-EXP(-LN(2)/25))/(LN(2)/25)*Calculateur!AQ176*Calculateur!AS176*VLOOKUP('Données projet'!$B$10,Paramètres!$A$1:$I$89,3,0)*0.475*44/12</f>
        <v>0.38929369778542472</v>
      </c>
      <c r="AW176" s="21">
        <f>EXP(-LN(2)/2)*AW175+(1-EXP(-LN(2)/2))/(LN(2)/2)*AQ176*AT176*VLOOKUP('Données projet'!$B$10,Paramètres!$A$1:$I$89,3,0)*0.475*44/12</f>
        <v>7.1990025318708749E-21</v>
      </c>
      <c r="AX176" s="21">
        <f t="shared" si="166"/>
        <v>0.58146708311390216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-3.4317508834647017E-13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207.93042467236967</v>
      </c>
      <c r="BJ176" s="59">
        <f t="shared" si="146"/>
        <v>250.70954318710835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0.16202854057106902</v>
      </c>
      <c r="BQ176" s="21">
        <f>EXP(-LN(2)/25)*BQ175+(1-EXP(-LN(2)/25))/(LN(2)/25)*Calculateur!BL176*Calculateur!BN176*VLOOKUP('Données projet'!$B$11,Paramètres!$A$1:$I$89,3,0)*0.475*44/12</f>
        <v>0.328228019701437</v>
      </c>
      <c r="BR176" s="21">
        <f>EXP(-LN(2)/2)*BR175+(1-EXP(-LN(2)/2))/(LN(2)/2)*BL176*BO176*VLOOKUP('Données projet'!$B$11,Paramètres!$A$1:$I$89,3,0)*0.475*44/12</f>
        <v>6.0697472327538746E-21</v>
      </c>
      <c r="BS176" s="22">
        <f t="shared" si="169"/>
        <v>0.49025656027250603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-3.2987372833304104E-13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347.8889410585312</v>
      </c>
      <c r="CE176" s="59">
        <f t="shared" si="148"/>
        <v>254.78167322479203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0.15163425683632129</v>
      </c>
      <c r="CL176" s="21">
        <f>EXP(-LN(2)/25)*CL175+(1-EXP(-LN(2)/25))/(LN(2)/25)*Calculateur!CG176*Calculateur!CI176*VLOOKUP('Données projet'!$B$12,Paramètres!$A$1:$I$89,3,0)*0.475*44/12</f>
        <v>0.22881775424955542</v>
      </c>
      <c r="CM176" s="21">
        <f>EXP(-LN(2)/2)*CM175+(1-EXP(-LN(2)/2))/(LN(2)/2)*CG176*CJ176*VLOOKUP('Données projet'!$B$12,Paramètres!$A$1:$I$89,3,0)*0.475*44/12</f>
        <v>6.899752632558029E-21</v>
      </c>
      <c r="CN176" s="22">
        <f t="shared" si="172"/>
        <v>0.38045201108587667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-3.0859155231155454E-13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318.40875902853116</v>
      </c>
      <c r="T177" s="59">
        <f t="shared" si="142"/>
        <v>234.87694492493506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-4.0702161641092972E-13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260.20517190557814</v>
      </c>
      <c r="AO177" s="59">
        <f t="shared" si="144"/>
        <v>307.22009971147133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0.18840498245637713</v>
      </c>
      <c r="AV177" s="21">
        <f>EXP(-LN(2)/25)*AV176+(1-EXP(-LN(2)/25))/(LN(2)/25)*Calculateur!AQ177*Calculateur!AS177*VLOOKUP('Données projet'!$B$10,Paramètres!$A$1:$I$89,3,0)*0.475*44/12</f>
        <v>0.37864844114741647</v>
      </c>
      <c r="AW177" s="21">
        <f>EXP(-LN(2)/2)*AW176+(1-EXP(-LN(2)/2))/(LN(2)/2)*AQ177*AT177*VLOOKUP('Données projet'!$B$10,Paramètres!$A$1:$I$89,3,0)*0.475*44/12</f>
        <v>5.0904635080650204E-21</v>
      </c>
      <c r="AX177" s="21">
        <f t="shared" si="166"/>
        <v>0.56705342360379363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-3.4317508834647017E-13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207.93042467236967</v>
      </c>
      <c r="BJ177" s="59">
        <f t="shared" si="146"/>
        <v>250.70954318710835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0.1588512597181217</v>
      </c>
      <c r="BQ177" s="21">
        <f>EXP(-LN(2)/25)*BQ176+(1-EXP(-LN(2)/25))/(LN(2)/25)*Calculateur!BL177*Calculateur!BN177*VLOOKUP('Données projet'!$B$11,Paramètres!$A$1:$I$89,3,0)*0.475*44/12</f>
        <v>0.31925260724193982</v>
      </c>
      <c r="BR177" s="21">
        <f>EXP(-LN(2)/2)*BR176+(1-EXP(-LN(2)/2))/(LN(2)/2)*BL177*BO177*VLOOKUP('Données projet'!$B$11,Paramètres!$A$1:$I$89,3,0)*0.475*44/12</f>
        <v>4.2919594283685463E-21</v>
      </c>
      <c r="BS177" s="22">
        <f t="shared" si="169"/>
        <v>0.47810386696006152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-3.2987372833304104E-13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347.8889410585312</v>
      </c>
      <c r="CE177" s="59">
        <f t="shared" si="148"/>
        <v>254.78167322479203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0.14866080154752528</v>
      </c>
      <c r="CL177" s="21">
        <f>EXP(-LN(2)/25)*CL176+(1-EXP(-LN(2)/25))/(LN(2)/25)*Calculateur!CG177*Calculateur!CI177*VLOOKUP('Données projet'!$B$12,Paramètres!$A$1:$I$89,3,0)*0.475*44/12</f>
        <v>0.2225607207265986</v>
      </c>
      <c r="CM177" s="21">
        <f>EXP(-LN(2)/2)*CM176+(1-EXP(-LN(2)/2))/(LN(2)/2)*CG177*CJ177*VLOOKUP('Données projet'!$B$12,Paramètres!$A$1:$I$89,3,0)*0.475*44/12</f>
        <v>4.8788618749915156E-21</v>
      </c>
      <c r="CN177" s="22">
        <f t="shared" si="172"/>
        <v>0.37122152227412386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-3.0859155231155454E-13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318.40875902853116</v>
      </c>
      <c r="T178" s="59">
        <f t="shared" si="142"/>
        <v>234.87694492493506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-4.0702161641092972E-13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260.20517190557814</v>
      </c>
      <c r="AO178" s="59">
        <f t="shared" si="144"/>
        <v>307.22009971147133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0.18471047566609988</v>
      </c>
      <c r="AV178" s="21">
        <f>EXP(-LN(2)/25)*AV177+(1-EXP(-LN(2)/25))/(LN(2)/25)*Calculateur!AQ178*Calculateur!AS178*VLOOKUP('Données projet'!$B$10,Paramètres!$A$1:$I$89,3,0)*0.475*44/12</f>
        <v>0.36829427961198424</v>
      </c>
      <c r="AW178" s="21">
        <f>EXP(-LN(2)/2)*AW177+(1-EXP(-LN(2)/2))/(LN(2)/2)*AQ178*AT178*VLOOKUP('Données projet'!$B$10,Paramètres!$A$1:$I$89,3,0)*0.475*44/12</f>
        <v>3.5995012659354375E-21</v>
      </c>
      <c r="AX178" s="21">
        <f t="shared" si="166"/>
        <v>0.55300475527808413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-3.4317508834647017E-13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207.93042467236967</v>
      </c>
      <c r="BJ178" s="59">
        <f t="shared" si="146"/>
        <v>250.70954318710835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0.15573628340475068</v>
      </c>
      <c r="BQ178" s="21">
        <f>EXP(-LN(2)/25)*BQ177+(1-EXP(-LN(2)/25))/(LN(2)/25)*Calculateur!BL178*Calculateur!BN178*VLOOKUP('Données projet'!$B$11,Paramètres!$A$1:$I$89,3,0)*0.475*44/12</f>
        <v>0.310522627908144</v>
      </c>
      <c r="BR178" s="21">
        <f>EXP(-LN(2)/2)*BR177+(1-EXP(-LN(2)/2))/(LN(2)/2)*BL178*BO178*VLOOKUP('Données projet'!$B$11,Paramètres!$A$1:$I$89,3,0)*0.475*44/12</f>
        <v>3.0348736163769373E-21</v>
      </c>
      <c r="BS178" s="22">
        <f t="shared" si="169"/>
        <v>0.46625891131289465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-3.2987372833304104E-13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347.8889410585312</v>
      </c>
      <c r="CE178" s="59">
        <f t="shared" si="148"/>
        <v>254.78167322479203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0.14574565390331393</v>
      </c>
      <c r="CL178" s="21">
        <f>EXP(-LN(2)/25)*CL177+(1-EXP(-LN(2)/25))/(LN(2)/25)*Calculateur!CG178*Calculateur!CI178*VLOOKUP('Données projet'!$B$12,Paramètres!$A$1:$I$89,3,0)*0.475*44/12</f>
        <v>0.21647478611437013</v>
      </c>
      <c r="CM178" s="21">
        <f>EXP(-LN(2)/2)*CM177+(1-EXP(-LN(2)/2))/(LN(2)/2)*CG178*CJ178*VLOOKUP('Données projet'!$B$12,Paramètres!$A$1:$I$89,3,0)*0.475*44/12</f>
        <v>3.4498763162790145E-21</v>
      </c>
      <c r="CN178" s="22">
        <f t="shared" si="172"/>
        <v>0.36222044001768405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-3.0859155231155454E-13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318.40875902853116</v>
      </c>
      <c r="T179" s="59">
        <f t="shared" si="142"/>
        <v>234.87694492493506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-4.0702161641092972E-13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260.20517190557814</v>
      </c>
      <c r="AO179" s="59">
        <f t="shared" si="144"/>
        <v>307.22009971147133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0.18108841590055336</v>
      </c>
      <c r="AV179" s="21">
        <f>EXP(-LN(2)/25)*AV178+(1-EXP(-LN(2)/25))/(LN(2)/25)*Calculateur!AQ179*Calculateur!AS179*VLOOKUP('Données projet'!$B$10,Paramètres!$A$1:$I$89,3,0)*0.475*44/12</f>
        <v>0.35822325316824011</v>
      </c>
      <c r="AW179" s="21">
        <f>EXP(-LN(2)/2)*AW178+(1-EXP(-LN(2)/2))/(LN(2)/2)*AQ179*AT179*VLOOKUP('Données projet'!$B$10,Paramètres!$A$1:$I$89,3,0)*0.475*44/12</f>
        <v>2.5452317540325102E-21</v>
      </c>
      <c r="AX179" s="21">
        <f t="shared" si="166"/>
        <v>0.53931166906879346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-3.4317508834647017E-13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207.93042467236967</v>
      </c>
      <c r="BJ179" s="59">
        <f t="shared" si="146"/>
        <v>250.70954318710835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0.15268238987693694</v>
      </c>
      <c r="BQ179" s="21">
        <f>EXP(-LN(2)/25)*BQ178+(1-EXP(-LN(2)/25))/(LN(2)/25)*Calculateur!BL179*Calculateur!BN179*VLOOKUP('Données projet'!$B$11,Paramètres!$A$1:$I$89,3,0)*0.475*44/12</f>
        <v>0.3020313703183205</v>
      </c>
      <c r="BR179" s="21">
        <f>EXP(-LN(2)/2)*BR178+(1-EXP(-LN(2)/2))/(LN(2)/2)*BL179*BO179*VLOOKUP('Données projet'!$B$11,Paramètres!$A$1:$I$89,3,0)*0.475*44/12</f>
        <v>2.1459797141842731E-21</v>
      </c>
      <c r="BS179" s="22">
        <f t="shared" si="169"/>
        <v>0.45471376019525744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-3.2987372833304104E-13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347.8889410585312</v>
      </c>
      <c r="CE179" s="59">
        <f t="shared" si="148"/>
        <v>254.78167322479203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0.14288767052634108</v>
      </c>
      <c r="CL179" s="21">
        <f>EXP(-LN(2)/25)*CL178+(1-EXP(-LN(2)/25))/(LN(2)/25)*Calculateur!CG179*Calculateur!CI179*VLOOKUP('Données projet'!$B$12,Paramètres!$A$1:$I$89,3,0)*0.475*44/12</f>
        <v>0.21055527170415844</v>
      </c>
      <c r="CM179" s="21">
        <f>EXP(-LN(2)/2)*CM178+(1-EXP(-LN(2)/2))/(LN(2)/2)*CG179*CJ179*VLOOKUP('Données projet'!$B$12,Paramètres!$A$1:$I$89,3,0)*0.475*44/12</f>
        <v>2.4394309374957578E-21</v>
      </c>
      <c r="CN179" s="22">
        <f t="shared" si="172"/>
        <v>0.35344294223049955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-3.0859155231155454E-13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318.40875902853116</v>
      </c>
      <c r="T180" s="59">
        <f t="shared" si="142"/>
        <v>234.87694492493506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-4.0702161641092972E-13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260.20517190557814</v>
      </c>
      <c r="AO180" s="59">
        <f t="shared" si="144"/>
        <v>307.22009971147133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0.17753738251777088</v>
      </c>
      <c r="AV180" s="21">
        <f>EXP(-LN(2)/25)*AV179+(1-EXP(-LN(2)/25))/(LN(2)/25)*Calculateur!AQ180*Calculateur!AS180*VLOOKUP('Données projet'!$B$10,Paramètres!$A$1:$I$89,3,0)*0.475*44/12</f>
        <v>0.3484276194722124</v>
      </c>
      <c r="AW180" s="21">
        <f>EXP(-LN(2)/2)*AW179+(1-EXP(-LN(2)/2))/(LN(2)/2)*AQ180*AT180*VLOOKUP('Données projet'!$B$10,Paramètres!$A$1:$I$89,3,0)*0.475*44/12</f>
        <v>1.7997506329677187E-21</v>
      </c>
      <c r="AX180" s="21">
        <f t="shared" si="166"/>
        <v>0.52596500198998331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-3.4317508834647017E-13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207.93042467236967</v>
      </c>
      <c r="BJ180" s="59">
        <f t="shared" si="146"/>
        <v>250.70954318710835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0.14968838133851251</v>
      </c>
      <c r="BQ180" s="21">
        <f>EXP(-LN(2)/25)*BQ179+(1-EXP(-LN(2)/25))/(LN(2)/25)*Calculateur!BL180*Calculateur!BN180*VLOOKUP('Données projet'!$B$11,Paramètres!$A$1:$I$89,3,0)*0.475*44/12</f>
        <v>0.29377230661382658</v>
      </c>
      <c r="BR180" s="21">
        <f>EXP(-LN(2)/2)*BR179+(1-EXP(-LN(2)/2))/(LN(2)/2)*BL180*BO180*VLOOKUP('Données projet'!$B$11,Paramètres!$A$1:$I$89,3,0)*0.475*44/12</f>
        <v>1.5174368081884686E-21</v>
      </c>
      <c r="BS180" s="22">
        <f t="shared" si="169"/>
        <v>0.44346068795233906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-3.2987372833304104E-13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347.8889410585312</v>
      </c>
      <c r="CE180" s="59">
        <f t="shared" si="148"/>
        <v>254.78167322479203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0.14008573046019293</v>
      </c>
      <c r="CL180" s="21">
        <f>EXP(-LN(2)/25)*CL179+(1-EXP(-LN(2)/25))/(LN(2)/25)*Calculateur!CG180*Calculateur!CI180*VLOOKUP('Données projet'!$B$12,Paramètres!$A$1:$I$89,3,0)*0.475*44/12</f>
        <v>0.20479762672678772</v>
      </c>
      <c r="CM180" s="21">
        <f>EXP(-LN(2)/2)*CM179+(1-EXP(-LN(2)/2))/(LN(2)/2)*CG180*CJ180*VLOOKUP('Données projet'!$B$12,Paramètres!$A$1:$I$89,3,0)*0.475*44/12</f>
        <v>1.7249381581395073E-21</v>
      </c>
      <c r="CN180" s="22">
        <f t="shared" si="172"/>
        <v>0.34488335718698065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-3.0859155231155454E-13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318.40875902853116</v>
      </c>
      <c r="T181" s="59">
        <f t="shared" si="142"/>
        <v>234.87694492493506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-4.0702161641092972E-13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260.20517190557814</v>
      </c>
      <c r="AO181" s="59">
        <f t="shared" si="144"/>
        <v>307.22009971147133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0.17405598273370826</v>
      </c>
      <c r="AV181" s="21">
        <f>EXP(-LN(2)/25)*AV180+(1-EXP(-LN(2)/25))/(LN(2)/25)*Calculateur!AQ181*Calculateur!AS181*VLOOKUP('Données projet'!$B$10,Paramètres!$A$1:$I$89,3,0)*0.475*44/12</f>
        <v>0.3388998478947326</v>
      </c>
      <c r="AW181" s="21">
        <f>EXP(-LN(2)/2)*AW180+(1-EXP(-LN(2)/2))/(LN(2)/2)*AQ181*AT181*VLOOKUP('Données projet'!$B$10,Paramètres!$A$1:$I$89,3,0)*0.475*44/12</f>
        <v>1.2726158770162551E-21</v>
      </c>
      <c r="AX181" s="21">
        <f t="shared" si="166"/>
        <v>0.51295583062844086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-3.4317508834647017E-13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207.93042467236967</v>
      </c>
      <c r="BJ181" s="59">
        <f t="shared" si="146"/>
        <v>250.70954318710835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0.14675308348136168</v>
      </c>
      <c r="BQ181" s="21">
        <f>EXP(-LN(2)/25)*BQ180+(1-EXP(-LN(2)/25))/(LN(2)/25)*Calculateur!BL181*Calculateur!BN181*VLOOKUP('Données projet'!$B$11,Paramètres!$A$1:$I$89,3,0)*0.475*44/12</f>
        <v>0.28573908744065729</v>
      </c>
      <c r="BR181" s="21">
        <f>EXP(-LN(2)/2)*BR180+(1-EXP(-LN(2)/2))/(LN(2)/2)*BL181*BO181*VLOOKUP('Données projet'!$B$11,Paramètres!$A$1:$I$89,3,0)*0.475*44/12</f>
        <v>1.0729898570921366E-21</v>
      </c>
      <c r="BS181" s="22">
        <f t="shared" si="169"/>
        <v>0.43249217092201897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-3.2987372833304104E-13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347.8889410585312</v>
      </c>
      <c r="CE181" s="59">
        <f t="shared" si="148"/>
        <v>254.78167322479203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0.13733873472972724</v>
      </c>
      <c r="CL181" s="21">
        <f>EXP(-LN(2)/25)*CL180+(1-EXP(-LN(2)/25))/(LN(2)/25)*Calculateur!CG181*Calculateur!CI181*VLOOKUP('Données projet'!$B$12,Paramètres!$A$1:$I$89,3,0)*0.475*44/12</f>
        <v>0.1991974248541046</v>
      </c>
      <c r="CM181" s="21">
        <f>EXP(-LN(2)/2)*CM180+(1-EXP(-LN(2)/2))/(LN(2)/2)*CG181*CJ181*VLOOKUP('Données projet'!$B$12,Paramètres!$A$1:$I$89,3,0)*0.475*44/12</f>
        <v>1.2197154687478789E-21</v>
      </c>
      <c r="CN181" s="22">
        <f t="shared" si="172"/>
        <v>0.33653615958383187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-3.0859155231155454E-13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318.40875902853116</v>
      </c>
      <c r="T182" s="59">
        <f t="shared" si="142"/>
        <v>234.87694492493506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-4.0702161641092972E-13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260.20517190557814</v>
      </c>
      <c r="AO182" s="59">
        <f t="shared" si="144"/>
        <v>307.22009971147133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0.17064285107596691</v>
      </c>
      <c r="AV182" s="21">
        <f>EXP(-LN(2)/25)*AV181+(1-EXP(-LN(2)/25))/(LN(2)/25)*Calculateur!AQ182*Calculateur!AS182*VLOOKUP('Données projet'!$B$10,Paramètres!$A$1:$I$89,3,0)*0.475*44/12</f>
        <v>0.32963261373208269</v>
      </c>
      <c r="AW182" s="21">
        <f>EXP(-LN(2)/2)*AW181+(1-EXP(-LN(2)/2))/(LN(2)/2)*AQ182*AT182*VLOOKUP('Données projet'!$B$10,Paramètres!$A$1:$I$89,3,0)*0.475*44/12</f>
        <v>8.9987531648385936E-22</v>
      </c>
      <c r="AX182" s="21">
        <f t="shared" si="166"/>
        <v>0.50027546480804963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-3.4317508834647017E-13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207.93042467236967</v>
      </c>
      <c r="BJ182" s="59">
        <f t="shared" si="146"/>
        <v>250.70954318710835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0.14387534502483468</v>
      </c>
      <c r="BQ182" s="21">
        <f>EXP(-LN(2)/25)*BQ181+(1-EXP(-LN(2)/25))/(LN(2)/25)*Calculateur!BL182*Calculateur!BN182*VLOOKUP('Données projet'!$B$11,Paramètres!$A$1:$I$89,3,0)*0.475*44/12</f>
        <v>0.27792553706822698</v>
      </c>
      <c r="BR182" s="21">
        <f>EXP(-LN(2)/2)*BR181+(1-EXP(-LN(2)/2))/(LN(2)/2)*BL182*BO182*VLOOKUP('Données projet'!$B$11,Paramètres!$A$1:$I$89,3,0)*0.475*44/12</f>
        <v>7.5871840409423432E-22</v>
      </c>
      <c r="BS182" s="22">
        <f t="shared" si="169"/>
        <v>0.42180088209306166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-3.2987372833304104E-13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347.8889410585312</v>
      </c>
      <c r="CE182" s="59">
        <f t="shared" si="148"/>
        <v>254.78167322479203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0.13464560591003405</v>
      </c>
      <c r="CL182" s="21">
        <f>EXP(-LN(2)/25)*CL181+(1-EXP(-LN(2)/25))/(LN(2)/25)*Calculateur!CG182*Calculateur!CI182*VLOOKUP('Données projet'!$B$12,Paramètres!$A$1:$I$89,3,0)*0.475*44/12</f>
        <v>0.19375036079613181</v>
      </c>
      <c r="CM182" s="21">
        <f>EXP(-LN(2)/2)*CM181+(1-EXP(-LN(2)/2))/(LN(2)/2)*CG182*CJ182*VLOOKUP('Données projet'!$B$12,Paramètres!$A$1:$I$89,3,0)*0.475*44/12</f>
        <v>8.6246907906975363E-22</v>
      </c>
      <c r="CN182" s="22">
        <f t="shared" si="172"/>
        <v>0.32839596670616589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-3.0859155231155454E-13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318.40875902853116</v>
      </c>
      <c r="T183" s="59">
        <f t="shared" si="142"/>
        <v>234.87694492493506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-4.0702161641092972E-13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260.20517190557814</v>
      </c>
      <c r="AO183" s="59">
        <f t="shared" si="144"/>
        <v>307.22009971147133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0.16729664884822912</v>
      </c>
      <c r="AV183" s="21">
        <f>EXP(-LN(2)/25)*AV182+(1-EXP(-LN(2)/25))/(LN(2)/25)*Calculateur!AQ183*Calculateur!AS183*VLOOKUP('Données projet'!$B$10,Paramètres!$A$1:$I$89,3,0)*0.475*44/12</f>
        <v>0.32061879257495313</v>
      </c>
      <c r="AW183" s="21">
        <f>EXP(-LN(2)/2)*AW182+(1-EXP(-LN(2)/2))/(LN(2)/2)*AQ183*AT183*VLOOKUP('Données projet'!$B$10,Paramètres!$A$1:$I$89,3,0)*0.475*44/12</f>
        <v>6.3630793850812755E-22</v>
      </c>
      <c r="AX183" s="21">
        <f t="shared" si="166"/>
        <v>0.48791544142318222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-3.4317508834647017E-13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207.93042467236967</v>
      </c>
      <c r="BJ183" s="59">
        <f t="shared" si="146"/>
        <v>250.70954318710835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0.14105403726419302</v>
      </c>
      <c r="BQ183" s="21">
        <f>EXP(-LN(2)/25)*BQ182+(1-EXP(-LN(2)/25))/(LN(2)/25)*Calculateur!BL183*Calculateur!BN183*VLOOKUP('Données projet'!$B$11,Paramètres!$A$1:$I$89,3,0)*0.475*44/12</f>
        <v>0.2703256486416275</v>
      </c>
      <c r="BR183" s="21">
        <f>EXP(-LN(2)/2)*BR182+(1-EXP(-LN(2)/2))/(LN(2)/2)*BL183*BO183*VLOOKUP('Données projet'!$B$11,Paramètres!$A$1:$I$89,3,0)*0.475*44/12</f>
        <v>5.3649492854606829E-22</v>
      </c>
      <c r="BS183" s="22">
        <f t="shared" si="169"/>
        <v>0.41137968590582052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-3.2987372833304104E-13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347.8889410585312</v>
      </c>
      <c r="CE183" s="59">
        <f t="shared" si="148"/>
        <v>254.78167322479203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0.13200528770384864</v>
      </c>
      <c r="CL183" s="21">
        <f>EXP(-LN(2)/25)*CL182+(1-EXP(-LN(2)/25))/(LN(2)/25)*Calculateur!CG183*Calculateur!CI183*VLOOKUP('Données projet'!$B$12,Paramètres!$A$1:$I$89,3,0)*0.475*44/12</f>
        <v>0.18845224699127294</v>
      </c>
      <c r="CM183" s="21">
        <f>EXP(-LN(2)/2)*CM182+(1-EXP(-LN(2)/2))/(LN(2)/2)*CG183*CJ183*VLOOKUP('Données projet'!$B$12,Paramètres!$A$1:$I$89,3,0)*0.475*44/12</f>
        <v>6.0985773437393945E-22</v>
      </c>
      <c r="CN183" s="22">
        <f t="shared" si="172"/>
        <v>0.32045753469512162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-3.0859155231155454E-13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318.40875902853116</v>
      </c>
      <c r="T184" s="59">
        <f t="shared" si="142"/>
        <v>234.87694492493506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-4.0702161641092972E-13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260.20517190557814</v>
      </c>
      <c r="AO184" s="59">
        <f t="shared" si="144"/>
        <v>307.22009971147133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0.16401606360519544</v>
      </c>
      <c r="AV184" s="21">
        <f>EXP(-LN(2)/25)*AV183+(1-EXP(-LN(2)/25))/(LN(2)/25)*Calculateur!AQ184*Calculateur!AS184*VLOOKUP('Données projet'!$B$10,Paramètres!$A$1:$I$89,3,0)*0.475*44/12</f>
        <v>0.31185145483138149</v>
      </c>
      <c r="AW184" s="21">
        <f>EXP(-LN(2)/2)*AW183+(1-EXP(-LN(2)/2))/(LN(2)/2)*AQ184*AT184*VLOOKUP('Données projet'!$B$10,Paramètres!$A$1:$I$89,3,0)*0.475*44/12</f>
        <v>4.4993765824192968E-22</v>
      </c>
      <c r="AX184" s="21">
        <f t="shared" si="166"/>
        <v>0.47586751843657693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-3.4317508834647017E-13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207.93042467236967</v>
      </c>
      <c r="BJ184" s="59">
        <f t="shared" si="146"/>
        <v>250.70954318710835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0.13828805362790972</v>
      </c>
      <c r="BQ184" s="21">
        <f>EXP(-LN(2)/25)*BQ183+(1-EXP(-LN(2)/25))/(LN(2)/25)*Calculateur!BL184*Calculateur!BN184*VLOOKUP('Données projet'!$B$11,Paramètres!$A$1:$I$89,3,0)*0.475*44/12</f>
        <v>0.26293357956371416</v>
      </c>
      <c r="BR184" s="21">
        <f>EXP(-LN(2)/2)*BR183+(1-EXP(-LN(2)/2))/(LN(2)/2)*BL184*BO184*VLOOKUP('Données projet'!$B$11,Paramètres!$A$1:$I$89,3,0)*0.475*44/12</f>
        <v>3.7935920204711716E-22</v>
      </c>
      <c r="BS184" s="22">
        <f t="shared" si="169"/>
        <v>0.40122163319162385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-3.2987372833304104E-13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347.8889410585312</v>
      </c>
      <c r="CE184" s="59">
        <f t="shared" si="148"/>
        <v>254.78167322479203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0.12941674452725144</v>
      </c>
      <c r="CL184" s="21">
        <f>EXP(-LN(2)/25)*CL183+(1-EXP(-LN(2)/25))/(LN(2)/25)*Calculateur!CG184*Calculateur!CI184*VLOOKUP('Données projet'!$B$12,Paramètres!$A$1:$I$89,3,0)*0.475*44/12</f>
        <v>0.18329901038702362</v>
      </c>
      <c r="CM184" s="21">
        <f>EXP(-LN(2)/2)*CM183+(1-EXP(-LN(2)/2))/(LN(2)/2)*CG184*CJ184*VLOOKUP('Données projet'!$B$12,Paramètres!$A$1:$I$89,3,0)*0.475*44/12</f>
        <v>4.3123453953487681E-22</v>
      </c>
      <c r="CN184" s="22">
        <f t="shared" si="172"/>
        <v>0.31271575491427506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-3.0859155231155454E-13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318.40875902853116</v>
      </c>
      <c r="T185" s="59">
        <f t="shared" si="142"/>
        <v>234.87694492493506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-4.0702161641092972E-13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260.20517190557814</v>
      </c>
      <c r="AO185" s="59">
        <f t="shared" si="144"/>
        <v>307.22009971147133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0.16079980863781823</v>
      </c>
      <c r="AV185" s="21">
        <f>EXP(-LN(2)/25)*AV184+(1-EXP(-LN(2)/25))/(LN(2)/25)*Calculateur!AQ185*Calculateur!AS185*VLOOKUP('Données projet'!$B$10,Paramètres!$A$1:$I$89,3,0)*0.475*44/12</f>
        <v>0.30332386039946208</v>
      </c>
      <c r="AW185" s="21">
        <f>EXP(-LN(2)/2)*AW184+(1-EXP(-LN(2)/2))/(LN(2)/2)*AQ185*AT185*VLOOKUP('Données projet'!$B$10,Paramètres!$A$1:$I$89,3,0)*0.475*44/12</f>
        <v>3.1815396925406377E-22</v>
      </c>
      <c r="AX185" s="21">
        <f t="shared" si="166"/>
        <v>0.46412366903728031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-3.4317508834647017E-13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207.93042467236967</v>
      </c>
      <c r="BJ185" s="59">
        <f t="shared" si="146"/>
        <v>250.70954318710835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0.13557630924365052</v>
      </c>
      <c r="BQ185" s="21">
        <f>EXP(-LN(2)/25)*BQ184+(1-EXP(-LN(2)/25))/(LN(2)/25)*Calculateur!BL185*Calculateur!BN185*VLOOKUP('Données projet'!$B$11,Paramètres!$A$1:$I$89,3,0)*0.475*44/12</f>
        <v>0.25574364700346841</v>
      </c>
      <c r="BR185" s="21">
        <f>EXP(-LN(2)/2)*BR184+(1-EXP(-LN(2)/2))/(LN(2)/2)*BL185*BO185*VLOOKUP('Données projet'!$B$11,Paramètres!$A$1:$I$89,3,0)*0.475*44/12</f>
        <v>2.6824746427303414E-22</v>
      </c>
      <c r="BS185" s="22">
        <f t="shared" si="169"/>
        <v>0.39131995624711891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-3.2987372833304104E-13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347.8889410585312</v>
      </c>
      <c r="CE185" s="59">
        <f t="shared" si="148"/>
        <v>254.78167322479203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0.12687896110349187</v>
      </c>
      <c r="CL185" s="21">
        <f>EXP(-LN(2)/25)*CL184+(1-EXP(-LN(2)/25))/(LN(2)/25)*Calculateur!CG185*Calculateur!CI185*VLOOKUP('Données projet'!$B$12,Paramètres!$A$1:$I$89,3,0)*0.475*44/12</f>
        <v>0.17828668930871444</v>
      </c>
      <c r="CM185" s="21">
        <f>EXP(-LN(2)/2)*CM184+(1-EXP(-LN(2)/2))/(LN(2)/2)*CG185*CJ185*VLOOKUP('Données projet'!$B$12,Paramètres!$A$1:$I$89,3,0)*0.475*44/12</f>
        <v>3.0492886718696972E-22</v>
      </c>
      <c r="CN185" s="22">
        <f t="shared" si="172"/>
        <v>0.30516565041220634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-3.0859155231155454E-13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318.40875902853116</v>
      </c>
      <c r="T186" s="59">
        <f t="shared" si="142"/>
        <v>234.87694492493506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-4.0702161641092972E-13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260.20517190557814</v>
      </c>
      <c r="AO186" s="59">
        <f t="shared" si="144"/>
        <v>307.22009971147133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0.15764662246862945</v>
      </c>
      <c r="AV186" s="21">
        <f>EXP(-LN(2)/25)*AV185+(1-EXP(-LN(2)/25))/(LN(2)/25)*Calculateur!AQ186*Calculateur!AS186*VLOOKUP('Données projet'!$B$10,Paramètres!$A$1:$I$89,3,0)*0.475*44/12</f>
        <v>0.29502945348573023</v>
      </c>
      <c r="AW186" s="21">
        <f>EXP(-LN(2)/2)*AW185+(1-EXP(-LN(2)/2))/(LN(2)/2)*AQ186*AT186*VLOOKUP('Données projet'!$B$10,Paramètres!$A$1:$I$89,3,0)*0.475*44/12</f>
        <v>2.2496882912096484E-22</v>
      </c>
      <c r="AX186" s="21">
        <f t="shared" si="166"/>
        <v>0.45267607595435966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-3.4317508834647017E-13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207.93042467236967</v>
      </c>
      <c r="BJ186" s="59">
        <f t="shared" si="146"/>
        <v>250.70954318710835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0.13291774051276589</v>
      </c>
      <c r="BQ186" s="21">
        <f>EXP(-LN(2)/25)*BQ185+(1-EXP(-LN(2)/25))/(LN(2)/25)*Calculateur!BL186*Calculateur!BN186*VLOOKUP('Données projet'!$B$11,Paramètres!$A$1:$I$89,3,0)*0.475*44/12</f>
        <v>0.24875032352718468</v>
      </c>
      <c r="BR186" s="21">
        <f>EXP(-LN(2)/2)*BR185+(1-EXP(-LN(2)/2))/(LN(2)/2)*BL186*BO186*VLOOKUP('Données projet'!$B$11,Paramètres!$A$1:$I$89,3,0)*0.475*44/12</f>
        <v>1.8967960102355858E-22</v>
      </c>
      <c r="BS186" s="22">
        <f t="shared" si="169"/>
        <v>0.38166806403995057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-3.2987372833304104E-13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347.8889410585312</v>
      </c>
      <c r="CE186" s="59">
        <f t="shared" si="148"/>
        <v>254.78167322479203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0.12439094206477719</v>
      </c>
      <c r="CL186" s="21">
        <f>EXP(-LN(2)/25)*CL185+(1-EXP(-LN(2)/25))/(LN(2)/25)*Calculateur!CG186*Calculateur!CI186*VLOOKUP('Données projet'!$B$12,Paramètres!$A$1:$I$89,3,0)*0.475*44/12</f>
        <v>0.17341143041387813</v>
      </c>
      <c r="CM186" s="21">
        <f>EXP(-LN(2)/2)*CM185+(1-EXP(-LN(2)/2))/(LN(2)/2)*CG186*CJ186*VLOOKUP('Données projet'!$B$12,Paramètres!$A$1:$I$89,3,0)*0.475*44/12</f>
        <v>2.1561726976743841E-22</v>
      </c>
      <c r="CN186" s="22">
        <f t="shared" si="172"/>
        <v>0.29780237247865532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-3.0859155231155454E-13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318.40875902853116</v>
      </c>
      <c r="T187" s="59">
        <f t="shared" si="142"/>
        <v>234.87694492493506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-4.0702161641092972E-13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260.20517190557814</v>
      </c>
      <c r="AO187" s="59">
        <f t="shared" si="144"/>
        <v>307.22009971147133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0.15455526835696481</v>
      </c>
      <c r="AV187" s="21">
        <f>EXP(-LN(2)/25)*AV186+(1-EXP(-LN(2)/25))/(LN(2)/25)*Calculateur!AQ187*Calculateur!AS187*VLOOKUP('Données projet'!$B$10,Paramètres!$A$1:$I$89,3,0)*0.475*44/12</f>
        <v>0.28696185756523829</v>
      </c>
      <c r="AW187" s="21">
        <f>EXP(-LN(2)/2)*AW186+(1-EXP(-LN(2)/2))/(LN(2)/2)*AQ187*AT187*VLOOKUP('Données projet'!$B$10,Paramètres!$A$1:$I$89,3,0)*0.475*44/12</f>
        <v>1.5907698462703189E-22</v>
      </c>
      <c r="AX187" s="21">
        <f t="shared" si="166"/>
        <v>0.4415171259222031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-3.4317508834647017E-13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207.93042467236967</v>
      </c>
      <c r="BJ187" s="59">
        <f t="shared" si="146"/>
        <v>250.70954318710835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0.1303113046931271</v>
      </c>
      <c r="BQ187" s="21">
        <f>EXP(-LN(2)/25)*BQ186+(1-EXP(-LN(2)/25))/(LN(2)/25)*Calculateur!BL187*Calculateur!BN187*VLOOKUP('Données projet'!$B$11,Paramètres!$A$1:$I$89,3,0)*0.475*44/12</f>
        <v>0.24194823284912284</v>
      </c>
      <c r="BR187" s="21">
        <f>EXP(-LN(2)/2)*BR186+(1-EXP(-LN(2)/2))/(LN(2)/2)*BL187*BO187*VLOOKUP('Données projet'!$B$11,Paramètres!$A$1:$I$89,3,0)*0.475*44/12</f>
        <v>1.3412373213651707E-22</v>
      </c>
      <c r="BS187" s="22">
        <f t="shared" si="169"/>
        <v>0.37225953754224994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-3.2987372833304104E-13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347.8889410585312</v>
      </c>
      <c r="CE187" s="59">
        <f t="shared" si="148"/>
        <v>254.78167322479203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0.12195171156186993</v>
      </c>
      <c r="CL187" s="21">
        <f>EXP(-LN(2)/25)*CL186+(1-EXP(-LN(2)/25))/(LN(2)/25)*Calculateur!CG187*Calculateur!CI187*VLOOKUP('Données projet'!$B$12,Paramètres!$A$1:$I$89,3,0)*0.475*44/12</f>
        <v>0.16866948572989984</v>
      </c>
      <c r="CM187" s="21">
        <f>EXP(-LN(2)/2)*CM186+(1-EXP(-LN(2)/2))/(LN(2)/2)*CG187*CJ187*VLOOKUP('Données projet'!$B$12,Paramètres!$A$1:$I$89,3,0)*0.475*44/12</f>
        <v>1.5246443359348486E-22</v>
      </c>
      <c r="CN187" s="22">
        <f t="shared" si="172"/>
        <v>0.29062119729176977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-3.0859155231155454E-13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318.40875902853116</v>
      </c>
      <c r="T188" s="59">
        <f t="shared" si="142"/>
        <v>234.87694492493506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-4.0702161641092972E-13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260.20517190557814</v>
      </c>
      <c r="AO188" s="59">
        <f t="shared" si="144"/>
        <v>307.22009971147133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0.15152453381389011</v>
      </c>
      <c r="AV188" s="21">
        <f>EXP(-LN(2)/25)*AV187+(1-EXP(-LN(2)/25))/(LN(2)/25)*Calculateur!AQ188*Calculateur!AS188*VLOOKUP('Données projet'!$B$10,Paramètres!$A$1:$I$89,3,0)*0.475*44/12</f>
        <v>0.27911487047944861</v>
      </c>
      <c r="AW188" s="21">
        <f>EXP(-LN(2)/2)*AW187+(1-EXP(-LN(2)/2))/(LN(2)/2)*AQ188*AT188*VLOOKUP('Données projet'!$B$10,Paramètres!$A$1:$I$89,3,0)*0.475*44/12</f>
        <v>1.1248441456048242E-22</v>
      </c>
      <c r="AX188" s="21">
        <f t="shared" si="166"/>
        <v>0.43063940429333869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-3.4317508834647017E-13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207.93042467236967</v>
      </c>
      <c r="BJ188" s="59">
        <f t="shared" si="146"/>
        <v>250.70954318710835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0.12775597949014253</v>
      </c>
      <c r="BQ188" s="21">
        <f>EXP(-LN(2)/25)*BQ187+(1-EXP(-LN(2)/25))/(LN(2)/25)*Calculateur!BL188*Calculateur!BN188*VLOOKUP('Données projet'!$B$11,Paramètres!$A$1:$I$89,3,0)*0.475*44/12</f>
        <v>0.235332145698359</v>
      </c>
      <c r="BR188" s="21">
        <f>EXP(-LN(2)/2)*BR187+(1-EXP(-LN(2)/2))/(LN(2)/2)*BL188*BO188*VLOOKUP('Données projet'!$B$11,Paramètres!$A$1:$I$89,3,0)*0.475*44/12</f>
        <v>9.4839800511779291E-23</v>
      </c>
      <c r="BS188" s="22">
        <f t="shared" si="169"/>
        <v>0.36308812518850153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-3.2987372833304104E-13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347.8889410585312</v>
      </c>
      <c r="CE188" s="59">
        <f t="shared" si="148"/>
        <v>254.78167322479203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0.11956031288134099</v>
      </c>
      <c r="CL188" s="21">
        <f>EXP(-LN(2)/25)*CL187+(1-EXP(-LN(2)/25))/(LN(2)/25)*Calculateur!CG188*Calculateur!CI188*VLOOKUP('Données projet'!$B$12,Paramètres!$A$1:$I$89,3,0)*0.475*44/12</f>
        <v>0.16405720977267296</v>
      </c>
      <c r="CM188" s="21">
        <f>EXP(-LN(2)/2)*CM187+(1-EXP(-LN(2)/2))/(LN(2)/2)*CG188*CJ188*VLOOKUP('Données projet'!$B$12,Paramètres!$A$1:$I$89,3,0)*0.475*44/12</f>
        <v>1.078086348837192E-22</v>
      </c>
      <c r="CN188" s="22">
        <f t="shared" si="172"/>
        <v>0.28361752265401396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-3.0859155231155454E-13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318.40875902853116</v>
      </c>
      <c r="T189" s="59">
        <f t="shared" si="142"/>
        <v>234.87694492493506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-4.0702161641092972E-13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260.20517190557814</v>
      </c>
      <c r="AO189" s="59">
        <f t="shared" si="144"/>
        <v>307.22009971147133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0.14855323012663954</v>
      </c>
      <c r="AV189" s="21">
        <f>EXP(-LN(2)/25)*AV188+(1-EXP(-LN(2)/25))/(LN(2)/25)*Calculateur!AQ189*Calculateur!AS189*VLOOKUP('Données projet'!$B$10,Paramètres!$A$1:$I$89,3,0)*0.475*44/12</f>
        <v>0.27148245966817497</v>
      </c>
      <c r="AW189" s="21">
        <f>EXP(-LN(2)/2)*AW188+(1-EXP(-LN(2)/2))/(LN(2)/2)*AQ189*AT189*VLOOKUP('Données projet'!$B$10,Paramètres!$A$1:$I$89,3,0)*0.475*44/12</f>
        <v>7.9538492313515944E-23</v>
      </c>
      <c r="AX189" s="21">
        <f t="shared" si="166"/>
        <v>0.42003568979481454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-3.4317508834647017E-13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207.93042467236967</v>
      </c>
      <c r="BJ189" s="59">
        <f t="shared" si="146"/>
        <v>250.70954318710835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0.12525076265579402</v>
      </c>
      <c r="BQ189" s="21">
        <f>EXP(-LN(2)/25)*BQ188+(1-EXP(-LN(2)/25))/(LN(2)/25)*Calculateur!BL189*Calculateur!BN189*VLOOKUP('Données projet'!$B$11,Paramètres!$A$1:$I$89,3,0)*0.475*44/12</f>
        <v>0.2288969757986577</v>
      </c>
      <c r="BR189" s="21">
        <f>EXP(-LN(2)/2)*BR188+(1-EXP(-LN(2)/2))/(LN(2)/2)*BL189*BO189*VLOOKUP('Données projet'!$B$11,Paramètres!$A$1:$I$89,3,0)*0.475*44/12</f>
        <v>6.7061866068258536E-23</v>
      </c>
      <c r="BS189" s="22">
        <f t="shared" si="169"/>
        <v>0.35414773845445169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-3.2987372833304104E-13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347.8889410585312</v>
      </c>
      <c r="CE189" s="59">
        <f t="shared" si="148"/>
        <v>254.78167322479203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0.11721580807032804</v>
      </c>
      <c r="CL189" s="21">
        <f>EXP(-LN(2)/25)*CL188+(1-EXP(-LN(2)/25))/(LN(2)/25)*Calculateur!CG189*Calculateur!CI189*VLOOKUP('Données projet'!$B$12,Paramètres!$A$1:$I$89,3,0)*0.475*44/12</f>
        <v>0.15957105674404551</v>
      </c>
      <c r="CM189" s="21">
        <f>EXP(-LN(2)/2)*CM188+(1-EXP(-LN(2)/2))/(LN(2)/2)*CG189*CJ189*VLOOKUP('Données projet'!$B$12,Paramètres!$A$1:$I$89,3,0)*0.475*44/12</f>
        <v>7.6232216796742431E-23</v>
      </c>
      <c r="CN189" s="22">
        <f t="shared" si="172"/>
        <v>0.27678686481437353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-3.0859155231155454E-13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318.40875902853116</v>
      </c>
      <c r="T190" s="59">
        <f t="shared" si="142"/>
        <v>234.87694492493506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-4.0702161641092972E-13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260.20517190557814</v>
      </c>
      <c r="AO190" s="59">
        <f t="shared" si="144"/>
        <v>307.22009971147133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0.14564019189237967</v>
      </c>
      <c r="AV190" s="21">
        <f>EXP(-LN(2)/25)*AV189+(1-EXP(-LN(2)/25))/(LN(2)/25)*Calculateur!AQ190*Calculateur!AS190*VLOOKUP('Données projet'!$B$10,Paramètres!$A$1:$I$89,3,0)*0.475*44/12</f>
        <v>0.26405875753190666</v>
      </c>
      <c r="AW190" s="21">
        <f>EXP(-LN(2)/2)*AW189+(1-EXP(-LN(2)/2))/(LN(2)/2)*AQ190*AT190*VLOOKUP('Données projet'!$B$10,Paramètres!$A$1:$I$89,3,0)*0.475*44/12</f>
        <v>5.624220728024121E-23</v>
      </c>
      <c r="AX190" s="21">
        <f t="shared" si="166"/>
        <v>0.40969894942428631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-3.4317508834647017E-13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207.93042467236967</v>
      </c>
      <c r="BJ190" s="59">
        <f t="shared" si="146"/>
        <v>250.70954318710835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0.1227946715955357</v>
      </c>
      <c r="BQ190" s="21">
        <f>EXP(-LN(2)/25)*BQ189+(1-EXP(-LN(2)/25))/(LN(2)/25)*Calculateur!BL190*Calculateur!BN190*VLOOKUP('Données projet'!$B$11,Paramètres!$A$1:$I$89,3,0)*0.475*44/12</f>
        <v>0.22263777595827461</v>
      </c>
      <c r="BR190" s="21">
        <f>EXP(-LN(2)/2)*BR189+(1-EXP(-LN(2)/2))/(LN(2)/2)*BL190*BO190*VLOOKUP('Données projet'!$B$11,Paramètres!$A$1:$I$89,3,0)*0.475*44/12</f>
        <v>4.7419900255889645E-23</v>
      </c>
      <c r="BS190" s="22">
        <f t="shared" si="169"/>
        <v>0.34543244755381031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-3.2987372833304104E-13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347.8889410585312</v>
      </c>
      <c r="CE190" s="59">
        <f t="shared" si="148"/>
        <v>254.78167322479203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0.11491727756865233</v>
      </c>
      <c r="CL190" s="21">
        <f>EXP(-LN(2)/25)*CL189+(1-EXP(-LN(2)/25))/(LN(2)/25)*Calculateur!CG190*Calculateur!CI190*VLOOKUP('Données projet'!$B$12,Paramètres!$A$1:$I$89,3,0)*0.475*44/12</f>
        <v>0.15520757780590241</v>
      </c>
      <c r="CM190" s="21">
        <f>EXP(-LN(2)/2)*CM189+(1-EXP(-LN(2)/2))/(LN(2)/2)*CG190*CJ190*VLOOKUP('Données projet'!$B$12,Paramètres!$A$1:$I$89,3,0)*0.475*44/12</f>
        <v>5.3904317441859602E-23</v>
      </c>
      <c r="CN190" s="22">
        <f t="shared" si="172"/>
        <v>0.27012485537455477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-3.0859155231155454E-13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318.40875902853116</v>
      </c>
      <c r="T191" s="59">
        <f t="shared" si="142"/>
        <v>234.87694492493506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-4.0702161641092972E-13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260.20517190557814</v>
      </c>
      <c r="AO191" s="59">
        <f t="shared" si="144"/>
        <v>307.22009971147133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0.14278427656111575</v>
      </c>
      <c r="AV191" s="21">
        <f>EXP(-LN(2)/25)*AV190+(1-EXP(-LN(2)/25))/(LN(2)/25)*Calculateur!AQ191*Calculateur!AS191*VLOOKUP('Données projet'!$B$10,Paramètres!$A$1:$I$89,3,0)*0.475*44/12</f>
        <v>0.25683805692095013</v>
      </c>
      <c r="AW191" s="21">
        <f>EXP(-LN(2)/2)*AW190+(1-EXP(-LN(2)/2))/(LN(2)/2)*AQ191*AT191*VLOOKUP('Données projet'!$B$10,Paramètres!$A$1:$I$89,3,0)*0.475*44/12</f>
        <v>3.9769246156757972E-23</v>
      </c>
      <c r="AX191" s="21">
        <f t="shared" si="166"/>
        <v>0.39962233348206588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-3.4317508834647017E-13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207.93042467236967</v>
      </c>
      <c r="BJ191" s="59">
        <f t="shared" si="146"/>
        <v>250.70954318710835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0.12038674298290142</v>
      </c>
      <c r="BQ191" s="21">
        <f>EXP(-LN(2)/25)*BQ190+(1-EXP(-LN(2)/25))/(LN(2)/25)*Calculateur!BL191*Calculateur!BN191*VLOOKUP('Données projet'!$B$11,Paramètres!$A$1:$I$89,3,0)*0.475*44/12</f>
        <v>0.21654973426668381</v>
      </c>
      <c r="BR191" s="21">
        <f>EXP(-LN(2)/2)*BR190+(1-EXP(-LN(2)/2))/(LN(2)/2)*BL191*BO191*VLOOKUP('Données projet'!$B$11,Paramètres!$A$1:$I$89,3,0)*0.475*44/12</f>
        <v>3.3530933034129268E-23</v>
      </c>
      <c r="BS191" s="22">
        <f t="shared" si="169"/>
        <v>0.3369364772495852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-3.2987372833304104E-13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347.8889410585312</v>
      </c>
      <c r="CE191" s="59">
        <f t="shared" si="148"/>
        <v>254.78167322479203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0.1126638198481493</v>
      </c>
      <c r="CL191" s="21">
        <f>EXP(-LN(2)/25)*CL190+(1-EXP(-LN(2)/25))/(LN(2)/25)*Calculateur!CG191*Calculateur!CI191*VLOOKUP('Données projet'!$B$12,Paramètres!$A$1:$I$89,3,0)*0.475*44/12</f>
        <v>0.15096341842878822</v>
      </c>
      <c r="CM191" s="21">
        <f>EXP(-LN(2)/2)*CM190+(1-EXP(-LN(2)/2))/(LN(2)/2)*CG191*CJ191*VLOOKUP('Données projet'!$B$12,Paramètres!$A$1:$I$89,3,0)*0.475*44/12</f>
        <v>3.8116108398371215E-23</v>
      </c>
      <c r="CN191" s="22">
        <f t="shared" si="172"/>
        <v>0.26362723827693751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-3.0859155231155454E-13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318.40875902853116</v>
      </c>
      <c r="T192" s="59">
        <f t="shared" si="142"/>
        <v>234.87694492493506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-4.0702161641092972E-13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260.20517190557814</v>
      </c>
      <c r="AO192" s="59">
        <f t="shared" si="144"/>
        <v>307.22009971147133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0.13998436398756156</v>
      </c>
      <c r="AV192" s="21">
        <f>EXP(-LN(2)/25)*AV191+(1-EXP(-LN(2)/25))/(LN(2)/25)*Calculateur!AQ192*Calculateur!AS192*VLOOKUP('Données projet'!$B$10,Paramètres!$A$1:$I$89,3,0)*0.475*44/12</f>
        <v>0.24981480674792034</v>
      </c>
      <c r="AW192" s="21">
        <f>EXP(-LN(2)/2)*AW191+(1-EXP(-LN(2)/2))/(LN(2)/2)*AQ192*AT192*VLOOKUP('Données projet'!$B$10,Paramètres!$A$1:$I$89,3,0)*0.475*44/12</f>
        <v>2.8121103640120605E-23</v>
      </c>
      <c r="AX192" s="21">
        <f t="shared" si="166"/>
        <v>0.38979917073548187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-3.4317508834647017E-13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207.93042467236967</v>
      </c>
      <c r="BJ192" s="59">
        <f t="shared" si="146"/>
        <v>250.70954318710835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0.11802603238166946</v>
      </c>
      <c r="BQ192" s="21">
        <f>EXP(-LN(2)/25)*BQ191+(1-EXP(-LN(2)/25))/(LN(2)/25)*Calculateur!BL192*Calculateur!BN192*VLOOKUP('Données projet'!$B$11,Paramètres!$A$1:$I$89,3,0)*0.475*44/12</f>
        <v>0.21062817039530574</v>
      </c>
      <c r="BR192" s="21">
        <f>EXP(-LN(2)/2)*BR191+(1-EXP(-LN(2)/2))/(LN(2)/2)*BL192*BO192*VLOOKUP('Données projet'!$B$11,Paramètres!$A$1:$I$89,3,0)*0.475*44/12</f>
        <v>2.3709950127944823E-23</v>
      </c>
      <c r="BS192" s="22">
        <f t="shared" si="169"/>
        <v>0.32865420277697521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-3.2987372833304104E-13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347.8889410585312</v>
      </c>
      <c r="CE192" s="59">
        <f t="shared" si="148"/>
        <v>254.78167322479203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0.11045455105907184</v>
      </c>
      <c r="CL192" s="21">
        <f>EXP(-LN(2)/25)*CL191+(1-EXP(-LN(2)/25))/(LN(2)/25)*Calculateur!CG192*Calculateur!CI192*VLOOKUP('Données projet'!$B$12,Paramètres!$A$1:$I$89,3,0)*0.475*44/12</f>
        <v>0.14683531581303186</v>
      </c>
      <c r="CM192" s="21">
        <f>EXP(-LN(2)/2)*CM191+(1-EXP(-LN(2)/2))/(LN(2)/2)*CG192*CJ192*VLOOKUP('Données projet'!$B$12,Paramètres!$A$1:$I$89,3,0)*0.475*44/12</f>
        <v>2.6952158720929801E-23</v>
      </c>
      <c r="CN192" s="22">
        <f t="shared" si="172"/>
        <v>0.2572898668721037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-3.0859155231155454E-13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318.40875902853116</v>
      </c>
      <c r="T193" s="59">
        <f t="shared" si="142"/>
        <v>234.87694492493506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-4.0702161641092972E-13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260.20517190557814</v>
      </c>
      <c r="AO193" s="59">
        <f t="shared" si="144"/>
        <v>307.22009971147133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0.13723935599179674</v>
      </c>
      <c r="AV193" s="21">
        <f>EXP(-LN(2)/25)*AV192+(1-EXP(-LN(2)/25))/(LN(2)/25)*Calculateur!AQ193*Calculateur!AS193*VLOOKUP('Données projet'!$B$10,Paramètres!$A$1:$I$89,3,0)*0.475*44/12</f>
        <v>0.24298360772020872</v>
      </c>
      <c r="AW193" s="21">
        <f>EXP(-LN(2)/2)*AW192+(1-EXP(-LN(2)/2))/(LN(2)/2)*AQ193*AT193*VLOOKUP('Données projet'!$B$10,Paramètres!$A$1:$I$89,3,0)*0.475*44/12</f>
        <v>1.9884623078378986E-23</v>
      </c>
      <c r="AX193" s="21">
        <f t="shared" si="166"/>
        <v>0.38022296371200548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-3.4317508834647017E-13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207.93042467236967</v>
      </c>
      <c r="BJ193" s="59">
        <f t="shared" si="146"/>
        <v>250.70954318710835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0.11571161387543638</v>
      </c>
      <c r="BQ193" s="21">
        <f>EXP(-LN(2)/25)*BQ192+(1-EXP(-LN(2)/25))/(LN(2)/25)*Calculateur!BL193*Calculateur!BN193*VLOOKUP('Données projet'!$B$11,Paramètres!$A$1:$I$89,3,0)*0.475*44/12</f>
        <v>0.20486853199939201</v>
      </c>
      <c r="BR193" s="21">
        <f>EXP(-LN(2)/2)*BR192+(1-EXP(-LN(2)/2))/(LN(2)/2)*BL193*BO193*VLOOKUP('Données projet'!$B$11,Paramètres!$A$1:$I$89,3,0)*0.475*44/12</f>
        <v>1.6765466517064634E-23</v>
      </c>
      <c r="BS193" s="22">
        <f t="shared" si="169"/>
        <v>0.32058014587482841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-3.2987372833304104E-13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347.8889410585312</v>
      </c>
      <c r="CE193" s="59">
        <f t="shared" si="148"/>
        <v>254.78167322479203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0.1082886046834273</v>
      </c>
      <c r="CL193" s="21">
        <f>EXP(-LN(2)/25)*CL192+(1-EXP(-LN(2)/25))/(LN(2)/25)*Calculateur!CG193*Calculateur!CI193*VLOOKUP('Données projet'!$B$12,Paramètres!$A$1:$I$89,3,0)*0.475*44/12</f>
        <v>0.14282009638039084</v>
      </c>
      <c r="CM193" s="21">
        <f>EXP(-LN(2)/2)*CM192+(1-EXP(-LN(2)/2))/(LN(2)/2)*CG193*CJ193*VLOOKUP('Données projet'!$B$12,Paramètres!$A$1:$I$89,3,0)*0.475*44/12</f>
        <v>1.9058054199185608E-23</v>
      </c>
      <c r="CN193" s="22">
        <f t="shared" si="172"/>
        <v>0.25110870106381811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-3.0859155231155454E-13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318.40875902853116</v>
      </c>
      <c r="T194" s="59">
        <f t="shared" si="142"/>
        <v>234.87694492493506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-4.0702161641092972E-13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260.20517190557814</v>
      </c>
      <c r="AO194" s="59">
        <f t="shared" si="144"/>
        <v>307.22009971147133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0.13454817592853929</v>
      </c>
      <c r="AV194" s="21">
        <f>EXP(-LN(2)/25)*AV193+(1-EXP(-LN(2)/25))/(LN(2)/25)*Calculateur!AQ194*Calculateur!AS194*VLOOKUP('Données projet'!$B$10,Paramètres!$A$1:$I$89,3,0)*0.475*44/12</f>
        <v>0.23633920818914703</v>
      </c>
      <c r="AW194" s="21">
        <f>EXP(-LN(2)/2)*AW193+(1-EXP(-LN(2)/2))/(LN(2)/2)*AQ194*AT194*VLOOKUP('Données projet'!$B$10,Paramètres!$A$1:$I$89,3,0)*0.475*44/12</f>
        <v>1.4060551820060303E-23</v>
      </c>
      <c r="AX194" s="21">
        <f t="shared" si="166"/>
        <v>0.37088738411768629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-3.4317508834647017E-13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207.93042467236967</v>
      </c>
      <c r="BJ194" s="59">
        <f t="shared" si="146"/>
        <v>250.70954318710835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0.11344257970445462</v>
      </c>
      <c r="BQ194" s="21">
        <f>EXP(-LN(2)/25)*BQ193+(1-EXP(-LN(2)/25))/(LN(2)/25)*Calculateur!BL194*Calculateur!BN194*VLOOKUP('Données projet'!$B$11,Paramètres!$A$1:$I$89,3,0)*0.475*44/12</f>
        <v>0.19926639121830075</v>
      </c>
      <c r="BR194" s="21">
        <f>EXP(-LN(2)/2)*BR193+(1-EXP(-LN(2)/2))/(LN(2)/2)*BL194*BO194*VLOOKUP('Données projet'!$B$11,Paramètres!$A$1:$I$89,3,0)*0.475*44/12</f>
        <v>1.1854975063972411E-23</v>
      </c>
      <c r="BS194" s="22">
        <f t="shared" si="169"/>
        <v>0.3127089709227554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-3.2987372833304104E-13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347.8889410585312</v>
      </c>
      <c r="CE194" s="59">
        <f t="shared" si="148"/>
        <v>254.78167322479203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0.1061651311951123</v>
      </c>
      <c r="CL194" s="21">
        <f>EXP(-LN(2)/25)*CL193+(1-EXP(-LN(2)/25))/(LN(2)/25)*Calculateur!CG194*Calculateur!CI194*VLOOKUP('Données projet'!$B$12,Paramètres!$A$1:$I$89,3,0)*0.475*44/12</f>
        <v>0.13891467333428661</v>
      </c>
      <c r="CM194" s="21">
        <f>EXP(-LN(2)/2)*CM193+(1-EXP(-LN(2)/2))/(LN(2)/2)*CG194*CJ194*VLOOKUP('Données projet'!$B$12,Paramètres!$A$1:$I$89,3,0)*0.475*44/12</f>
        <v>1.34760793604649E-23</v>
      </c>
      <c r="CN194" s="22">
        <f t="shared" si="172"/>
        <v>0.24507980452939893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-3.0859155231155454E-13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318.40875902853116</v>
      </c>
      <c r="T195" s="59">
        <f t="shared" si="142"/>
        <v>234.87694492493506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-4.0702161641092972E-13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260.20517190557814</v>
      </c>
      <c r="AO195" s="59">
        <f t="shared" si="144"/>
        <v>307.22009971147133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0.13190976826486459</v>
      </c>
      <c r="AV195" s="21">
        <f>EXP(-LN(2)/25)*AV194+(1-EXP(-LN(2)/25))/(LN(2)/25)*Calculateur!AQ195*Calculateur!AS195*VLOOKUP('Données projet'!$B$10,Paramètres!$A$1:$I$89,3,0)*0.475*44/12</f>
        <v>0.22987650011267599</v>
      </c>
      <c r="AW195" s="21">
        <f>EXP(-LN(2)/2)*AW194+(1-EXP(-LN(2)/2))/(LN(2)/2)*AQ195*AT195*VLOOKUP('Données projet'!$B$10,Paramètres!$A$1:$I$89,3,0)*0.475*44/12</f>
        <v>9.942311539189493E-24</v>
      </c>
      <c r="AX195" s="21">
        <f t="shared" si="166"/>
        <v>0.36178626837754058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-3.4317508834647017E-13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207.93042467236967</v>
      </c>
      <c r="BJ195" s="59">
        <f t="shared" si="146"/>
        <v>250.70954318710835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0.11121803990959163</v>
      </c>
      <c r="BQ195" s="21">
        <f>EXP(-LN(2)/25)*BQ194+(1-EXP(-LN(2)/25))/(LN(2)/25)*Calculateur!BL195*Calculateur!BN195*VLOOKUP('Données projet'!$B$11,Paramètres!$A$1:$I$89,3,0)*0.475*44/12</f>
        <v>0.19381744127147224</v>
      </c>
      <c r="BR195" s="21">
        <f>EXP(-LN(2)/2)*BR194+(1-EXP(-LN(2)/2))/(LN(2)/2)*BL195*BO195*VLOOKUP('Données projet'!$B$11,Paramètres!$A$1:$I$89,3,0)*0.475*44/12</f>
        <v>8.382733258532317E-24</v>
      </c>
      <c r="BS195" s="22">
        <f t="shared" si="169"/>
        <v>0.30503548118106388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-3.2987372833304104E-13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347.8889410585312</v>
      </c>
      <c r="CE195" s="59">
        <f t="shared" si="148"/>
        <v>254.78167322479203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0.10408329772671221</v>
      </c>
      <c r="CL195" s="21">
        <f>EXP(-LN(2)/25)*CL194+(1-EXP(-LN(2)/25))/(LN(2)/25)*Calculateur!CG195*Calculateur!CI195*VLOOKUP('Données projet'!$B$12,Paramètres!$A$1:$I$89,3,0)*0.475*44/12</f>
        <v>0.13511604428675536</v>
      </c>
      <c r="CM195" s="21">
        <f>EXP(-LN(2)/2)*CM194+(1-EXP(-LN(2)/2))/(LN(2)/2)*CG195*CJ195*VLOOKUP('Données projet'!$B$12,Paramètres!$A$1:$I$89,3,0)*0.475*44/12</f>
        <v>9.5290270995928038E-24</v>
      </c>
      <c r="CN195" s="22">
        <f t="shared" si="172"/>
        <v>0.23919934201346757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-3.0859155231155454E-13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318.40875902853116</v>
      </c>
      <c r="T196" s="59">
        <f t="shared" si="142"/>
        <v>234.87694492493506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-4.0702161641092972E-13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260.20517190557814</v>
      </c>
      <c r="AO196" s="59">
        <f t="shared" si="144"/>
        <v>307.22009971147133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0.12932309816620477</v>
      </c>
      <c r="AV196" s="21">
        <f>EXP(-LN(2)/25)*AV195+(1-EXP(-LN(2)/25))/(LN(2)/25)*Calculateur!AQ196*Calculateur!AS196*VLOOKUP('Données projet'!$B$10,Paramètres!$A$1:$I$89,3,0)*0.475*44/12</f>
        <v>0.2235905151284151</v>
      </c>
      <c r="AW196" s="21">
        <f>EXP(-LN(2)/2)*AW195+(1-EXP(-LN(2)/2))/(LN(2)/2)*AQ196*AT196*VLOOKUP('Données projet'!$B$10,Paramètres!$A$1:$I$89,3,0)*0.475*44/12</f>
        <v>7.0302759100301513E-24</v>
      </c>
      <c r="AX196" s="21">
        <f t="shared" si="166"/>
        <v>0.3529136132946199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-3.4317508834647017E-13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207.93042467236967</v>
      </c>
      <c r="BJ196" s="59">
        <f t="shared" si="146"/>
        <v>250.70954318710835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0.1090371219832706</v>
      </c>
      <c r="BQ196" s="21">
        <f>EXP(-LN(2)/25)*BQ195+(1-EXP(-LN(2)/25))/(LN(2)/25)*Calculateur!BL196*Calculateur!BN196*VLOOKUP('Données projet'!$B$11,Paramètres!$A$1:$I$89,3,0)*0.475*44/12</f>
        <v>0.18851749314748756</v>
      </c>
      <c r="BR196" s="21">
        <f>EXP(-LN(2)/2)*BR195+(1-EXP(-LN(2)/2))/(LN(2)/2)*BL196*BO196*VLOOKUP('Données projet'!$B$11,Paramètres!$A$1:$I$89,3,0)*0.475*44/12</f>
        <v>5.9274875319862057E-24</v>
      </c>
      <c r="BS196" s="22">
        <f t="shared" si="169"/>
        <v>0.29755461513075815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-3.2987372833304104E-13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347.8889410585312</v>
      </c>
      <c r="CE196" s="59">
        <f t="shared" si="148"/>
        <v>254.78167322479203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0.10204228774283441</v>
      </c>
      <c r="CL196" s="21">
        <f>EXP(-LN(2)/25)*CL195+(1-EXP(-LN(2)/25))/(LN(2)/25)*Calculateur!CG196*Calculateur!CI196*VLOOKUP('Données projet'!$B$12,Paramètres!$A$1:$I$89,3,0)*0.475*44/12</f>
        <v>0.13142128895029007</v>
      </c>
      <c r="CM196" s="21">
        <f>EXP(-LN(2)/2)*CM195+(1-EXP(-LN(2)/2))/(LN(2)/2)*CG196*CJ196*VLOOKUP('Données projet'!$B$12,Paramètres!$A$1:$I$89,3,0)*0.475*44/12</f>
        <v>6.7380396802324502E-24</v>
      </c>
      <c r="CN196" s="22">
        <f t="shared" si="172"/>
        <v>0.23346357669312448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-3.0859155231155454E-13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318.40875902853116</v>
      </c>
      <c r="T197" s="59">
        <f t="shared" ref="T197:T203" si="204">$T$3</f>
        <v>234.87694492493506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-4.0702161641092972E-13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260.20517190557814</v>
      </c>
      <c r="AO197" s="59">
        <f t="shared" ref="AO197:AO203" si="205">$AO$3</f>
        <v>307.22009971147133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0.1267871510904667</v>
      </c>
      <c r="AV197" s="21">
        <f>EXP(-LN(2)/25)*AV196+(1-EXP(-LN(2)/25))/(LN(2)/25)*Calculateur!AQ197*Calculateur!AS197*VLOOKUP('Données projet'!$B$10,Paramètres!$A$1:$I$89,3,0)*0.475*44/12</f>
        <v>0.21747642073411441</v>
      </c>
      <c r="AW197" s="21">
        <f>EXP(-LN(2)/2)*AW196+(1-EXP(-LN(2)/2))/(LN(2)/2)*AQ197*AT197*VLOOKUP('Données projet'!$B$10,Paramètres!$A$1:$I$89,3,0)*0.475*44/12</f>
        <v>4.9711557695947465E-24</v>
      </c>
      <c r="AX197" s="21">
        <f t="shared" si="166"/>
        <v>0.34426357182458112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-3.4317508834647017E-13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207.93042467236967</v>
      </c>
      <c r="BJ197" s="59">
        <f t="shared" ref="BJ197:BJ203" si="206">$BJ$3</f>
        <v>250.70954318710835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0.10689897052725615</v>
      </c>
      <c r="BQ197" s="21">
        <f>EXP(-LN(2)/25)*BQ196+(1-EXP(-LN(2)/25))/(LN(2)/25)*Calculateur!BL197*Calculateur!BN197*VLOOKUP('Données projet'!$B$11,Paramètres!$A$1:$I$89,3,0)*0.475*44/12</f>
        <v>0.1833624723836654</v>
      </c>
      <c r="BR197" s="21">
        <f>EXP(-LN(2)/2)*BR196+(1-EXP(-LN(2)/2))/(LN(2)/2)*BL197*BO197*VLOOKUP('Données projet'!$B$11,Paramètres!$A$1:$I$89,3,0)*0.475*44/12</f>
        <v>4.1913666292661585E-24</v>
      </c>
      <c r="BS197" s="22">
        <f t="shared" si="169"/>
        <v>0.29026144291092154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-3.2987372833304104E-13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347.8889410585312</v>
      </c>
      <c r="CE197" s="59">
        <f t="shared" ref="CE197:CE203" si="207">$CE$3</f>
        <v>254.78167322479203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0.10004130071984731</v>
      </c>
      <c r="CL197" s="21">
        <f>EXP(-LN(2)/25)*CL196+(1-EXP(-LN(2)/25))/(LN(2)/25)*Calculateur!CG197*Calculateur!CI197*VLOOKUP('Données projet'!$B$12,Paramètres!$A$1:$I$89,3,0)*0.475*44/12</f>
        <v>0.12782756689279917</v>
      </c>
      <c r="CM197" s="21">
        <f>EXP(-LN(2)/2)*CM196+(1-EXP(-LN(2)/2))/(LN(2)/2)*CG197*CJ197*VLOOKUP('Données projet'!$B$12,Paramètres!$A$1:$I$89,3,0)*0.475*44/12</f>
        <v>4.7645135497964019E-24</v>
      </c>
      <c r="CN197" s="22">
        <f t="shared" si="172"/>
        <v>0.22786886761264646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-3.0859155231155454E-13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318.40875902853116</v>
      </c>
      <c r="T198" s="59">
        <f t="shared" si="204"/>
        <v>234.87694492493506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-4.0702161641092972E-13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260.20517190557814</v>
      </c>
      <c r="AO198" s="59">
        <f t="shared" si="205"/>
        <v>307.22009971147133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0.12430093239010886</v>
      </c>
      <c r="AV198" s="21">
        <f>EXP(-LN(2)/25)*AV197+(1-EXP(-LN(2)/25))/(LN(2)/25)*Calculateur!AQ198*Calculateur!AS198*VLOOKUP('Données projet'!$B$10,Paramètres!$A$1:$I$89,3,0)*0.475*44/12</f>
        <v>0.21152951657255215</v>
      </c>
      <c r="AW198" s="21">
        <f>EXP(-LN(2)/2)*AW197+(1-EXP(-LN(2)/2))/(LN(2)/2)*AQ198*AT198*VLOOKUP('Données projet'!$B$10,Paramètres!$A$1:$I$89,3,0)*0.475*44/12</f>
        <v>3.5151379550150756E-24</v>
      </c>
      <c r="AX198" s="21">
        <f t="shared" si="166"/>
        <v>0.33583044896266101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-3.4317508834647017E-13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207.93042467236967</v>
      </c>
      <c r="BJ198" s="59">
        <f t="shared" si="206"/>
        <v>250.70954318710835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0.10480274691715052</v>
      </c>
      <c r="BQ198" s="21">
        <f>EXP(-LN(2)/25)*BQ197+(1-EXP(-LN(2)/25))/(LN(2)/25)*Calculateur!BL198*Calculateur!BN198*VLOOKUP('Données projet'!$B$11,Paramètres!$A$1:$I$89,3,0)*0.475*44/12</f>
        <v>0.17834841593372072</v>
      </c>
      <c r="BR198" s="21">
        <f>EXP(-LN(2)/2)*BR197+(1-EXP(-LN(2)/2))/(LN(2)/2)*BL198*BO198*VLOOKUP('Données projet'!$B$11,Paramètres!$A$1:$I$89,3,0)*0.475*44/12</f>
        <v>2.9637437659931028E-24</v>
      </c>
      <c r="BS198" s="22">
        <f t="shared" si="169"/>
        <v>0.28315116285087127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-3.2987372833304104E-13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347.8889410585312</v>
      </c>
      <c r="CE198" s="59">
        <f t="shared" si="207"/>
        <v>254.78167322479203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9.8079551831899398E-2</v>
      </c>
      <c r="CL198" s="21">
        <f>EXP(-LN(2)/25)*CL197+(1-EXP(-LN(2)/25))/(LN(2)/25)*Calculateur!CG198*Calculateur!CI198*VLOOKUP('Données projet'!$B$12,Paramètres!$A$1:$I$89,3,0)*0.475*44/12</f>
        <v>0.12433211535395598</v>
      </c>
      <c r="CM198" s="21">
        <f>EXP(-LN(2)/2)*CM197+(1-EXP(-LN(2)/2))/(LN(2)/2)*CG198*CJ198*VLOOKUP('Données projet'!$B$12,Paramètres!$A$1:$I$89,3,0)*0.475*44/12</f>
        <v>3.3690198401162251E-24</v>
      </c>
      <c r="CN198" s="22">
        <f t="shared" si="172"/>
        <v>0.22241166718585537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-3.0859155231155454E-13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318.40875902853116</v>
      </c>
      <c r="T199" s="59">
        <f t="shared" si="204"/>
        <v>234.87694492493506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-4.0702161641092972E-13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260.20517190557814</v>
      </c>
      <c r="AO199" s="59">
        <f t="shared" si="205"/>
        <v>307.22009971147133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0.12186346692202137</v>
      </c>
      <c r="AV199" s="21">
        <f>EXP(-LN(2)/25)*AV198+(1-EXP(-LN(2)/25))/(LN(2)/25)*Calculateur!AQ199*Calculateur!AS199*VLOOKUP('Données projet'!$B$10,Paramètres!$A$1:$I$89,3,0)*0.475*44/12</f>
        <v>0.2057452308180219</v>
      </c>
      <c r="AW199" s="21">
        <f>EXP(-LN(2)/2)*AW198+(1-EXP(-LN(2)/2))/(LN(2)/2)*AQ199*AT199*VLOOKUP('Données projet'!$B$10,Paramètres!$A$1:$I$89,3,0)*0.475*44/12</f>
        <v>2.4855778847973732E-24</v>
      </c>
      <c r="AX199" s="21">
        <f t="shared" si="166"/>
        <v>0.32760869774004325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-3.4317508834647017E-13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207.93042467236967</v>
      </c>
      <c r="BJ199" s="59">
        <f t="shared" si="206"/>
        <v>250.70954318710835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0.10274762897346891</v>
      </c>
      <c r="BQ199" s="21">
        <f>EXP(-LN(2)/25)*BQ198+(1-EXP(-LN(2)/25))/(LN(2)/25)*Calculateur!BL199*Calculateur!BN199*VLOOKUP('Données projet'!$B$11,Paramètres!$A$1:$I$89,3,0)*0.475*44/12</f>
        <v>0.17347146912107755</v>
      </c>
      <c r="BR199" s="21">
        <f>EXP(-LN(2)/2)*BR198+(1-EXP(-LN(2)/2))/(LN(2)/2)*BL199*BO199*VLOOKUP('Données projet'!$B$11,Paramètres!$A$1:$I$89,3,0)*0.475*44/12</f>
        <v>2.0956833146330792E-24</v>
      </c>
      <c r="BS199" s="22">
        <f t="shared" si="169"/>
        <v>0.27621909809454648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-3.2987372833304104E-13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347.8889410585312</v>
      </c>
      <c r="CE199" s="59">
        <f t="shared" si="207"/>
        <v>254.78167322479203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9.6156271643095481E-2</v>
      </c>
      <c r="CL199" s="21">
        <f>EXP(-LN(2)/25)*CL198+(1-EXP(-LN(2)/25))/(LN(2)/25)*Calculateur!CG199*Calculateur!CI199*VLOOKUP('Données projet'!$B$12,Paramètres!$A$1:$I$89,3,0)*0.475*44/12</f>
        <v>0.12093224712126027</v>
      </c>
      <c r="CM199" s="21">
        <f>EXP(-LN(2)/2)*CM198+(1-EXP(-LN(2)/2))/(LN(2)/2)*CG199*CJ199*VLOOKUP('Données projet'!$B$12,Paramètres!$A$1:$I$89,3,0)*0.475*44/12</f>
        <v>2.382256774898201E-24</v>
      </c>
      <c r="CN199" s="22">
        <f t="shared" si="172"/>
        <v>0.21708851876435575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-3.0859155231155454E-13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318.40875902853116</v>
      </c>
      <c r="T200" s="59">
        <f t="shared" si="204"/>
        <v>234.87694492493506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-4.0702161641092972E-13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260.20517190557814</v>
      </c>
      <c r="AO200" s="59">
        <f t="shared" si="205"/>
        <v>307.22009971147133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0.11947379866505593</v>
      </c>
      <c r="AV200" s="21">
        <f>EXP(-LN(2)/25)*AV199+(1-EXP(-LN(2)/25))/(LN(2)/25)*Calculateur!AQ200*Calculateur!AS200*VLOOKUP('Données projet'!$B$10,Paramètres!$A$1:$I$89,3,0)*0.475*44/12</f>
        <v>0.20011911666163165</v>
      </c>
      <c r="AW200" s="21">
        <f>EXP(-LN(2)/2)*AW199+(1-EXP(-LN(2)/2))/(LN(2)/2)*AQ200*AT200*VLOOKUP('Données projet'!$B$10,Paramètres!$A$1:$I$89,3,0)*0.475*44/12</f>
        <v>1.7575689775075378E-24</v>
      </c>
      <c r="AX200" s="21">
        <f t="shared" si="166"/>
        <v>0.3195929153266876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-3.4317508834647017E-13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207.93042467236967</v>
      </c>
      <c r="BJ200" s="59">
        <f t="shared" si="206"/>
        <v>250.70954318710835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0.10073281063916473</v>
      </c>
      <c r="BQ200" s="21">
        <f>EXP(-LN(2)/25)*BQ199+(1-EXP(-LN(2)/25))/(LN(2)/25)*Calculateur!BL200*Calculateur!BN200*VLOOKUP('Données projet'!$B$11,Paramètres!$A$1:$I$89,3,0)*0.475*44/12</f>
        <v>0.1687278826754936</v>
      </c>
      <c r="BR200" s="21">
        <f>EXP(-LN(2)/2)*BR199+(1-EXP(-LN(2)/2))/(LN(2)/2)*BL200*BO200*VLOOKUP('Données projet'!$B$11,Paramètres!$A$1:$I$89,3,0)*0.475*44/12</f>
        <v>1.4818718829965514E-24</v>
      </c>
      <c r="BS200" s="22">
        <f t="shared" si="169"/>
        <v>0.26946069331465833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-3.2987372833304104E-13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347.8889410585312</v>
      </c>
      <c r="CE200" s="59">
        <f t="shared" si="207"/>
        <v>254.78167322479203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9.4270705805708926E-2</v>
      </c>
      <c r="CL200" s="21">
        <f>EXP(-LN(2)/25)*CL199+(1-EXP(-LN(2)/25))/(LN(2)/25)*Calculateur!CG200*Calculateur!CI200*VLOOKUP('Données projet'!$B$12,Paramètres!$A$1:$I$89,3,0)*0.475*44/12</f>
        <v>0.11762534846417892</v>
      </c>
      <c r="CM200" s="21">
        <f>EXP(-LN(2)/2)*CM199+(1-EXP(-LN(2)/2))/(LN(2)/2)*CG200*CJ200*VLOOKUP('Données projet'!$B$12,Paramètres!$A$1:$I$89,3,0)*0.475*44/12</f>
        <v>1.6845099200581126E-24</v>
      </c>
      <c r="CN200" s="22">
        <f t="shared" si="172"/>
        <v>0.21189605426988783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-3.0859155231155454E-13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318.40875902853116</v>
      </c>
      <c r="T201" s="59">
        <f t="shared" si="204"/>
        <v>234.87694492493506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-4.0702161641092972E-13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260.20517190557814</v>
      </c>
      <c r="AO201" s="59">
        <f t="shared" si="205"/>
        <v>307.22009971147133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0.11713099034505588</v>
      </c>
      <c r="AV201" s="21">
        <f>EXP(-LN(2)/25)*AV200+(1-EXP(-LN(2)/25))/(LN(2)/25)*Calculateur!AQ201*Calculateur!AS201*VLOOKUP('Données projet'!$B$10,Paramètres!$A$1:$I$89,3,0)*0.475*44/12</f>
        <v>0.19464684889271236</v>
      </c>
      <c r="AW201" s="21">
        <f>EXP(-LN(2)/2)*AW200+(1-EXP(-LN(2)/2))/(LN(2)/2)*AQ201*AT201*VLOOKUP('Données projet'!$B$10,Paramètres!$A$1:$I$89,3,0)*0.475*44/12</f>
        <v>1.2427889423986866E-24</v>
      </c>
      <c r="AX201" s="21">
        <f t="shared" si="166"/>
        <v>0.31177783923776825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-3.4317508834647017E-13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207.93042467236967</v>
      </c>
      <c r="BJ201" s="59">
        <f t="shared" si="206"/>
        <v>250.70954318710835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9.8757501663478409E-2</v>
      </c>
      <c r="BQ201" s="21">
        <f>EXP(-LN(2)/25)*BQ200+(1-EXP(-LN(2)/25))/(LN(2)/25)*Calculateur!BL201*Calculateur!BN201*VLOOKUP('Données projet'!$B$11,Paramètres!$A$1:$I$89,3,0)*0.475*44/12</f>
        <v>0.1641140098507185</v>
      </c>
      <c r="BR201" s="21">
        <f>EXP(-LN(2)/2)*BR200+(1-EXP(-LN(2)/2))/(LN(2)/2)*BL201*BO201*VLOOKUP('Données projet'!$B$11,Paramètres!$A$1:$I$89,3,0)*0.475*44/12</f>
        <v>1.0478416573165396E-24</v>
      </c>
      <c r="BS201" s="22">
        <f t="shared" si="169"/>
        <v>0.26287151151419691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-3.2987372833304104E-13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347.8889410585312</v>
      </c>
      <c r="CE201" s="59">
        <f t="shared" si="207"/>
        <v>254.78167322479203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9.2422114764311919E-2</v>
      </c>
      <c r="CL201" s="21">
        <f>EXP(-LN(2)/25)*CL200+(1-EXP(-LN(2)/25))/(LN(2)/25)*Calculateur!CG201*Calculateur!CI201*VLOOKUP('Données projet'!$B$12,Paramètres!$A$1:$I$89,3,0)*0.475*44/12</f>
        <v>0.11440887712477771</v>
      </c>
      <c r="CM201" s="21">
        <f>EXP(-LN(2)/2)*CM200+(1-EXP(-LN(2)/2))/(LN(2)/2)*CG201*CJ201*VLOOKUP('Données projet'!$B$12,Paramètres!$A$1:$I$89,3,0)*0.475*44/12</f>
        <v>1.1911283874491005E-24</v>
      </c>
      <c r="CN201" s="22">
        <f t="shared" si="172"/>
        <v>0.20683099188908963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-3.0859155231155454E-13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318.40875902853116</v>
      </c>
      <c r="T202" s="59">
        <f t="shared" si="204"/>
        <v>234.87694492493506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-4.0702161641092972E-13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260.20517190557814</v>
      </c>
      <c r="AO202" s="59">
        <f t="shared" si="205"/>
        <v>307.22009971147133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0.11483412306723904</v>
      </c>
      <c r="AV202" s="21">
        <f>EXP(-LN(2)/25)*AV201+(1-EXP(-LN(2)/25))/(LN(2)/25)*Calculateur!AQ202*Calculateur!AS202*VLOOKUP('Données projet'!$B$10,Paramètres!$A$1:$I$89,3,0)*0.475*44/12</f>
        <v>0.18932422057370824</v>
      </c>
      <c r="AW202" s="21">
        <f>EXP(-LN(2)/2)*AW201+(1-EXP(-LN(2)/2))/(LN(2)/2)*AQ202*AT202*VLOOKUP('Données projet'!$B$10,Paramètres!$A$1:$I$89,3,0)*0.475*44/12</f>
        <v>8.7878448875376891E-25</v>
      </c>
      <c r="AX202" s="21">
        <f t="shared" si="166"/>
        <v>0.30415834364094729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-3.4317508834647017E-13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207.93042467236967</v>
      </c>
      <c r="BJ202" s="59">
        <f t="shared" si="206"/>
        <v>250.70954318710835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9.6820927291985784E-2</v>
      </c>
      <c r="BQ202" s="21">
        <f>EXP(-LN(2)/25)*BQ201+(1-EXP(-LN(2)/25))/(LN(2)/25)*Calculateur!BL202*Calculateur!BN202*VLOOKUP('Données projet'!$B$11,Paramètres!$A$1:$I$89,3,0)*0.475*44/12</f>
        <v>0.15962630362096991</v>
      </c>
      <c r="BR202" s="21">
        <f>EXP(-LN(2)/2)*BR201+(1-EXP(-LN(2)/2))/(LN(2)/2)*BL202*BO202*VLOOKUP('Données projet'!$B$11,Paramètres!$A$1:$I$89,3,0)*0.475*44/12</f>
        <v>7.4093594149827571E-25</v>
      </c>
      <c r="BS202" s="22">
        <f t="shared" si="169"/>
        <v>0.25644723091295568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-3.2987372833304104E-13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347.8889410585312</v>
      </c>
      <c r="CE202" s="59">
        <f t="shared" si="207"/>
        <v>254.78167322479203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9.0609773465707505E-2</v>
      </c>
      <c r="CL202" s="21">
        <f>EXP(-LN(2)/25)*CL201+(1-EXP(-LN(2)/25))/(LN(2)/25)*Calculateur!CG202*Calculateur!CI202*VLOOKUP('Données projet'!$B$12,Paramètres!$A$1:$I$89,3,0)*0.475*44/12</f>
        <v>0.1112803603632993</v>
      </c>
      <c r="CM202" s="21">
        <f>EXP(-LN(2)/2)*CM201+(1-EXP(-LN(2)/2))/(LN(2)/2)*CG202*CJ202*VLOOKUP('Données projet'!$B$12,Paramètres!$A$1:$I$89,3,0)*0.475*44/12</f>
        <v>8.4225496002905628E-25</v>
      </c>
      <c r="CN202" s="22">
        <f t="shared" si="172"/>
        <v>0.20189013382900681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-3.0859155231155454E-13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318.40875902853116</v>
      </c>
      <c r="T203" s="59">
        <f t="shared" si="204"/>
        <v>234.87694492493506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-4.0702161641092972E-13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260.20517190557814</v>
      </c>
      <c r="AO203" s="59">
        <f t="shared" si="205"/>
        <v>307.22009971147133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0.11258229595578949</v>
      </c>
      <c r="AV203" s="21">
        <f>EXP(-LN(2)/25)*AV202+(1-EXP(-LN(2)/25))/(LN(2)/25)*Calculateur!AQ203*Calculateur!AS203*VLOOKUP('Données projet'!$B$10,Paramètres!$A$1:$I$89,3,0)*0.475*44/12</f>
        <v>0.18414713980599212</v>
      </c>
      <c r="AW203" s="21">
        <f>EXP(-LN(2)/2)*AW202+(1-EXP(-LN(2)/2))/(LN(2)/2)*AQ203*AT203*VLOOKUP('Données projet'!$B$10,Paramètres!$A$1:$I$89,3,0)*0.475*44/12</f>
        <v>6.2139447119934331E-25</v>
      </c>
      <c r="AX203" s="21">
        <f t="shared" si="166"/>
        <v>0.29672943576178162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-3.4317508834647017E-13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207.93042467236967</v>
      </c>
      <c r="BJ203" s="59">
        <f t="shared" si="206"/>
        <v>250.70954318710835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9.4922327962724401E-2</v>
      </c>
      <c r="BQ203" s="21">
        <f>EXP(-LN(2)/25)*BQ202+(1-EXP(-LN(2)/25))/(LN(2)/25)*Calculateur!BL203*Calculateur!BN203*VLOOKUP('Données projet'!$B$11,Paramètres!$A$1:$I$89,3,0)*0.475*44/12</f>
        <v>0.155261313954072</v>
      </c>
      <c r="BR203" s="21">
        <f>EXP(-LN(2)/2)*BR202+(1-EXP(-LN(2)/2))/(LN(2)/2)*BL203*BO203*VLOOKUP('Données projet'!$B$11,Paramètres!$A$1:$I$89,3,0)*0.475*44/12</f>
        <v>5.2392082865826981E-25</v>
      </c>
      <c r="BS203" s="22">
        <f t="shared" si="169"/>
        <v>0.25018364191679643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-3.2987372833304104E-13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347.8889410585312</v>
      </c>
      <c r="CE203" s="59">
        <f t="shared" si="207"/>
        <v>254.78167322479203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8.8832971074549683E-2</v>
      </c>
      <c r="CL203" s="21">
        <f>EXP(-LN(2)/25)*CL202+(1-EXP(-LN(2)/25))/(LN(2)/25)*Calculateur!CG203*Calculateur!CI203*VLOOKUP('Données projet'!$B$12,Paramètres!$A$1:$I$89,3,0)*0.475*44/12</f>
        <v>0.10823739305718506</v>
      </c>
      <c r="CM203" s="21">
        <f>EXP(-LN(2)/2)*CM202+(1-EXP(-LN(2)/2))/(LN(2)/2)*CG203*CJ203*VLOOKUP('Données projet'!$B$12,Paramètres!$A$1:$I$89,3,0)*0.475*44/12</f>
        <v>5.9556419372455024E-25</v>
      </c>
      <c r="CN203" s="22">
        <f t="shared" si="172"/>
        <v>0.19707036413173473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1.2709816152101407</v>
      </c>
      <c r="BV205" s="82">
        <f>EXP(LN('Données projet'!B114)/'Données projet'!A114)</f>
        <v>1.2392705892426346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P21" sqref="P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4.32</v>
      </c>
      <c r="C6" s="147">
        <f ca="1">IF(OR('Données projet'!B9="",'Données projet'!C9="",'Données projet'!C9=0%),0,Calculateur!S3)</f>
        <v>318.40875902853116</v>
      </c>
      <c r="D6" s="147">
        <f>IF(OR('Données projet'!B9="",'Données projet'!C9="",'Données projet'!C9=0%),0,Calculateur!T3)</f>
        <v>234.87694492493506</v>
      </c>
      <c r="E6" s="147">
        <f ca="1">MIN(C6,D6)</f>
        <v>234.87694492493506</v>
      </c>
      <c r="F6" s="147">
        <f ca="1">E6*B6</f>
        <v>1014.6684020757195</v>
      </c>
      <c r="G6" s="147">
        <f ca="1">F6*(100%-'Données projet'!$C$24)*(100%-'Données projet'!$C$25)*(100%-'Données projet'!$C$26)*(100%-'Données projet'!$C$27)</f>
        <v>913.20156186814756</v>
      </c>
      <c r="H6" s="148">
        <f>IF(OR('Données projet'!B9="",'Données projet'!C9="",'Données projet'!C9=0%),0,AVERAGE(Calculateur!$AC$3:$AC$33)*B6)</f>
        <v>6.2947264271342274</v>
      </c>
      <c r="I6" s="149">
        <f>H6*(100%-'Données projet'!$C$24)*(100%-'Données projet'!$C$25)*(100%-'Données projet'!$C$26)*(100%-'Données projet'!$C$27)</f>
        <v>5.6652537844208046</v>
      </c>
      <c r="J6" s="150">
        <f>IF(OR('Données projet'!B9="",'Données projet'!C9="",'Données projet'!C9=0%),0,SUM(Calculateur!$V$3:$V$33)*VLOOKUP('Données projet'!$B$9,Paramètres!$A$1:$I$89,9,0)*B6)</f>
        <v>66.960000000000008</v>
      </c>
      <c r="K6" s="151">
        <f>J6*(100%-'Données projet'!$C$24)*(100%-'Données projet'!$C$25)*(100%-'Données projet'!$C$26)*(100%-'Données projet'!$C$27)</f>
        <v>60.26400000000001</v>
      </c>
      <c r="L6" s="152">
        <f ca="1">G6+I6+K6</f>
        <v>979.13081565256834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plane</v>
      </c>
      <c r="B7" s="154">
        <f>'Données projet'!D10</f>
        <v>1.4400000000000002</v>
      </c>
      <c r="C7" s="147">
        <f ca="1">IF(OR('Données projet'!B10="",'Données projet'!C10="",'Données projet'!C10=0%),0,Calculateur!AN3)</f>
        <v>260.20517190557814</v>
      </c>
      <c r="D7" s="147">
        <f>IF(OR('Données projet'!B10="",'Données projet'!C10="",'Données projet'!C10=0%),0,Calculateur!AO3)</f>
        <v>307.22009971147133</v>
      </c>
      <c r="E7" s="147">
        <f t="shared" ref="E7:E15" ca="1" si="0">MIN(C7,D7)</f>
        <v>260.20517190557814</v>
      </c>
      <c r="F7" s="147">
        <f t="shared" ref="F7:F15" ca="1" si="1">E7*B7</f>
        <v>374.69544754403256</v>
      </c>
      <c r="G7" s="147">
        <f ca="1">F7*(100%-'Données projet'!$C$24)*(100%-'Données projet'!$C$25)*(100%-'Données projet'!$C$26)*(100%-'Données projet'!$C$27)</f>
        <v>337.22590278962929</v>
      </c>
      <c r="H7" s="155">
        <f>IF(OR('Données projet'!B10="",'Données projet'!C10="",'Données projet'!C10=0%),0,AVERAGE(Calculateur!$AX$3:$AX$33)*B7)</f>
        <v>7.3521886857853502</v>
      </c>
      <c r="I7" s="149">
        <f>H7*(100%-'Données projet'!$C$24)*(100%-'Données projet'!$C$25)*(100%-'Données projet'!$C$26)*(100%-'Données projet'!$C$27)</f>
        <v>6.6169698172068152</v>
      </c>
      <c r="J7" s="150">
        <f>IF(OR('Données projet'!B10="",'Données projet'!C10="",'Données projet'!C10=0%),0,SUM(Calculateur!$AQ$3:$AQ$33)*VLOOKUP('Données projet'!$B$10,Paramètres!$A$1:$I$89,9,0)*B7)</f>
        <v>49.320000000000007</v>
      </c>
      <c r="K7" s="151">
        <f>J7*(100%-'Données projet'!$C$24)*(100%-'Données projet'!$C$25)*(100%-'Données projet'!$C$26)*(100%-'Données projet'!$C$27)</f>
        <v>44.388000000000005</v>
      </c>
      <c r="L7" s="152">
        <f t="shared" ref="L7:L15" ca="1" si="2">G7+I7+K7</f>
        <v>388.2308726068361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Tilleul</v>
      </c>
      <c r="B8" s="154">
        <f>'Données projet'!D11</f>
        <v>0.72000000000000008</v>
      </c>
      <c r="C8" s="147">
        <f ca="1">IF(OR('Données projet'!B11="",'Données projet'!C11="",'Données projet'!C11=0%),0,Calculateur!BI3)</f>
        <v>207.93042467236967</v>
      </c>
      <c r="D8" s="147">
        <f>IF(OR('Données projet'!B11="",'Données projet'!C11="",'Données projet'!C11=0%),0,Calculateur!BJ3)</f>
        <v>250.70954318710835</v>
      </c>
      <c r="E8" s="147">
        <f t="shared" ca="1" si="0"/>
        <v>207.93042467236967</v>
      </c>
      <c r="F8" s="147">
        <f t="shared" ca="1" si="1"/>
        <v>149.70990576410617</v>
      </c>
      <c r="G8" s="147">
        <f ca="1">F8*(100%-'Données projet'!$C$24)*(100%-'Données projet'!$C$25)*(100%-'Données projet'!$C$26)*(100%-'Données projet'!$C$27)</f>
        <v>134.73891518769557</v>
      </c>
      <c r="H8" s="155">
        <f>IF(OR('Données projet'!B11="",'Données projet'!C11="",'Données projet'!C11=0%),0,AVERAGE(Calculateur!$BS$3:$BS$33)*B8)</f>
        <v>3.0994520930271574</v>
      </c>
      <c r="I8" s="149">
        <f>H8*(100%-'Données projet'!$C$24)*(100%-'Données projet'!$C$25)*(100%-'Données projet'!$C$26)*(100%-'Données projet'!$C$27)</f>
        <v>2.7895068837244419</v>
      </c>
      <c r="J8" s="150">
        <f>IF(OR('Données projet'!B11="",'Données projet'!C11="",'Données projet'!C11=0%),0,SUM(Calculateur!$BL$3:$BL$33)*VLOOKUP('Données projet'!$B$11,Paramètres!$A$1:$I$89,9,0)*B8)</f>
        <v>24.660000000000004</v>
      </c>
      <c r="K8" s="151">
        <f>J8*(100%-'Données projet'!$C$24)*(100%-'Données projet'!$C$25)*(100%-'Données projet'!$C$26)*(100%-'Données projet'!$C$27)</f>
        <v>22.194000000000003</v>
      </c>
      <c r="L8" s="152">
        <f t="shared" ca="1" si="2"/>
        <v>159.72242207142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Alisier torminal</v>
      </c>
      <c r="B9" s="154">
        <f>'Données projet'!D12</f>
        <v>0.72000000000000008</v>
      </c>
      <c r="C9" s="147">
        <f ca="1">IF(OR('Données projet'!B12="",'Données projet'!C12="",'Données projet'!C12=0%),0,Calculateur!CD3)</f>
        <v>347.8889410585312</v>
      </c>
      <c r="D9" s="147">
        <f>IF(OR('Données projet'!B12="",'Données projet'!C12="",'Données projet'!C12=0%),0,Calculateur!CE3)</f>
        <v>254.78167322479203</v>
      </c>
      <c r="E9" s="147">
        <f t="shared" ca="1" si="0"/>
        <v>254.78167322479203</v>
      </c>
      <c r="F9" s="147">
        <f t="shared" ca="1" si="1"/>
        <v>183.44280472185028</v>
      </c>
      <c r="G9" s="147">
        <f ca="1">F9*(100%-'Données projet'!$C$24)*(100%-'Données projet'!$C$25)*(100%-'Données projet'!$C$26)*(100%-'Données projet'!$C$27)</f>
        <v>165.09852424966525</v>
      </c>
      <c r="H9" s="155">
        <f>IF(OR('Données projet'!B12="",'Données projet'!C12="",'Données projet'!C12=0%),0,AVERAGE(Calculateur!$CN$3:$CN$33)*B9)</f>
        <v>1.1214742485124201</v>
      </c>
      <c r="I9" s="149">
        <f>H9*(100%-'Données projet'!$C$24)*(100%-'Données projet'!$C$25)*(100%-'Données projet'!$C$26)*(100%-'Données projet'!$C$27)</f>
        <v>1.0093268236611781</v>
      </c>
      <c r="J9" s="150">
        <f>IF(OR('Données projet'!B12="",'Données projet'!C12="",'Données projet'!C12=0%),0,SUM(Calculateur!$CG$3:$CG$33)*VLOOKUP('Données projet'!$B$12,Paramètres!$A$1:$I$89,9,0)*B9)</f>
        <v>11.160000000000002</v>
      </c>
      <c r="K9" s="151">
        <f>J9*(100%-'Données projet'!$C$24)*(100%-'Données projet'!$C$25)*(100%-'Données projet'!$C$26)*(100%-'Données projet'!$C$27)</f>
        <v>10.044000000000002</v>
      </c>
      <c r="L9" s="152">
        <f t="shared" ca="1" si="2"/>
        <v>176.15185107332644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1722.5165601057085</v>
      </c>
      <c r="G16" s="166">
        <f t="shared" ca="1" si="3"/>
        <v>1550.2649040951376</v>
      </c>
      <c r="H16" s="167">
        <f t="shared" si="3"/>
        <v>17.867841454459157</v>
      </c>
      <c r="I16" s="167">
        <f t="shared" si="3"/>
        <v>16.081057309013239</v>
      </c>
      <c r="J16" s="168">
        <f t="shared" si="3"/>
        <v>152.10000000000002</v>
      </c>
      <c r="K16" s="168">
        <f t="shared" si="3"/>
        <v>136.89000000000001</v>
      </c>
      <c r="L16" s="169">
        <f t="shared" ca="1" si="3"/>
        <v>1703.2359614041509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8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-1134.9214004165929</v>
      </c>
      <c r="U10" s="178">
        <f>'Données projet'!D9</f>
        <v>4.32</v>
      </c>
      <c r="V10" s="177">
        <f>U10*T10</f>
        <v>-4902.8604497996812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plane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-511.00530667311546</v>
      </c>
      <c r="U11" s="178">
        <f>'Données projet'!D10</f>
        <v>1.4400000000000002</v>
      </c>
      <c r="V11" s="177">
        <f t="shared" ref="V11" si="0">U11*T11</f>
        <v>-735.84764160928637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-1691.8189235474783</v>
      </c>
      <c r="U12" s="178">
        <f>'Données projet'!D11</f>
        <v>0.72000000000000008</v>
      </c>
      <c r="V12" s="177">
        <f t="shared" ref="V12:V19" si="1">U12*T12</f>
        <v>-1218.1096249541845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-492.24585083484385</v>
      </c>
      <c r="U13" s="178">
        <f>'Données projet'!D12</f>
        <v>0.72000000000000008</v>
      </c>
      <c r="V13" s="177">
        <f t="shared" si="1"/>
        <v>-354.41701260108761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2600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1220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3">
        <v>10</v>
      </c>
      <c r="D23" s="182">
        <f>B23*C23</f>
        <v>60</v>
      </c>
      <c r="E23" s="193"/>
      <c r="F23" s="230"/>
      <c r="H23" s="190">
        <v>3</v>
      </c>
      <c r="I23" s="191">
        <v>900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-50340.801584798683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12</v>
      </c>
      <c r="D24" s="182">
        <f t="shared" ref="D24:D42" si="2">B24*C24</f>
        <v>672</v>
      </c>
      <c r="E24" s="193"/>
      <c r="F24" s="233"/>
      <c r="H24" s="190">
        <v>4</v>
      </c>
      <c r="I24" s="191">
        <v>1000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288.36001674756324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15</v>
      </c>
      <c r="D25" s="182">
        <f t="shared" si="2"/>
        <v>840</v>
      </c>
      <c r="E25" s="193"/>
      <c r="F25" s="233"/>
      <c r="H25" s="190">
        <v>5</v>
      </c>
      <c r="I25" s="191">
        <v>1200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-50629.161601546242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3">
        <v>25</v>
      </c>
      <c r="D26" s="182">
        <f t="shared" si="2"/>
        <v>1400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3">
        <v>40</v>
      </c>
      <c r="D27" s="182">
        <f t="shared" si="2"/>
        <v>2240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3">
        <v>55</v>
      </c>
      <c r="D28" s="182">
        <f t="shared" si="2"/>
        <v>3080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3">
        <v>70</v>
      </c>
      <c r="D29" s="182">
        <f t="shared" si="2"/>
        <v>3920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3">
        <v>90</v>
      </c>
      <c r="D30" s="182">
        <f t="shared" si="2"/>
        <v>5040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3">
        <v>110</v>
      </c>
      <c r="D31" s="182">
        <f t="shared" si="2"/>
        <v>6050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130</v>
      </c>
      <c r="D32" s="182">
        <f t="shared" si="2"/>
        <v>6630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352</v>
      </c>
      <c r="C33" s="193">
        <v>180</v>
      </c>
      <c r="D33" s="182">
        <f t="shared" si="2"/>
        <v>63360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plane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2470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67</v>
      </c>
      <c r="C55" s="191">
        <v>10</v>
      </c>
      <c r="D55" s="179">
        <f t="shared" ref="D55:D73" si="4">B55*C55</f>
        <v>670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70</v>
      </c>
      <c r="C56" s="191">
        <v>20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70</v>
      </c>
      <c r="C57" s="191">
        <v>30</v>
      </c>
      <c r="D57" s="179">
        <f t="shared" si="4"/>
        <v>2100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43</v>
      </c>
      <c r="C58" s="191">
        <v>45</v>
      </c>
      <c r="D58" s="179">
        <f t="shared" si="4"/>
        <v>1935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30</v>
      </c>
      <c r="C59" s="191">
        <v>55</v>
      </c>
      <c r="D59" s="179">
        <f t="shared" si="4"/>
        <v>1650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26</v>
      </c>
      <c r="C60" s="191">
        <v>70</v>
      </c>
      <c r="D60" s="179">
        <f t="shared" si="4"/>
        <v>1820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342</v>
      </c>
      <c r="C61" s="191">
        <v>80</v>
      </c>
      <c r="D61" s="179">
        <f t="shared" si="4"/>
        <v>27360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3120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67</v>
      </c>
      <c r="C86" s="191">
        <v>10</v>
      </c>
      <c r="D86" s="179">
        <f t="shared" ref="D86:D104" si="6">B86*C86</f>
        <v>670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70</v>
      </c>
      <c r="C87" s="191">
        <v>15</v>
      </c>
      <c r="D87" s="179">
        <f t="shared" si="6"/>
        <v>1050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70</v>
      </c>
      <c r="C88" s="191">
        <v>20</v>
      </c>
      <c r="D88" s="179">
        <f t="shared" si="6"/>
        <v>1400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43</v>
      </c>
      <c r="C89" s="191">
        <v>25</v>
      </c>
      <c r="D89" s="179">
        <f t="shared" si="6"/>
        <v>1075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30</v>
      </c>
      <c r="C90" s="191">
        <v>30</v>
      </c>
      <c r="D90" s="179">
        <f t="shared" si="6"/>
        <v>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26</v>
      </c>
      <c r="C91" s="191">
        <v>35</v>
      </c>
      <c r="D91" s="179">
        <f t="shared" si="6"/>
        <v>910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342</v>
      </c>
      <c r="C92" s="191">
        <v>40</v>
      </c>
      <c r="D92" s="179">
        <f t="shared" si="6"/>
        <v>13680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2080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6</v>
      </c>
      <c r="C116" s="191">
        <v>8</v>
      </c>
      <c r="D116" s="179">
        <f>B116*C116</f>
        <v>48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1">
        <v>10</v>
      </c>
      <c r="D117" s="179">
        <f t="shared" ref="D117:D135" si="8">B117*C117</f>
        <v>560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>
        <v>20</v>
      </c>
      <c r="D118" s="179">
        <f t="shared" si="8"/>
        <v>1120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56</v>
      </c>
      <c r="C119" s="191">
        <v>30</v>
      </c>
      <c r="D119" s="179">
        <f t="shared" si="8"/>
        <v>1680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56</v>
      </c>
      <c r="C120" s="191">
        <v>40</v>
      </c>
      <c r="D120" s="179">
        <f t="shared" si="8"/>
        <v>2240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56</v>
      </c>
      <c r="C121" s="191">
        <v>50</v>
      </c>
      <c r="D121" s="179">
        <f t="shared" si="8"/>
        <v>2800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56</v>
      </c>
      <c r="C122" s="191">
        <v>60</v>
      </c>
      <c r="D122" s="179">
        <f t="shared" si="8"/>
        <v>3360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56</v>
      </c>
      <c r="C123" s="191">
        <v>80</v>
      </c>
      <c r="D123" s="179">
        <f t="shared" si="8"/>
        <v>4480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55</v>
      </c>
      <c r="C124" s="191">
        <v>100</v>
      </c>
      <c r="D124" s="179">
        <f t="shared" si="8"/>
        <v>5500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51</v>
      </c>
      <c r="C125" s="191">
        <v>130</v>
      </c>
      <c r="D125" s="179">
        <f t="shared" si="8"/>
        <v>6630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352</v>
      </c>
      <c r="C126" s="191">
        <v>250</v>
      </c>
      <c r="D126" s="179">
        <f t="shared" si="8"/>
        <v>88000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Francois LEGRON</cp:lastModifiedBy>
  <dcterms:created xsi:type="dcterms:W3CDTF">2021-02-01T08:22:39Z</dcterms:created>
  <dcterms:modified xsi:type="dcterms:W3CDTF">2024-05-27T14:52:00Z</dcterms:modified>
</cp:coreProperties>
</file>