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vianneyf\Desktop\"/>
    </mc:Choice>
  </mc:AlternateContent>
  <xr:revisionPtr revIDLastSave="0" documentId="13_ncr:1_{B4AE0D2C-741B-49AD-9964-BF4209842C14}" xr6:coauthVersionLast="47" xr6:coauthVersionMax="47" xr10:uidLastSave="{00000000-0000-0000-0000-000000000000}"/>
  <bookViews>
    <workbookView xWindow="28680" yWindow="-120" windowWidth="29040" windowHeight="1572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4" i="1" l="1"/>
  <c r="D43" i="1"/>
  <c r="D42" i="1"/>
  <c r="D41" i="1"/>
  <c r="D40" i="1"/>
  <c r="D39" i="1"/>
  <c r="D38" i="1"/>
  <c r="D37" i="1"/>
  <c r="D36" i="1"/>
  <c r="B44" i="1"/>
  <c r="B43" i="1"/>
  <c r="B42" i="1"/>
  <c r="B41" i="1"/>
  <c r="B40" i="1"/>
  <c r="B39" i="1"/>
  <c r="B38" i="1"/>
  <c r="B37" i="1"/>
  <c r="B36" i="1"/>
  <c r="I23" i="6"/>
  <c r="I22" i="6"/>
  <c r="I21" i="6"/>
  <c r="I20" i="6"/>
  <c r="E110" i="6"/>
  <c r="E79" i="6"/>
  <c r="E48" i="6"/>
  <c r="E17" i="6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A4" i="2" l="1"/>
  <c r="BQ4" i="2"/>
  <c r="FR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FO7" i="2"/>
  <c r="FN7" i="2"/>
  <c r="DY7" i="2"/>
  <c r="EB7" i="2" s="1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X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DX20" i="2"/>
  <c r="CI20" i="2"/>
  <c r="BM20" i="2"/>
  <c r="GI20" i="2"/>
  <c r="ET20" i="2"/>
  <c r="EW20" i="2" s="1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H20" i="2" l="1"/>
  <c r="EC20" i="2"/>
  <c r="FS20" i="2"/>
  <c r="EV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B28" i="2" s="1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W38" i="2"/>
  <c r="EA38" i="2"/>
  <c r="HH38" i="2"/>
  <c r="EX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H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B45" i="2" s="1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EC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G48" i="2" l="1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HI52" i="2" l="1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EA53" i="2" s="1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V57" i="2" l="1"/>
  <c r="EB57" i="2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H60" i="2"/>
  <c r="HG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A61" i="2"/>
  <c r="EX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B62" i="2" s="1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EV64" i="2" s="1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FO70" i="2"/>
  <c r="FN70" i="2"/>
  <c r="ES70" i="2"/>
  <c r="BN70" i="2"/>
  <c r="DY70" i="2"/>
  <c r="EB70" i="2" s="1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EV78" i="2" s="1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B78" i="2" l="1"/>
  <c r="EW78" i="2"/>
  <c r="HI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EB79" i="2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EX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HI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V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H110" i="2" l="1"/>
  <c r="EB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FQ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FS113" i="2"/>
  <c r="EW113" i="2"/>
  <c r="HI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HG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FQ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EA121" i="2" s="1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HI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V128" i="2" l="1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V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EB138" i="2" s="1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HI138" i="2" l="1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HH139" i="2"/>
  <c r="EA139" i="2"/>
  <c r="EB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X140" i="2"/>
  <c r="EB140" i="2"/>
  <c r="FR140" i="2"/>
  <c r="HH140" i="2"/>
  <c r="HG140" i="2"/>
  <c r="EC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EB141" i="2"/>
  <c r="EA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FR144" i="2" s="1"/>
  <c r="GJ144" i="2"/>
  <c r="GI144" i="2"/>
  <c r="ES144" i="2"/>
  <c r="DX144" i="2"/>
  <c r="EA144" i="2" s="1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B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EA145" i="2"/>
  <c r="HG145" i="2"/>
  <c r="HH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FR146" i="2" s="1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HG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I150" i="2" l="1"/>
  <c r="HG150" i="2"/>
  <c r="EV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HI151" i="2" l="1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B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A155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AB156" i="2" l="1"/>
  <c r="EX156" i="2"/>
  <c r="HH156" i="2"/>
  <c r="HG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HH157" i="2"/>
  <c r="EC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V158" i="2" l="1"/>
  <c r="HH158" i="2"/>
  <c r="HG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G160" i="2" l="1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A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W162" i="2" l="1"/>
  <c r="EC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A163" i="2" l="1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EV164" i="2" s="1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EX164" i="2"/>
  <c r="FS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G165" i="2" l="1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R167" i="2" l="1"/>
  <c r="EA167" i="2"/>
  <c r="HH167" i="2"/>
  <c r="EB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DI167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HI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C173" i="2" l="1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H174" i="2" l="1"/>
  <c r="EC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W175" i="2"/>
  <c r="EA175" i="2"/>
  <c r="FS175" i="2"/>
  <c r="HI175" i="2"/>
  <c r="EB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EB178" i="2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EV179" i="2" l="1"/>
  <c r="EA179" i="2"/>
  <c r="HG179" i="2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HG186" i="2"/>
  <c r="EA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I187" i="2" l="1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V189" i="2" l="1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B192" i="2" s="1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EV192" i="2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HI193" i="2" l="1"/>
  <c r="EA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EX195" i="2" l="1"/>
  <c r="FQ195" i="2"/>
  <c r="AA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A197" i="2" l="1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HI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H199" i="2" l="1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I200" i="2" l="1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EA201" i="2" l="1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R202" i="2" l="1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P203" i="2" l="1"/>
  <c r="HG203" i="2"/>
  <c r="FR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ED203" i="2" s="1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CN203" i="2" s="1"/>
  <c r="FZ8" i="2"/>
  <c r="FZ9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2" i="2" l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FZ10" i="2"/>
  <c r="FZ11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D60" i="2" l="1"/>
  <c r="CD30" i="2"/>
  <c r="CD43" i="2"/>
  <c r="CD203" i="2"/>
  <c r="CD131" i="2"/>
  <c r="CD16" i="2"/>
  <c r="CD118" i="2"/>
  <c r="CD151" i="2"/>
  <c r="CD35" i="2"/>
  <c r="CD142" i="2"/>
  <c r="CD29" i="2"/>
  <c r="CD198" i="2"/>
  <c r="CD109" i="2"/>
  <c r="CD81" i="2"/>
  <c r="CD5" i="2"/>
  <c r="CD86" i="2"/>
  <c r="CD64" i="2"/>
  <c r="CD34" i="2"/>
  <c r="CD108" i="2"/>
  <c r="CD12" i="2"/>
  <c r="CD15" i="2"/>
  <c r="CD175" i="2"/>
  <c r="CD75" i="2"/>
  <c r="CD132" i="2"/>
  <c r="CD91" i="2"/>
  <c r="CD177" i="2"/>
  <c r="CD22" i="2"/>
  <c r="CD74" i="2"/>
  <c r="CD119" i="2"/>
  <c r="CD134" i="2"/>
  <c r="CD69" i="2"/>
  <c r="CD180" i="2"/>
  <c r="CD23" i="2"/>
  <c r="CD65" i="2"/>
  <c r="CD6" i="2"/>
  <c r="CD96" i="2"/>
  <c r="CD3" i="2"/>
  <c r="C9" i="4" s="1"/>
  <c r="E9" i="4" s="1"/>
  <c r="F9" i="4" s="1"/>
  <c r="G9" i="4" s="1"/>
  <c r="L9" i="4" s="1"/>
  <c r="CD112" i="2"/>
  <c r="CD110" i="2"/>
  <c r="CD97" i="2"/>
  <c r="CD124" i="2"/>
  <c r="CD174" i="2"/>
  <c r="CD95" i="2"/>
  <c r="CD153" i="2"/>
  <c r="CD140" i="2"/>
  <c r="CD116" i="2"/>
  <c r="CD160" i="2"/>
  <c r="CD182" i="2"/>
  <c r="CD52" i="2"/>
  <c r="CD178" i="2"/>
  <c r="CD113" i="2"/>
  <c r="CD79" i="2"/>
  <c r="CD105" i="2"/>
  <c r="CD51" i="2"/>
  <c r="CD148" i="2"/>
  <c r="CD53" i="2"/>
  <c r="CD179" i="2"/>
  <c r="CD48" i="2"/>
  <c r="CD99" i="2"/>
  <c r="CD87" i="2"/>
  <c r="CD195" i="2"/>
  <c r="CD17" i="2"/>
  <c r="CD173" i="2"/>
  <c r="CD117" i="2"/>
  <c r="CD70" i="2"/>
  <c r="CD199" i="2"/>
  <c r="CD39" i="2"/>
  <c r="CD8" i="2"/>
  <c r="CD25" i="2"/>
  <c r="CD44" i="2"/>
  <c r="CD36" i="2"/>
  <c r="CD88" i="2"/>
  <c r="CD37" i="2"/>
  <c r="CD158" i="2"/>
  <c r="CD130" i="2"/>
  <c r="CD126" i="2"/>
  <c r="CD136" i="2"/>
  <c r="CD200" i="2"/>
  <c r="CD137" i="2"/>
  <c r="CD49" i="2"/>
  <c r="CD143" i="2"/>
  <c r="CD98" i="2"/>
  <c r="CD27" i="2"/>
  <c r="CD123" i="2"/>
  <c r="CD159" i="2"/>
  <c r="CD181" i="2"/>
  <c r="CD20" i="2"/>
  <c r="CD28" i="2"/>
  <c r="CD114" i="2"/>
  <c r="CD187" i="2"/>
  <c r="CD202" i="2"/>
  <c r="CD78" i="2"/>
  <c r="CD85" i="2"/>
  <c r="CD21" i="2"/>
  <c r="CD31" i="2"/>
  <c r="CD169" i="2"/>
  <c r="CD111" i="2"/>
  <c r="CD141" i="2"/>
  <c r="CD93" i="2"/>
  <c r="CD193" i="2"/>
  <c r="CD128" i="2"/>
  <c r="CD171" i="2"/>
  <c r="CD10" i="2"/>
  <c r="CD94" i="2"/>
  <c r="CD11" i="2"/>
  <c r="CD58" i="2"/>
  <c r="CD57" i="2"/>
  <c r="CD46" i="2"/>
  <c r="CD168" i="2"/>
  <c r="CD189" i="2"/>
  <c r="CD155" i="2"/>
  <c r="CD84" i="2"/>
  <c r="CD167" i="2"/>
  <c r="CD144" i="2"/>
  <c r="CD146" i="2"/>
  <c r="CD161" i="2"/>
  <c r="CD104" i="2"/>
  <c r="CD166" i="2"/>
  <c r="CD67" i="2"/>
  <c r="CD129" i="2"/>
  <c r="CD154" i="2"/>
  <c r="CD121" i="2"/>
  <c r="CD33" i="2"/>
  <c r="CD66" i="2"/>
  <c r="CD201" i="2"/>
  <c r="CD102" i="2"/>
  <c r="CD83" i="2"/>
  <c r="CD13" i="2"/>
  <c r="CD24" i="2"/>
  <c r="CD150" i="2"/>
  <c r="CD101" i="2"/>
  <c r="CD188" i="2"/>
  <c r="CD73" i="2"/>
  <c r="CD7" i="2"/>
  <c r="CD135" i="2"/>
  <c r="CD122" i="2"/>
  <c r="CD76" i="2"/>
  <c r="CD26" i="2"/>
  <c r="CD19" i="2"/>
  <c r="CD62" i="2"/>
  <c r="CD183" i="2"/>
  <c r="CD185" i="2"/>
  <c r="CD107" i="2"/>
  <c r="CD9" i="2"/>
  <c r="CD38" i="2"/>
  <c r="CD40" i="2"/>
  <c r="CD14" i="2"/>
  <c r="CD172" i="2"/>
  <c r="CD80" i="2"/>
  <c r="CD186" i="2"/>
  <c r="CD156" i="2"/>
  <c r="CD50" i="2"/>
  <c r="CD196" i="2"/>
  <c r="CD120" i="2"/>
  <c r="CD149" i="2"/>
  <c r="CD68" i="2"/>
  <c r="CD77" i="2"/>
  <c r="CD145" i="2"/>
  <c r="CD164" i="2"/>
  <c r="CD138" i="2"/>
  <c r="CD106" i="2"/>
  <c r="CD61" i="2"/>
  <c r="CD41" i="2"/>
  <c r="CD47" i="2"/>
  <c r="CD197" i="2"/>
  <c r="CD89" i="2"/>
  <c r="CD45" i="2"/>
  <c r="CD194" i="2"/>
  <c r="CD157" i="2"/>
  <c r="CD32" i="2"/>
  <c r="CD170" i="2"/>
  <c r="CD56" i="2"/>
  <c r="CD82" i="2"/>
  <c r="CD92" i="2"/>
  <c r="CD176" i="2"/>
  <c r="CD190" i="2"/>
  <c r="CD127" i="2"/>
  <c r="CD191" i="2"/>
  <c r="CD165" i="2"/>
  <c r="CD54" i="2"/>
  <c r="CD115" i="2"/>
  <c r="CD55" i="2"/>
  <c r="CD139" i="2"/>
  <c r="CD192" i="2"/>
  <c r="CD184" i="2"/>
  <c r="CD71" i="2"/>
  <c r="CD63" i="2"/>
  <c r="CD4" i="2"/>
  <c r="CD90" i="2"/>
  <c r="CD18" i="2"/>
  <c r="CD147" i="2"/>
  <c r="CD100" i="2"/>
  <c r="CD152" i="2"/>
  <c r="CD133" i="2"/>
  <c r="CD125" i="2"/>
  <c r="CD42" i="2"/>
  <c r="CD72" i="2"/>
  <c r="CD103" i="2"/>
  <c r="CD162" i="2"/>
  <c r="CD59" i="2"/>
  <c r="CD163" i="2"/>
  <c r="CY24" i="2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<sst xmlns="http://schemas.openxmlformats.org/spreadsheetml/2006/main" count="1173" uniqueCount="324">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</sst>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3.483790693624897</c:v>
                </c:pt>
                <c:pt idx="2">
                  <c:v>4.5723524590260949</c:v>
                </c:pt>
                <c:pt idx="3">
                  <c:v>6.0024091671631865</c:v>
                </c:pt>
                <c:pt idx="4">
                  <c:v>7.8814920706983491</c:v>
                </c:pt>
                <c:pt idx="5">
                  <c:v>10.351109754386128</c:v>
                </c:pt>
                <c:pt idx="6">
                  <c:v>13.597518525250571</c:v>
                </c:pt>
                <c:pt idx="7">
                  <c:v>17.865916895484574</c:v>
                </c:pt>
                <c:pt idx="8">
                  <c:v>23.479155645331584</c:v>
                </c:pt>
                <c:pt idx="9">
                  <c:v>30.862403725874362</c:v>
                </c:pt>
                <c:pt idx="10">
                  <c:v>40.575670724221879</c:v>
                </c:pt>
                <c:pt idx="11">
                  <c:v>53.356694603454663</c:v>
                </c:pt>
                <c:pt idx="12">
                  <c:v>70.177506303416905</c:v>
                </c:pt>
                <c:pt idx="13">
                  <c:v>92.319043130108284</c:v>
                </c:pt>
                <c:pt idx="14">
                  <c:v>121.46958338650956</c:v>
                </c:pt>
                <c:pt idx="15">
                  <c:v>159.85462473829196</c:v>
                </c:pt>
                <c:pt idx="16">
                  <c:v>133.88642258251903</c:v>
                </c:pt>
                <c:pt idx="17">
                  <c:v>157.52478068368058</c:v>
                </c:pt>
                <c:pt idx="18">
                  <c:v>181.07884176068242</c:v>
                </c:pt>
                <c:pt idx="19">
                  <c:v>204.56112633170778</c:v>
                </c:pt>
                <c:pt idx="20">
                  <c:v>227.98103671144986</c:v>
                </c:pt>
                <c:pt idx="21">
                  <c:v>178.46546564751847</c:v>
                </c:pt>
                <c:pt idx="22">
                  <c:v>201.37601799190847</c:v>
                </c:pt>
                <c:pt idx="23">
                  <c:v>224.22616558170921</c:v>
                </c:pt>
                <c:pt idx="24">
                  <c:v>247.02293031880367</c:v>
                </c:pt>
                <c:pt idx="25">
                  <c:v>269.77193063297693</c:v>
                </c:pt>
                <c:pt idx="26">
                  <c:v>216.13381450662936</c:v>
                </c:pt>
                <c:pt idx="27">
                  <c:v>237.50633616304296</c:v>
                </c:pt>
                <c:pt idx="28">
                  <c:v>258.83502465444491</c:v>
                </c:pt>
                <c:pt idx="29">
                  <c:v>280.12399906349117</c:v>
                </c:pt>
                <c:pt idx="30">
                  <c:v>301.37670100579004</c:v>
                </c:pt>
                <c:pt idx="31">
                  <c:v>247.59942243726971</c:v>
                </c:pt>
                <c:pt idx="32">
                  <c:v>267.18252982854921</c:v>
                </c:pt>
                <c:pt idx="33">
                  <c:v>286.7333077859592</c:v>
                </c:pt>
                <c:pt idx="34">
                  <c:v>306.25427013593008</c:v>
                </c:pt>
                <c:pt idx="35">
                  <c:v>325.74758404942486</c:v>
                </c:pt>
                <c:pt idx="36">
                  <c:v>273.22359576358821</c:v>
                </c:pt>
                <c:pt idx="37">
                  <c:v>291.04188483130281</c:v>
                </c:pt>
                <c:pt idx="38">
                  <c:v>308.83581159700185</c:v>
                </c:pt>
                <c:pt idx="39">
                  <c:v>326.60697692883957</c:v>
                </c:pt>
                <c:pt idx="40">
                  <c:v>344.35679326801409</c:v>
                </c:pt>
                <c:pt idx="41">
                  <c:v>295.63613031709275</c:v>
                </c:pt>
                <c:pt idx="42">
                  <c:v>311.41687375566681</c:v>
                </c:pt>
                <c:pt idx="43">
                  <c:v>327.17987775354362</c:v>
                </c:pt>
                <c:pt idx="44">
                  <c:v>342.92611721533939</c:v>
                </c:pt>
                <c:pt idx="45">
                  <c:v>358.65647020831398</c:v>
                </c:pt>
                <c:pt idx="46">
                  <c:v>313.71075252562707</c:v>
                </c:pt>
                <c:pt idx="47">
                  <c:v>327.46631985411034</c:v>
                </c:pt>
                <c:pt idx="48">
                  <c:v>341.20913266476992</c:v>
                </c:pt>
                <c:pt idx="49">
                  <c:v>354.93977707053136</c:v>
                </c:pt>
                <c:pt idx="50">
                  <c:v>368.65879013141961</c:v>
                </c:pt>
                <c:pt idx="51">
                  <c:v>328.0391874593783</c:v>
                </c:pt>
                <c:pt idx="52">
                  <c:v>340.35056918220147</c:v>
                </c:pt>
                <c:pt idx="53">
                  <c:v>352.65215800851388</c:v>
                </c:pt>
                <c:pt idx="54">
                  <c:v>364.94434375313654</c:v>
                </c:pt>
                <c:pt idx="55">
                  <c:v>377.22748782235021</c:v>
                </c:pt>
                <c:pt idx="56">
                  <c:v>3.9700856333220852E-12</c:v>
                </c:pt>
                <c:pt idx="57">
                  <c:v>3.9700856333220852E-12</c:v>
                </c:pt>
                <c:pt idx="58">
                  <c:v>3.9700856333220852E-12</c:v>
                </c:pt>
                <c:pt idx="59">
                  <c:v>3.9700856333220852E-12</c:v>
                </c:pt>
                <c:pt idx="60">
                  <c:v>3.9700856333220852E-12</c:v>
                </c:pt>
                <c:pt idx="61">
                  <c:v>3.9700856333220852E-12</c:v>
                </c:pt>
                <c:pt idx="62">
                  <c:v>3.9700856333220852E-12</c:v>
                </c:pt>
                <c:pt idx="63">
                  <c:v>3.9700856333220852E-12</c:v>
                </c:pt>
                <c:pt idx="64">
                  <c:v>3.9700856333220852E-12</c:v>
                </c:pt>
                <c:pt idx="65">
                  <c:v>3.9700856333220852E-12</c:v>
                </c:pt>
                <c:pt idx="66">
                  <c:v>3.9700856333220852E-12</c:v>
                </c:pt>
                <c:pt idx="67">
                  <c:v>3.9700856333220852E-12</c:v>
                </c:pt>
                <c:pt idx="68">
                  <c:v>3.9700856333220852E-12</c:v>
                </c:pt>
                <c:pt idx="69">
                  <c:v>3.9700856333220852E-12</c:v>
                </c:pt>
                <c:pt idx="70">
                  <c:v>3.9700856333220852E-12</c:v>
                </c:pt>
                <c:pt idx="71">
                  <c:v>3.9700856333220852E-12</c:v>
                </c:pt>
                <c:pt idx="72">
                  <c:v>3.9700856333220852E-12</c:v>
                </c:pt>
                <c:pt idx="73">
                  <c:v>3.9700856333220852E-12</c:v>
                </c:pt>
                <c:pt idx="74">
                  <c:v>3.9700856333220852E-12</c:v>
                </c:pt>
                <c:pt idx="75">
                  <c:v>3.9700856333220852E-12</c:v>
                </c:pt>
                <c:pt idx="76">
                  <c:v>3.9700856333220852E-12</c:v>
                </c:pt>
                <c:pt idx="77">
                  <c:v>3.9700856333220852E-12</c:v>
                </c:pt>
                <c:pt idx="78">
                  <c:v>3.9700856333220852E-12</c:v>
                </c:pt>
                <c:pt idx="79">
                  <c:v>3.9700856333220852E-12</c:v>
                </c:pt>
                <c:pt idx="80">
                  <c:v>3.9700856333220852E-12</c:v>
                </c:pt>
                <c:pt idx="81">
                  <c:v>3.9700856333220852E-12</c:v>
                </c:pt>
                <c:pt idx="82">
                  <c:v>3.9700856333220852E-12</c:v>
                </c:pt>
                <c:pt idx="83">
                  <c:v>3.9700856333220852E-12</c:v>
                </c:pt>
                <c:pt idx="84">
                  <c:v>3.9700856333220852E-12</c:v>
                </c:pt>
                <c:pt idx="85">
                  <c:v>3.9700856333220852E-12</c:v>
                </c:pt>
                <c:pt idx="86">
                  <c:v>3.9700856333220852E-12</c:v>
                </c:pt>
                <c:pt idx="87">
                  <c:v>3.9700856333220852E-12</c:v>
                </c:pt>
                <c:pt idx="88">
                  <c:v>3.9700856333220852E-12</c:v>
                </c:pt>
                <c:pt idx="89">
                  <c:v>3.9700856333220852E-12</c:v>
                </c:pt>
                <c:pt idx="90">
                  <c:v>3.9700856333220852E-12</c:v>
                </c:pt>
                <c:pt idx="91">
                  <c:v>3.9700856333220852E-12</c:v>
                </c:pt>
                <c:pt idx="92">
                  <c:v>3.9700856333220852E-12</c:v>
                </c:pt>
                <c:pt idx="93">
                  <c:v>3.9700856333220852E-12</c:v>
                </c:pt>
                <c:pt idx="94">
                  <c:v>3.9700856333220852E-12</c:v>
                </c:pt>
                <c:pt idx="95">
                  <c:v>3.9700856333220852E-12</c:v>
                </c:pt>
                <c:pt idx="96">
                  <c:v>3.9700856333220852E-12</c:v>
                </c:pt>
                <c:pt idx="97">
                  <c:v>3.9700856333220852E-12</c:v>
                </c:pt>
                <c:pt idx="98">
                  <c:v>3.9700856333220852E-12</c:v>
                </c:pt>
                <c:pt idx="99">
                  <c:v>3.9700856333220852E-12</c:v>
                </c:pt>
                <c:pt idx="100">
                  <c:v>3.9700856333220852E-12</c:v>
                </c:pt>
                <c:pt idx="101">
                  <c:v>3.9700856333220852E-12</c:v>
                </c:pt>
                <c:pt idx="102">
                  <c:v>3.9700856333220852E-12</c:v>
                </c:pt>
                <c:pt idx="103">
                  <c:v>3.9700856333220852E-12</c:v>
                </c:pt>
                <c:pt idx="104">
                  <c:v>3.9700856333220852E-12</c:v>
                </c:pt>
                <c:pt idx="105">
                  <c:v>3.9700856333220852E-12</c:v>
                </c:pt>
                <c:pt idx="106">
                  <c:v>3.9700856333220852E-12</c:v>
                </c:pt>
                <c:pt idx="107">
                  <c:v>3.9700856333220852E-12</c:v>
                </c:pt>
                <c:pt idx="108">
                  <c:v>3.9700856333220852E-12</c:v>
                </c:pt>
                <c:pt idx="109">
                  <c:v>3.9700856333220852E-12</c:v>
                </c:pt>
                <c:pt idx="110">
                  <c:v>3.9700856333220852E-12</c:v>
                </c:pt>
                <c:pt idx="111">
                  <c:v>3.9700856333220852E-12</c:v>
                </c:pt>
                <c:pt idx="112">
                  <c:v>3.9700856333220852E-12</c:v>
                </c:pt>
                <c:pt idx="113">
                  <c:v>3.9700856333220852E-12</c:v>
                </c:pt>
                <c:pt idx="114">
                  <c:v>3.9700856333220852E-12</c:v>
                </c:pt>
                <c:pt idx="115">
                  <c:v>3.9700856333220852E-12</c:v>
                </c:pt>
                <c:pt idx="116">
                  <c:v>3.9700856333220852E-12</c:v>
                </c:pt>
                <c:pt idx="117">
                  <c:v>3.9700856333220852E-12</c:v>
                </c:pt>
                <c:pt idx="118">
                  <c:v>3.9700856333220852E-12</c:v>
                </c:pt>
                <c:pt idx="119">
                  <c:v>3.9700856333220852E-12</c:v>
                </c:pt>
                <c:pt idx="120">
                  <c:v>3.9700856333220852E-12</c:v>
                </c:pt>
                <c:pt idx="121">
                  <c:v>3.9700856333220852E-12</c:v>
                </c:pt>
                <c:pt idx="122">
                  <c:v>3.9700856333220852E-12</c:v>
                </c:pt>
                <c:pt idx="123">
                  <c:v>3.9700856333220852E-12</c:v>
                </c:pt>
                <c:pt idx="124">
                  <c:v>3.9700856333220852E-12</c:v>
                </c:pt>
                <c:pt idx="125">
                  <c:v>3.9700856333220852E-12</c:v>
                </c:pt>
                <c:pt idx="126">
                  <c:v>3.9700856333220852E-12</c:v>
                </c:pt>
                <c:pt idx="127">
                  <c:v>3.9700856333220852E-12</c:v>
                </c:pt>
                <c:pt idx="128">
                  <c:v>3.9700856333220852E-12</c:v>
                </c:pt>
                <c:pt idx="129">
                  <c:v>3.9700856333220852E-12</c:v>
                </c:pt>
                <c:pt idx="130">
                  <c:v>3.9700856333220852E-12</c:v>
                </c:pt>
                <c:pt idx="131">
                  <c:v>3.9700856333220852E-12</c:v>
                </c:pt>
                <c:pt idx="132">
                  <c:v>3.9700856333220852E-12</c:v>
                </c:pt>
                <c:pt idx="133">
                  <c:v>3.9700856333220852E-12</c:v>
                </c:pt>
                <c:pt idx="134">
                  <c:v>3.9700856333220852E-12</c:v>
                </c:pt>
                <c:pt idx="135">
                  <c:v>3.9700856333220852E-12</c:v>
                </c:pt>
                <c:pt idx="136">
                  <c:v>3.9700856333220852E-12</c:v>
                </c:pt>
                <c:pt idx="137">
                  <c:v>3.9700856333220852E-12</c:v>
                </c:pt>
                <c:pt idx="138">
                  <c:v>3.9700856333220852E-12</c:v>
                </c:pt>
                <c:pt idx="139">
                  <c:v>3.9700856333220852E-12</c:v>
                </c:pt>
                <c:pt idx="140">
                  <c:v>3.9700856333220852E-12</c:v>
                </c:pt>
                <c:pt idx="141">
                  <c:v>3.9700856333220852E-12</c:v>
                </c:pt>
                <c:pt idx="142">
                  <c:v>3.9700856333220852E-12</c:v>
                </c:pt>
                <c:pt idx="143">
                  <c:v>3.9700856333220852E-12</c:v>
                </c:pt>
                <c:pt idx="144">
                  <c:v>3.9700856333220852E-12</c:v>
                </c:pt>
                <c:pt idx="145">
                  <c:v>3.9700856333220852E-12</c:v>
                </c:pt>
                <c:pt idx="146">
                  <c:v>3.9700856333220852E-12</c:v>
                </c:pt>
                <c:pt idx="147">
                  <c:v>3.9700856333220852E-12</c:v>
                </c:pt>
                <c:pt idx="148">
                  <c:v>3.9700856333220852E-12</c:v>
                </c:pt>
                <c:pt idx="149">
                  <c:v>3.9700856333220852E-12</c:v>
                </c:pt>
                <c:pt idx="150">
                  <c:v>3.9700856333220852E-12</c:v>
                </c:pt>
                <c:pt idx="151">
                  <c:v>3.9700856333220852E-12</c:v>
                </c:pt>
                <c:pt idx="152">
                  <c:v>3.9700856333220852E-12</c:v>
                </c:pt>
                <c:pt idx="153">
                  <c:v>3.9700856333220852E-12</c:v>
                </c:pt>
                <c:pt idx="154">
                  <c:v>3.9700856333220852E-12</c:v>
                </c:pt>
                <c:pt idx="155">
                  <c:v>3.9700856333220852E-12</c:v>
                </c:pt>
                <c:pt idx="156">
                  <c:v>3.9700856333220852E-12</c:v>
                </c:pt>
                <c:pt idx="157">
                  <c:v>3.9700856333220852E-12</c:v>
                </c:pt>
                <c:pt idx="158">
                  <c:v>3.9700856333220852E-12</c:v>
                </c:pt>
                <c:pt idx="159">
                  <c:v>3.9700856333220852E-12</c:v>
                </c:pt>
                <c:pt idx="160">
                  <c:v>3.9700856333220852E-12</c:v>
                </c:pt>
                <c:pt idx="161">
                  <c:v>3.9700856333220852E-12</c:v>
                </c:pt>
                <c:pt idx="162">
                  <c:v>3.9700856333220852E-12</c:v>
                </c:pt>
                <c:pt idx="163">
                  <c:v>3.9700856333220852E-12</c:v>
                </c:pt>
                <c:pt idx="164">
                  <c:v>3.9700856333220852E-12</c:v>
                </c:pt>
                <c:pt idx="165">
                  <c:v>3.9700856333220852E-12</c:v>
                </c:pt>
                <c:pt idx="166">
                  <c:v>3.9700856333220852E-12</c:v>
                </c:pt>
                <c:pt idx="167">
                  <c:v>3.9700856333220852E-12</c:v>
                </c:pt>
                <c:pt idx="168">
                  <c:v>3.9700856333220852E-12</c:v>
                </c:pt>
                <c:pt idx="169">
                  <c:v>3.9700856333220852E-12</c:v>
                </c:pt>
                <c:pt idx="170">
                  <c:v>3.9700856333220852E-12</c:v>
                </c:pt>
                <c:pt idx="171">
                  <c:v>3.9700856333220852E-12</c:v>
                </c:pt>
                <c:pt idx="172">
                  <c:v>3.9700856333220852E-12</c:v>
                </c:pt>
                <c:pt idx="173">
                  <c:v>3.9700856333220852E-12</c:v>
                </c:pt>
                <c:pt idx="174">
                  <c:v>3.9700856333220852E-12</c:v>
                </c:pt>
                <c:pt idx="175">
                  <c:v>3.9700856333220852E-12</c:v>
                </c:pt>
                <c:pt idx="176">
                  <c:v>3.9700856333220852E-12</c:v>
                </c:pt>
                <c:pt idx="177">
                  <c:v>3.9700856333220852E-12</c:v>
                </c:pt>
                <c:pt idx="178">
                  <c:v>3.9700856333220852E-12</c:v>
                </c:pt>
                <c:pt idx="179">
                  <c:v>3.9700856333220852E-12</c:v>
                </c:pt>
                <c:pt idx="180">
                  <c:v>3.9700856333220852E-12</c:v>
                </c:pt>
                <c:pt idx="181">
                  <c:v>3.9700856333220852E-12</c:v>
                </c:pt>
                <c:pt idx="182">
                  <c:v>3.9700856333220852E-12</c:v>
                </c:pt>
                <c:pt idx="183">
                  <c:v>3.9700856333220852E-12</c:v>
                </c:pt>
                <c:pt idx="184">
                  <c:v>3.9700856333220852E-12</c:v>
                </c:pt>
                <c:pt idx="185">
                  <c:v>3.9700856333220852E-12</c:v>
                </c:pt>
                <c:pt idx="186">
                  <c:v>3.9700856333220852E-12</c:v>
                </c:pt>
                <c:pt idx="187">
                  <c:v>3.9700856333220852E-12</c:v>
                </c:pt>
                <c:pt idx="188">
                  <c:v>3.9700856333220852E-12</c:v>
                </c:pt>
                <c:pt idx="189">
                  <c:v>3.9700856333220852E-12</c:v>
                </c:pt>
                <c:pt idx="190">
                  <c:v>3.9700856333220852E-12</c:v>
                </c:pt>
                <c:pt idx="191">
                  <c:v>3.9700856333220852E-12</c:v>
                </c:pt>
                <c:pt idx="192">
                  <c:v>3.9700856333220852E-12</c:v>
                </c:pt>
                <c:pt idx="193">
                  <c:v>3.9700856333220852E-12</c:v>
                </c:pt>
                <c:pt idx="194">
                  <c:v>3.9700856333220852E-12</c:v>
                </c:pt>
                <c:pt idx="195">
                  <c:v>3.9700856333220852E-12</c:v>
                </c:pt>
                <c:pt idx="196">
                  <c:v>3.9700856333220852E-12</c:v>
                </c:pt>
                <c:pt idx="197">
                  <c:v>3.9700856333220852E-12</c:v>
                </c:pt>
                <c:pt idx="198">
                  <c:v>3.9700856333220852E-12</c:v>
                </c:pt>
                <c:pt idx="199">
                  <c:v>3.9700856333220852E-12</c:v>
                </c:pt>
                <c:pt idx="200">
                  <c:v>3.9700856333220852E-12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1.9143975374625271</c:v>
                </c:pt>
                <c:pt idx="2">
                  <c:v>2.3631301223601535</c:v>
                </c:pt>
                <c:pt idx="3">
                  <c:v>2.9174548238720219</c:v>
                </c:pt>
                <c:pt idx="4">
                  <c:v>3.6023098465007668</c:v>
                </c:pt>
                <c:pt idx="5">
                  <c:v>4.4485433596983173</c:v>
                </c:pt>
                <c:pt idx="6">
                  <c:v>5.4943185233666361</c:v>
                </c:pt>
                <c:pt idx="7">
                  <c:v>6.7868535221036126</c:v>
                </c:pt>
                <c:pt idx="8">
                  <c:v>8.3845767013125236</c:v>
                </c:pt>
                <c:pt idx="9">
                  <c:v>10.359796093769079</c:v>
                </c:pt>
                <c:pt idx="10">
                  <c:v>12.802006431437341</c:v>
                </c:pt>
                <c:pt idx="11">
                  <c:v>15.821986263961561</c:v>
                </c:pt>
                <c:pt idx="12">
                  <c:v>19.556874429624859</c:v>
                </c:pt>
                <c:pt idx="13">
                  <c:v>24.176460556140523</c:v>
                </c:pt>
                <c:pt idx="14">
                  <c:v>29.890980629355308</c:v>
                </c:pt>
                <c:pt idx="15">
                  <c:v>36.960778591833304</c:v>
                </c:pt>
                <c:pt idx="16">
                  <c:v>45.70828169028141</c:v>
                </c:pt>
                <c:pt idx="17">
                  <c:v>56.532844940434195</c:v>
                </c:pt>
                <c:pt idx="18">
                  <c:v>69.929153660494023</c:v>
                </c:pt>
                <c:pt idx="19">
                  <c:v>86.510038797475374</c:v>
                </c:pt>
                <c:pt idx="20">
                  <c:v>107.03476550524589</c:v>
                </c:pt>
                <c:pt idx="21">
                  <c:v>132.44411077759398</c:v>
                </c:pt>
                <c:pt idx="22">
                  <c:v>163.90386287643108</c:v>
                </c:pt>
                <c:pt idx="23">
                  <c:v>159.14039927075092</c:v>
                </c:pt>
                <c:pt idx="24">
                  <c:v>175.15013994164235</c:v>
                </c:pt>
                <c:pt idx="25">
                  <c:v>191.12551298630106</c:v>
                </c:pt>
                <c:pt idx="26">
                  <c:v>186.46577828407854</c:v>
                </c:pt>
                <c:pt idx="27">
                  <c:v>203.79715143595334</c:v>
                </c:pt>
                <c:pt idx="28">
                  <c:v>221.09442404914515</c:v>
                </c:pt>
                <c:pt idx="29">
                  <c:v>238.36063977122203</c:v>
                </c:pt>
                <c:pt idx="30">
                  <c:v>255.59836496686489</c:v>
                </c:pt>
                <c:pt idx="31">
                  <c:v>230.63316428689714</c:v>
                </c:pt>
                <c:pt idx="32">
                  <c:v>249.42678742365072</c:v>
                </c:pt>
                <c:pt idx="33">
                  <c:v>268.1882976169623</c:v>
                </c:pt>
                <c:pt idx="34">
                  <c:v>286.92025704588701</c:v>
                </c:pt>
                <c:pt idx="35">
                  <c:v>305.62486594574438</c:v>
                </c:pt>
                <c:pt idx="36">
                  <c:v>271.5262211522043</c:v>
                </c:pt>
                <c:pt idx="37">
                  <c:v>289.99681160231415</c:v>
                </c:pt>
                <c:pt idx="38">
                  <c:v>308.44111949657542</c:v>
                </c:pt>
                <c:pt idx="39">
                  <c:v>326.86093719547273</c:v>
                </c:pt>
                <c:pt idx="40">
                  <c:v>345.25783856692902</c:v>
                </c:pt>
                <c:pt idx="41">
                  <c:v>317.14231769154247</c:v>
                </c:pt>
                <c:pt idx="42">
                  <c:v>341.42696956725422</c:v>
                </c:pt>
                <c:pt idx="43">
                  <c:v>365.67365126385283</c:v>
                </c:pt>
                <c:pt idx="44">
                  <c:v>389.88523246274644</c:v>
                </c:pt>
                <c:pt idx="45">
                  <c:v>414.06419751906054</c:v>
                </c:pt>
                <c:pt idx="46">
                  <c:v>368.73383823272388</c:v>
                </c:pt>
                <c:pt idx="47">
                  <c:v>390.90393569861902</c:v>
                </c:pt>
                <c:pt idx="48">
                  <c:v>413.04676405305344</c:v>
                </c:pt>
                <c:pt idx="49">
                  <c:v>435.16398965501406</c:v>
                </c:pt>
                <c:pt idx="50">
                  <c:v>457.25709576545165</c:v>
                </c:pt>
                <c:pt idx="51">
                  <c:v>412.31545034855634</c:v>
                </c:pt>
                <c:pt idx="52">
                  <c:v>434.71934533149914</c:v>
                </c:pt>
                <c:pt idx="53">
                  <c:v>457.09846370599325</c:v>
                </c:pt>
                <c:pt idx="54">
                  <c:v>479.45418811198141</c:v>
                </c:pt>
                <c:pt idx="55">
                  <c:v>501.78776183351812</c:v>
                </c:pt>
                <c:pt idx="56">
                  <c:v>524.10030854720526</c:v>
                </c:pt>
                <c:pt idx="57">
                  <c:v>546.39284853374647</c:v>
                </c:pt>
                <c:pt idx="58">
                  <c:v>568.66631210732646</c:v>
                </c:pt>
                <c:pt idx="59">
                  <c:v>491.0196521124895</c:v>
                </c:pt>
                <c:pt idx="60">
                  <c:v>512.07623603023308</c:v>
                </c:pt>
                <c:pt idx="61">
                  <c:v>533.11454122394582</c:v>
                </c:pt>
                <c:pt idx="62">
                  <c:v>554.13538990317852</c:v>
                </c:pt>
                <c:pt idx="63">
                  <c:v>575.13953686439993</c:v>
                </c:pt>
                <c:pt idx="64">
                  <c:v>596.12767732798443</c:v>
                </c:pt>
                <c:pt idx="65">
                  <c:v>617.10045361481673</c:v>
                </c:pt>
                <c:pt idx="66">
                  <c:v>638.05846086868871</c:v>
                </c:pt>
                <c:pt idx="67">
                  <c:v>572.29782173470437</c:v>
                </c:pt>
                <c:pt idx="68">
                  <c:v>588.55481451870241</c:v>
                </c:pt>
                <c:pt idx="69">
                  <c:v>604.80245799974352</c:v>
                </c:pt>
                <c:pt idx="70">
                  <c:v>621.04103855425899</c:v>
                </c:pt>
                <c:pt idx="71">
                  <c:v>637.27082637167155</c:v>
                </c:pt>
                <c:pt idx="72">
                  <c:v>653.49207676674712</c:v>
                </c:pt>
                <c:pt idx="73">
                  <c:v>669.70503135496119</c:v>
                </c:pt>
                <c:pt idx="74">
                  <c:v>685.90991910820378</c:v>
                </c:pt>
                <c:pt idx="75">
                  <c:v>650.50043827916329</c:v>
                </c:pt>
                <c:pt idx="76">
                  <c:v>661.67827996165295</c:v>
                </c:pt>
                <c:pt idx="77">
                  <c:v>672.85223568835988</c:v>
                </c:pt>
                <c:pt idx="78">
                  <c:v>684.0223790645324</c:v>
                </c:pt>
                <c:pt idx="79">
                  <c:v>695.18878109639593</c:v>
                </c:pt>
                <c:pt idx="80">
                  <c:v>706.35151032407646</c:v>
                </c:pt>
                <c:pt idx="81">
                  <c:v>717.5106329456886</c:v>
                </c:pt>
                <c:pt idx="82">
                  <c:v>728.66621293330627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3.3586560307508679</c:v>
                </c:pt>
                <c:pt idx="2">
                  <c:v>4.1306410061423255</c:v>
                </c:pt>
                <c:pt idx="3">
                  <c:v>5.0807351927460944</c:v>
                </c:pt>
                <c:pt idx="4">
                  <c:v>6.2501765565144138</c:v>
                </c:pt>
                <c:pt idx="5">
                  <c:v>7.6897824265263219</c:v>
                </c:pt>
                <c:pt idx="6">
                  <c:v>9.4621815158002143</c:v>
                </c:pt>
                <c:pt idx="7">
                  <c:v>11.644567468377296</c:v>
                </c:pt>
                <c:pt idx="8">
                  <c:v>14.332096103316941</c:v>
                </c:pt>
                <c:pt idx="9">
                  <c:v>17.642077212259725</c:v>
                </c:pt>
                <c:pt idx="10">
                  <c:v>21.719147203029511</c:v>
                </c:pt>
                <c:pt idx="11">
                  <c:v>26.741652658615525</c:v>
                </c:pt>
                <c:pt idx="12">
                  <c:v>32.929528965829938</c:v>
                </c:pt>
                <c:pt idx="13">
                  <c:v>40.55402499266151</c:v>
                </c:pt>
                <c:pt idx="14">
                  <c:v>49.949707364108086</c:v>
                </c:pt>
                <c:pt idx="15">
                  <c:v>61.52927991988566</c:v>
                </c:pt>
                <c:pt idx="16">
                  <c:v>75.801880029428006</c:v>
                </c:pt>
                <c:pt idx="17">
                  <c:v>93.39566927233308</c:v>
                </c:pt>
                <c:pt idx="18">
                  <c:v>115.08572859234651</c:v>
                </c:pt>
                <c:pt idx="19">
                  <c:v>141.82850608908612</c:v>
                </c:pt>
                <c:pt idx="20">
                  <c:v>174.8043598694039</c:v>
                </c:pt>
                <c:pt idx="21">
                  <c:v>177.6047193610066</c:v>
                </c:pt>
                <c:pt idx="22">
                  <c:v>194.38574894735427</c:v>
                </c:pt>
                <c:pt idx="23">
                  <c:v>211.13310471280226</c:v>
                </c:pt>
                <c:pt idx="24">
                  <c:v>227.84983423962137</c:v>
                </c:pt>
                <c:pt idx="25">
                  <c:v>244.53850101874704</c:v>
                </c:pt>
                <c:pt idx="26">
                  <c:v>200.90243103308026</c:v>
                </c:pt>
                <c:pt idx="27">
                  <c:v>222.28082707888197</c:v>
                </c:pt>
                <c:pt idx="28">
                  <c:v>243.61205045301185</c:v>
                </c:pt>
                <c:pt idx="29">
                  <c:v>264.90081208016204</c:v>
                </c:pt>
                <c:pt idx="30">
                  <c:v>286.15100338127621</c:v>
                </c:pt>
                <c:pt idx="31">
                  <c:v>246.39116311423746</c:v>
                </c:pt>
                <c:pt idx="32">
                  <c:v>271.37218356115193</c:v>
                </c:pt>
                <c:pt idx="33">
                  <c:v>296.30147749206873</c:v>
                </c:pt>
                <c:pt idx="34">
                  <c:v>321.18400634011869</c:v>
                </c:pt>
                <c:pt idx="35">
                  <c:v>346.02389994775189</c:v>
                </c:pt>
                <c:pt idx="36">
                  <c:v>307.36589042386964</c:v>
                </c:pt>
                <c:pt idx="37">
                  <c:v>333.14904895004429</c:v>
                </c:pt>
                <c:pt idx="38">
                  <c:v>358.88823411477216</c:v>
                </c:pt>
                <c:pt idx="39">
                  <c:v>384.58704033593932</c:v>
                </c:pt>
                <c:pt idx="40">
                  <c:v>410.24854266397227</c:v>
                </c:pt>
                <c:pt idx="41">
                  <c:v>372.20138039050318</c:v>
                </c:pt>
                <c:pt idx="42">
                  <c:v>398.33873496539172</c:v>
                </c:pt>
                <c:pt idx="43">
                  <c:v>424.43896415017304</c:v>
                </c:pt>
                <c:pt idx="44">
                  <c:v>450.50466953855158</c:v>
                </c:pt>
                <c:pt idx="45">
                  <c:v>476.53812734890562</c:v>
                </c:pt>
                <c:pt idx="46">
                  <c:v>437.70462758915511</c:v>
                </c:pt>
                <c:pt idx="47">
                  <c:v>462.8401985900677</c:v>
                </c:pt>
                <c:pt idx="48">
                  <c:v>487.94666038986719</c:v>
                </c:pt>
                <c:pt idx="49">
                  <c:v>513.02571977154446</c:v>
                </c:pt>
                <c:pt idx="50">
                  <c:v>538.07890319826015</c:v>
                </c:pt>
                <c:pt idx="51">
                  <c:v>497.52544854631657</c:v>
                </c:pt>
                <c:pt idx="52">
                  <c:v>520.77212718922112</c:v>
                </c:pt>
                <c:pt idx="53">
                  <c:v>543.99693627336694</c:v>
                </c:pt>
                <c:pt idx="54">
                  <c:v>567.20093985804488</c:v>
                </c:pt>
                <c:pt idx="55">
                  <c:v>590.38510793020873</c:v>
                </c:pt>
                <c:pt idx="56">
                  <c:v>548.09324346307551</c:v>
                </c:pt>
                <c:pt idx="57">
                  <c:v>569.47475955098787</c:v>
                </c:pt>
                <c:pt idx="58">
                  <c:v>590.83950728108505</c:v>
                </c:pt>
                <c:pt idx="59">
                  <c:v>612.18817773567764</c:v>
                </c:pt>
                <c:pt idx="60">
                  <c:v>633.52140991484157</c:v>
                </c:pt>
                <c:pt idx="61">
                  <c:v>589.93070129681701</c:v>
                </c:pt>
                <c:pt idx="62">
                  <c:v>609.91778720325738</c:v>
                </c:pt>
                <c:pt idx="63">
                  <c:v>629.89128564201053</c:v>
                </c:pt>
                <c:pt idx="64">
                  <c:v>649.85168770908911</c:v>
                </c:pt>
                <c:pt idx="65">
                  <c:v>669.79945190168928</c:v>
                </c:pt>
                <c:pt idx="66">
                  <c:v>624.8991574180119</c:v>
                </c:pt>
                <c:pt idx="67">
                  <c:v>643.50204276587419</c:v>
                </c:pt>
                <c:pt idx="68">
                  <c:v>662.09383135504959</c:v>
                </c:pt>
                <c:pt idx="69">
                  <c:v>680.67487838070929</c:v>
                </c:pt>
                <c:pt idx="70">
                  <c:v>699.24551808280933</c:v>
                </c:pt>
                <c:pt idx="71">
                  <c:v>653.02602957952047</c:v>
                </c:pt>
                <c:pt idx="72">
                  <c:v>670.25266671743498</c:v>
                </c:pt>
                <c:pt idx="73">
                  <c:v>687.47020509498805</c:v>
                </c:pt>
                <c:pt idx="74">
                  <c:v>704.67890448920218</c:v>
                </c:pt>
                <c:pt idx="75">
                  <c:v>721.87901096599273</c:v>
                </c:pt>
                <c:pt idx="76">
                  <c:v>674.78446916222117</c:v>
                </c:pt>
                <c:pt idx="77">
                  <c:v>691.09381526985146</c:v>
                </c:pt>
                <c:pt idx="78">
                  <c:v>707.39527591573994</c:v>
                </c:pt>
                <c:pt idx="79">
                  <c:v>723.6890582627783</c:v>
                </c:pt>
                <c:pt idx="80">
                  <c:v>739.9753593927303</c:v>
                </c:pt>
                <c:pt idx="81">
                  <c:v>691.99965688460588</c:v>
                </c:pt>
                <c:pt idx="82">
                  <c:v>707.39527591573994</c:v>
                </c:pt>
                <c:pt idx="83">
                  <c:v>722.78404617477554</c:v>
                </c:pt>
                <c:pt idx="84">
                  <c:v>738.1661339071153</c:v>
                </c:pt>
                <c:pt idx="85">
                  <c:v>753.54169787037063</c:v>
                </c:pt>
                <c:pt idx="86">
                  <c:v>704.67890448920218</c:v>
                </c:pt>
                <c:pt idx="87">
                  <c:v>719.16376628356682</c:v>
                </c:pt>
                <c:pt idx="88">
                  <c:v>733.64267463552369</c:v>
                </c:pt>
                <c:pt idx="89">
                  <c:v>748.11576350792348</c:v>
                </c:pt>
                <c:pt idx="90">
                  <c:v>762.58316126167256</c:v>
                </c:pt>
                <c:pt idx="91">
                  <c:v>713.28001696958756</c:v>
                </c:pt>
                <c:pt idx="92">
                  <c:v>727.30887606576107</c:v>
                </c:pt>
                <c:pt idx="93">
                  <c:v>741.33221940809119</c:v>
                </c:pt>
                <c:pt idx="94">
                  <c:v>755.35016596146124</c:v>
                </c:pt>
                <c:pt idx="95">
                  <c:v>769.36282991848657</c:v>
                </c:pt>
                <c:pt idx="96">
                  <c:v>718.71120518049202</c:v>
                </c:pt>
                <c:pt idx="97">
                  <c:v>731.38073214986196</c:v>
                </c:pt>
                <c:pt idx="98">
                  <c:v>744.04578792851362</c:v>
                </c:pt>
                <c:pt idx="99">
                  <c:v>756.70645930239664</c:v>
                </c:pt>
                <c:pt idx="100">
                  <c:v>769.36282991848668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2.0401223278811598</c:v>
                </c:pt>
                <c:pt idx="2">
                  <c:v>2.4028063593665001</c:v>
                </c:pt>
                <c:pt idx="3">
                  <c:v>2.8302065132711554</c:v>
                </c:pt>
                <c:pt idx="4">
                  <c:v>3.3339109893912702</c:v>
                </c:pt>
                <c:pt idx="5">
                  <c:v>3.927589801003164</c:v>
                </c:pt>
                <c:pt idx="6">
                  <c:v>4.6273699123367198</c:v>
                </c:pt>
                <c:pt idx="7">
                  <c:v>5.4522781654513883</c:v>
                </c:pt>
                <c:pt idx="8">
                  <c:v>6.4247642781741421</c:v>
                </c:pt>
                <c:pt idx="9">
                  <c:v>7.5713184251444012</c:v>
                </c:pt>
                <c:pt idx="10">
                  <c:v>8.9232005503145917</c:v>
                </c:pt>
                <c:pt idx="11">
                  <c:v>10.517301675495668</c:v>
                </c:pt>
                <c:pt idx="12">
                  <c:v>12.397161153254906</c:v>
                </c:pt>
                <c:pt idx="13">
                  <c:v>14.614168167203985</c:v>
                </c:pt>
                <c:pt idx="14">
                  <c:v>17.228980930916237</c:v>
                </c:pt>
                <c:pt idx="15">
                  <c:v>20.313203123226199</c:v>
                </c:pt>
                <c:pt idx="16">
                  <c:v>23.951364293819562</c:v>
                </c:pt>
                <c:pt idx="17">
                  <c:v>28.243259481477853</c:v>
                </c:pt>
                <c:pt idx="18">
                  <c:v>33.306713347834318</c:v>
                </c:pt>
                <c:pt idx="19">
                  <c:v>39.280846025621983</c:v>
                </c:pt>
                <c:pt idx="20">
                  <c:v>46.329931947653087</c:v>
                </c:pt>
                <c:pt idx="21">
                  <c:v>54.647959558071015</c:v>
                </c:pt>
                <c:pt idx="22">
                  <c:v>64.46401948034692</c:v>
                </c:pt>
                <c:pt idx="23">
                  <c:v>76.048671982626985</c:v>
                </c:pt>
                <c:pt idx="24">
                  <c:v>89.721472097712578</c:v>
                </c:pt>
                <c:pt idx="25">
                  <c:v>105.85986329993615</c:v>
                </c:pt>
                <c:pt idx="26">
                  <c:v>104.38736403026746</c:v>
                </c:pt>
                <c:pt idx="27">
                  <c:v>114.68451505777911</c:v>
                </c:pt>
                <c:pt idx="28">
                  <c:v>124.9590359758095</c:v>
                </c:pt>
                <c:pt idx="29">
                  <c:v>135.21305233822034</c:v>
                </c:pt>
                <c:pt idx="30">
                  <c:v>145.44834026607313</c:v>
                </c:pt>
                <c:pt idx="31">
                  <c:v>126.42510605145075</c:v>
                </c:pt>
                <c:pt idx="32">
                  <c:v>138.13926103387723</c:v>
                </c:pt>
                <c:pt idx="33">
                  <c:v>149.82954016541169</c:v>
                </c:pt>
                <c:pt idx="34">
                  <c:v>161.49807067148291</c:v>
                </c:pt>
                <c:pt idx="35">
                  <c:v>173.14664675554297</c:v>
                </c:pt>
                <c:pt idx="36">
                  <c:v>154.791212197665</c:v>
                </c:pt>
                <c:pt idx="37">
                  <c:v>167.03353298741314</c:v>
                </c:pt>
                <c:pt idx="38">
                  <c:v>179.25468649117639</c:v>
                </c:pt>
                <c:pt idx="39">
                  <c:v>191.45632021479813</c:v>
                </c:pt>
                <c:pt idx="40">
                  <c:v>203.63985426583091</c:v>
                </c:pt>
                <c:pt idx="41">
                  <c:v>185.3578498069385</c:v>
                </c:pt>
                <c:pt idx="42">
                  <c:v>197.5502685595452</c:v>
                </c:pt>
                <c:pt idx="43">
                  <c:v>209.72522642799001</c:v>
                </c:pt>
                <c:pt idx="44">
                  <c:v>221.88388047112767</c:v>
                </c:pt>
                <c:pt idx="45">
                  <c:v>234.02725047186388</c:v>
                </c:pt>
                <c:pt idx="46">
                  <c:v>215.5170295411389</c:v>
                </c:pt>
                <c:pt idx="47">
                  <c:v>227.37914621653621</c:v>
                </c:pt>
                <c:pt idx="48">
                  <c:v>239.2271010331298</c:v>
                </c:pt>
                <c:pt idx="49">
                  <c:v>251.06169458557397</c:v>
                </c:pt>
                <c:pt idx="50">
                  <c:v>262.8836457748352</c:v>
                </c:pt>
                <c:pt idx="51">
                  <c:v>244.13570624979195</c:v>
                </c:pt>
                <c:pt idx="52">
                  <c:v>255.67660587898322</c:v>
                </c:pt>
                <c:pt idx="53">
                  <c:v>267.20572099343701</c:v>
                </c:pt>
                <c:pt idx="54">
                  <c:v>278.723631976729</c:v>
                </c:pt>
                <c:pt idx="55">
                  <c:v>290.23086730017536</c:v>
                </c:pt>
                <c:pt idx="56">
                  <c:v>270.95024442791089</c:v>
                </c:pt>
                <c:pt idx="57">
                  <c:v>281.88916467282769</c:v>
                </c:pt>
                <c:pt idx="58">
                  <c:v>292.81857421305534</c:v>
                </c:pt>
                <c:pt idx="59">
                  <c:v>303.73887825775086</c:v>
                </c:pt>
                <c:pt idx="60">
                  <c:v>314.65045048417016</c:v>
                </c:pt>
                <c:pt idx="61">
                  <c:v>294.83088185618146</c:v>
                </c:pt>
                <c:pt idx="62">
                  <c:v>305.17510260314924</c:v>
                </c:pt>
                <c:pt idx="63">
                  <c:v>315.51152888688659</c:v>
                </c:pt>
                <c:pt idx="64">
                  <c:v>325.8404521993736</c:v>
                </c:pt>
                <c:pt idx="65">
                  <c:v>336.16214403365615</c:v>
                </c:pt>
                <c:pt idx="66">
                  <c:v>315.79854343698958</c:v>
                </c:pt>
                <c:pt idx="67">
                  <c:v>325.55363652329186</c:v>
                </c:pt>
                <c:pt idx="68">
                  <c:v>335.30227295269918</c:v>
                </c:pt>
                <c:pt idx="69">
                  <c:v>345.04466702322998</c:v>
                </c:pt>
                <c:pt idx="70">
                  <c:v>354.78101993685891</c:v>
                </c:pt>
                <c:pt idx="71">
                  <c:v>333.58238487409534</c:v>
                </c:pt>
                <c:pt idx="72">
                  <c:v>342.46639395307403</c:v>
                </c:pt>
                <c:pt idx="73">
                  <c:v>351.34533779988072</c:v>
                </c:pt>
                <c:pt idx="74">
                  <c:v>360.21936255423617</c:v>
                </c:pt>
                <c:pt idx="75">
                  <c:v>369.08860656335196</c:v>
                </c:pt>
                <c:pt idx="76">
                  <c:v>347.62251685912901</c:v>
                </c:pt>
                <c:pt idx="77">
                  <c:v>356.21233858420209</c:v>
                </c:pt>
                <c:pt idx="78">
                  <c:v>364.7976254144935</c:v>
                </c:pt>
                <c:pt idx="79">
                  <c:v>373.37849919705491</c:v>
                </c:pt>
                <c:pt idx="80">
                  <c:v>381.95507571785947</c:v>
                </c:pt>
                <c:pt idx="81">
                  <c:v>360.21936255423617</c:v>
                </c:pt>
                <c:pt idx="82">
                  <c:v>368.51653895153339</c:v>
                </c:pt>
                <c:pt idx="83">
                  <c:v>376.80963918625883</c:v>
                </c:pt>
                <c:pt idx="84">
                  <c:v>385.09876568097229</c:v>
                </c:pt>
                <c:pt idx="85">
                  <c:v>393.38401608641078</c:v>
                </c:pt>
                <c:pt idx="86">
                  <c:v>371.09069104114747</c:v>
                </c:pt>
                <c:pt idx="87">
                  <c:v>378.81082287270925</c:v>
                </c:pt>
                <c:pt idx="88">
                  <c:v>386.5275310109509</c:v>
                </c:pt>
                <c:pt idx="89">
                  <c:v>394.24089349639394</c:v>
                </c:pt>
                <c:pt idx="90">
                  <c:v>401.95098506454946</c:v>
                </c:pt>
                <c:pt idx="91">
                  <c:v>379.09668743989369</c:v>
                </c:pt>
                <c:pt idx="92">
                  <c:v>386.24178713849096</c:v>
                </c:pt>
                <c:pt idx="93">
                  <c:v>393.38401608641061</c:v>
                </c:pt>
                <c:pt idx="94">
                  <c:v>400.52343379691257</c:v>
                </c:pt>
                <c:pt idx="95">
                  <c:v>407.66009748688685</c:v>
                </c:pt>
                <c:pt idx="96">
                  <c:v>384.52722731702607</c:v>
                </c:pt>
                <c:pt idx="97">
                  <c:v>391.38447786967737</c:v>
                </c:pt>
                <c:pt idx="98">
                  <c:v>398.23912246132232</c:v>
                </c:pt>
                <c:pt idx="99">
                  <c:v>405.09121230987375</c:v>
                </c:pt>
                <c:pt idx="100">
                  <c:v>411.94079675783911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7" zoomScale="80" zoomScaleNormal="80" workbookViewId="0">
      <selection activeCell="F47" sqref="F47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8" t="s">
        <v>231</v>
      </c>
      <c r="B5" s="268"/>
      <c r="C5" s="24">
        <v>6.36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9</v>
      </c>
      <c r="C9" s="32">
        <v>0.4</v>
      </c>
      <c r="D9" s="33">
        <f t="shared" ref="D9:D18" si="0">C9*$C$5</f>
        <v>2.5440000000000005</v>
      </c>
      <c r="E9" s="34">
        <v>55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35</v>
      </c>
      <c r="C10" s="32">
        <v>0.4</v>
      </c>
      <c r="D10" s="33">
        <f t="shared" si="0"/>
        <v>2.5440000000000005</v>
      </c>
      <c r="E10" s="34">
        <v>82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 t="s">
        <v>52</v>
      </c>
      <c r="C11" s="32">
        <v>0.1</v>
      </c>
      <c r="D11" s="33">
        <f t="shared" si="0"/>
        <v>0.63600000000000012</v>
      </c>
      <c r="E11" s="34">
        <v>100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 t="s">
        <v>50</v>
      </c>
      <c r="C12" s="32">
        <v>0.1</v>
      </c>
      <c r="D12" s="33">
        <f t="shared" si="0"/>
        <v>0.63600000000000012</v>
      </c>
      <c r="E12" s="34">
        <v>100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1</v>
      </c>
      <c r="D19" s="38">
        <f>SUM(D9:D18)</f>
        <v>6.3600000000000012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Chêne chevelu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15</v>
      </c>
      <c r="B36" s="60">
        <f>107/1.56</f>
        <v>68.589743589743591</v>
      </c>
      <c r="C36" s="60">
        <v>1</v>
      </c>
      <c r="D36" s="60">
        <f>34/1.56</f>
        <v>21.794871794871796</v>
      </c>
      <c r="E36" s="51"/>
      <c r="F36" s="51">
        <v>0.1</v>
      </c>
      <c r="G36" s="51">
        <v>0.5</v>
      </c>
      <c r="H36" s="51">
        <v>0.4</v>
      </c>
      <c r="I36" s="49">
        <f>IFERROR(B36/A36,"")</f>
        <v>4.5726495726495724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20</v>
      </c>
      <c r="B37" s="60">
        <f>154/1.56</f>
        <v>98.717948717948715</v>
      </c>
      <c r="C37" s="60">
        <v>2</v>
      </c>
      <c r="D37" s="60">
        <f>50/1.56</f>
        <v>32.051282051282051</v>
      </c>
      <c r="E37" s="51">
        <v>0.1</v>
      </c>
      <c r="F37" s="51">
        <v>0.2</v>
      </c>
      <c r="G37" s="51">
        <v>0.4</v>
      </c>
      <c r="H37" s="51">
        <v>0.3</v>
      </c>
      <c r="I37" s="53">
        <f t="shared" ref="I37:I55" si="1">IF(A37&lt;&gt;0,(B37-(B36-D36))/(A37-A36),"")</f>
        <v>10.384615384615383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25</v>
      </c>
      <c r="B38" s="60">
        <f>183/1.56</f>
        <v>117.30769230769231</v>
      </c>
      <c r="C38" s="60">
        <v>3</v>
      </c>
      <c r="D38" s="60">
        <f>52/1.56</f>
        <v>33.333333333333336</v>
      </c>
      <c r="E38" s="51">
        <v>0.1</v>
      </c>
      <c r="F38" s="51">
        <v>0.3</v>
      </c>
      <c r="G38" s="51">
        <v>0.3</v>
      </c>
      <c r="H38" s="51">
        <v>0.3</v>
      </c>
      <c r="I38" s="53">
        <f t="shared" si="1"/>
        <v>10.12820512820513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30</v>
      </c>
      <c r="B39" s="60">
        <f>205/1.56</f>
        <v>131.41025641025641</v>
      </c>
      <c r="C39" s="60">
        <v>4</v>
      </c>
      <c r="D39" s="60">
        <f>51/1.56</f>
        <v>32.692307692307693</v>
      </c>
      <c r="E39" s="51">
        <v>0.2</v>
      </c>
      <c r="F39" s="51">
        <v>0.4</v>
      </c>
      <c r="G39" s="51">
        <v>0.2</v>
      </c>
      <c r="H39" s="51"/>
      <c r="I39" s="49">
        <f t="shared" si="1"/>
        <v>9.4871794871794854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35</v>
      </c>
      <c r="B40" s="60">
        <f>222/1.56</f>
        <v>142.30769230769229</v>
      </c>
      <c r="C40" s="60">
        <v>5</v>
      </c>
      <c r="D40" s="60">
        <f>49/1.56</f>
        <v>31.410256410256409</v>
      </c>
      <c r="E40" s="51"/>
      <c r="F40" s="51"/>
      <c r="G40" s="51"/>
      <c r="H40" s="51"/>
      <c r="I40" s="49">
        <f t="shared" si="1"/>
        <v>8.7179487179487154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>
        <v>40</v>
      </c>
      <c r="B41" s="60">
        <f>235/1.56</f>
        <v>150.64102564102564</v>
      </c>
      <c r="C41" s="60">
        <v>6</v>
      </c>
      <c r="D41" s="60">
        <f>45/1.56</f>
        <v>28.846153846153847</v>
      </c>
      <c r="E41" s="51"/>
      <c r="F41" s="51"/>
      <c r="G41" s="51"/>
      <c r="H41" s="51"/>
      <c r="I41" s="53">
        <f t="shared" si="1"/>
        <v>7.9487179487179507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>
        <v>45</v>
      </c>
      <c r="B42" s="60">
        <f>245/1.56</f>
        <v>157.05128205128204</v>
      </c>
      <c r="C42" s="60">
        <v>7</v>
      </c>
      <c r="D42" s="60">
        <f>41/1.56</f>
        <v>26.282051282051281</v>
      </c>
      <c r="E42" s="51"/>
      <c r="F42" s="51"/>
      <c r="G42" s="51"/>
      <c r="H42" s="51"/>
      <c r="I42" s="53">
        <f t="shared" si="1"/>
        <v>7.0512820512820493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>
        <v>50</v>
      </c>
      <c r="B43" s="60">
        <f>252/1.56</f>
        <v>161.53846153846152</v>
      </c>
      <c r="C43" s="60">
        <v>8</v>
      </c>
      <c r="D43" s="60">
        <f>37/1.56</f>
        <v>23.717948717948715</v>
      </c>
      <c r="E43" s="51"/>
      <c r="F43" s="51"/>
      <c r="G43" s="51"/>
      <c r="H43" s="51"/>
      <c r="I43" s="49">
        <f t="shared" si="1"/>
        <v>6.1538461538461489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>
        <v>55</v>
      </c>
      <c r="B44" s="60">
        <f>258/1.56</f>
        <v>165.38461538461539</v>
      </c>
      <c r="C44" s="60">
        <v>9</v>
      </c>
      <c r="D44" s="60">
        <f>258/1.56</f>
        <v>165.38461538461539</v>
      </c>
      <c r="E44" s="51"/>
      <c r="F44" s="51"/>
      <c r="G44" s="51"/>
      <c r="H44" s="51"/>
      <c r="I44" s="49">
        <f t="shared" si="1"/>
        <v>5.5128205128205137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Pin laricio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22</v>
      </c>
      <c r="B62" s="60">
        <v>123</v>
      </c>
      <c r="C62" s="60">
        <v>1</v>
      </c>
      <c r="D62" s="60">
        <v>16</v>
      </c>
      <c r="E62" s="51">
        <v>0.2</v>
      </c>
      <c r="F62" s="51">
        <v>0.2</v>
      </c>
      <c r="G62" s="51">
        <v>0.6</v>
      </c>
      <c r="H62" s="51"/>
      <c r="I62" s="53">
        <f>IFERROR(B62/A62,"")</f>
        <v>5.5909090909090908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25</v>
      </c>
      <c r="B63" s="60">
        <v>144</v>
      </c>
      <c r="C63" s="60">
        <v>2</v>
      </c>
      <c r="D63" s="60">
        <v>17</v>
      </c>
      <c r="E63" s="51">
        <v>0.3</v>
      </c>
      <c r="F63" s="51">
        <v>0.4</v>
      </c>
      <c r="G63" s="51">
        <v>0.3</v>
      </c>
      <c r="H63" s="51"/>
      <c r="I63" s="49">
        <f>IF(A63&lt;&gt;0,(B63-(B62-D62))/(A63-A62),"")</f>
        <v>12.333333333333334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30</v>
      </c>
      <c r="B64" s="60">
        <v>194</v>
      </c>
      <c r="C64" s="60">
        <v>3</v>
      </c>
      <c r="D64" s="60">
        <v>34</v>
      </c>
      <c r="E64" s="51">
        <v>0.4</v>
      </c>
      <c r="F64" s="51">
        <v>0.3</v>
      </c>
      <c r="G64" s="51">
        <v>0.3</v>
      </c>
      <c r="H64" s="51"/>
      <c r="I64" s="49">
        <f>IF(A64&lt;&gt;0,(B64-(B63-D63))/(A64-A63),"")</f>
        <v>13.4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35</v>
      </c>
      <c r="B65" s="60">
        <v>233</v>
      </c>
      <c r="C65" s="60">
        <v>4</v>
      </c>
      <c r="D65" s="60">
        <v>41</v>
      </c>
      <c r="E65" s="51"/>
      <c r="F65" s="51"/>
      <c r="G65" s="51"/>
      <c r="H65" s="51"/>
      <c r="I65" s="49">
        <f>IF(A65&lt;&gt;0,(B65-(B64-D64))/(A65-A64),"")</f>
        <v>14.6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40</v>
      </c>
      <c r="B66" s="60">
        <v>264</v>
      </c>
      <c r="C66" s="60">
        <v>5</v>
      </c>
      <c r="D66" s="60">
        <v>41</v>
      </c>
      <c r="E66" s="51"/>
      <c r="F66" s="51"/>
      <c r="G66" s="51"/>
      <c r="H66" s="51"/>
      <c r="I66" s="49">
        <f t="shared" ref="I66:I81" si="2">IF(A66&lt;&gt;0,(B66-(B65-D65))/(A66-A65),"")</f>
        <v>14.4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45</v>
      </c>
      <c r="B67" s="60">
        <v>318</v>
      </c>
      <c r="C67" s="60">
        <v>6</v>
      </c>
      <c r="D67" s="60">
        <v>53</v>
      </c>
      <c r="E67" s="51"/>
      <c r="F67" s="51"/>
      <c r="G67" s="51"/>
      <c r="H67" s="51"/>
      <c r="I67" s="49">
        <f t="shared" si="2"/>
        <v>19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50</v>
      </c>
      <c r="B68" s="60">
        <v>352</v>
      </c>
      <c r="C68" s="60">
        <v>7</v>
      </c>
      <c r="D68" s="60">
        <v>53</v>
      </c>
      <c r="E68" s="51"/>
      <c r="F68" s="51"/>
      <c r="G68" s="51"/>
      <c r="H68" s="51"/>
      <c r="I68" s="49">
        <f t="shared" si="2"/>
        <v>17.399999999999999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58</v>
      </c>
      <c r="B69" s="50">
        <v>440</v>
      </c>
      <c r="C69" s="50">
        <v>8</v>
      </c>
      <c r="D69" s="50">
        <v>78</v>
      </c>
      <c r="E69" s="51"/>
      <c r="F69" s="51"/>
      <c r="G69" s="51"/>
      <c r="H69" s="51"/>
      <c r="I69" s="49">
        <f t="shared" si="2"/>
        <v>17.625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>
        <v>66</v>
      </c>
      <c r="B70" s="50">
        <v>495</v>
      </c>
      <c r="C70" s="50">
        <v>9</v>
      </c>
      <c r="D70" s="50">
        <v>65</v>
      </c>
      <c r="E70" s="51"/>
      <c r="F70" s="51"/>
      <c r="G70" s="51"/>
      <c r="H70" s="51"/>
      <c r="I70" s="49">
        <f t="shared" si="2"/>
        <v>16.625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>
        <v>74</v>
      </c>
      <c r="B71" s="50">
        <v>533</v>
      </c>
      <c r="C71" s="50">
        <v>10</v>
      </c>
      <c r="D71" s="50">
        <v>37</v>
      </c>
      <c r="E71" s="51"/>
      <c r="F71" s="51"/>
      <c r="G71" s="51"/>
      <c r="H71" s="51"/>
      <c r="I71" s="49">
        <f t="shared" si="2"/>
        <v>12.875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>
        <v>82</v>
      </c>
      <c r="B72" s="50">
        <v>567</v>
      </c>
      <c r="C72" s="50">
        <v>11</v>
      </c>
      <c r="D72" s="50">
        <v>567</v>
      </c>
      <c r="E72" s="51"/>
      <c r="F72" s="51"/>
      <c r="G72" s="51"/>
      <c r="H72" s="51"/>
      <c r="I72" s="49">
        <f t="shared" si="2"/>
        <v>8.875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Cormier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>
        <v>20</v>
      </c>
      <c r="B88" s="60">
        <v>73</v>
      </c>
      <c r="C88" s="60">
        <v>1</v>
      </c>
      <c r="D88" s="60">
        <v>6</v>
      </c>
      <c r="E88" s="51">
        <v>0.2</v>
      </c>
      <c r="F88" s="51">
        <v>0.2</v>
      </c>
      <c r="G88" s="51">
        <v>0.6</v>
      </c>
      <c r="H88" s="87"/>
      <c r="I88" s="53">
        <f>IFERROR(B88/A88,"")</f>
        <v>3.65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>
        <v>25</v>
      </c>
      <c r="B89" s="60">
        <v>103</v>
      </c>
      <c r="C89" s="60">
        <v>2</v>
      </c>
      <c r="D89" s="60">
        <v>28</v>
      </c>
      <c r="E89" s="51">
        <v>0.3</v>
      </c>
      <c r="F89" s="51">
        <v>0.4</v>
      </c>
      <c r="G89" s="51">
        <v>0.3</v>
      </c>
      <c r="H89" s="87"/>
      <c r="I89" s="53">
        <f t="shared" ref="I89:I107" si="3">IF(A89&lt;&gt;0,(B89-(B88-D88))/(A89-A88),"")</f>
        <v>7.2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>
        <v>30</v>
      </c>
      <c r="B90" s="60">
        <v>121</v>
      </c>
      <c r="C90" s="60">
        <v>3</v>
      </c>
      <c r="D90" s="60">
        <v>28</v>
      </c>
      <c r="E90" s="87">
        <v>0.3</v>
      </c>
      <c r="F90" s="87">
        <v>0.4</v>
      </c>
      <c r="G90" s="87">
        <v>0.3</v>
      </c>
      <c r="H90" s="87"/>
      <c r="I90" s="53">
        <f t="shared" si="3"/>
        <v>9.1999999999999993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>
        <v>35</v>
      </c>
      <c r="B91" s="60">
        <v>147</v>
      </c>
      <c r="C91" s="60">
        <v>4</v>
      </c>
      <c r="D91" s="60">
        <v>28</v>
      </c>
      <c r="E91" s="87"/>
      <c r="F91" s="87"/>
      <c r="G91" s="87"/>
      <c r="H91" s="87"/>
      <c r="I91" s="53">
        <f t="shared" si="3"/>
        <v>10.8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>
        <v>40</v>
      </c>
      <c r="B92" s="60">
        <v>175</v>
      </c>
      <c r="C92" s="60">
        <v>5</v>
      </c>
      <c r="D92" s="60">
        <v>28</v>
      </c>
      <c r="E92" s="87"/>
      <c r="F92" s="87"/>
      <c r="G92" s="87"/>
      <c r="H92" s="87"/>
      <c r="I92" s="53">
        <f t="shared" si="3"/>
        <v>11.2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>
        <v>45</v>
      </c>
      <c r="B93" s="60">
        <v>204</v>
      </c>
      <c r="C93" s="60">
        <v>6</v>
      </c>
      <c r="D93" s="60">
        <v>28</v>
      </c>
      <c r="E93" s="87"/>
      <c r="F93" s="87"/>
      <c r="G93" s="87"/>
      <c r="H93" s="87"/>
      <c r="I93" s="53">
        <f t="shared" si="3"/>
        <v>11.4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>
        <v>50</v>
      </c>
      <c r="B94" s="60">
        <v>231</v>
      </c>
      <c r="C94" s="60">
        <v>7</v>
      </c>
      <c r="D94" s="60">
        <v>28</v>
      </c>
      <c r="E94" s="87"/>
      <c r="F94" s="87"/>
      <c r="G94" s="87"/>
      <c r="H94" s="87"/>
      <c r="I94" s="53">
        <f t="shared" si="3"/>
        <v>11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>
        <v>55</v>
      </c>
      <c r="B95" s="60">
        <v>254</v>
      </c>
      <c r="C95" s="60">
        <v>8</v>
      </c>
      <c r="D95" s="60">
        <v>28</v>
      </c>
      <c r="E95" s="87"/>
      <c r="F95" s="87"/>
      <c r="G95" s="87"/>
      <c r="H95" s="87"/>
      <c r="I95" s="53">
        <f t="shared" si="3"/>
        <v>10.199999999999999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>
        <v>60</v>
      </c>
      <c r="B96" s="60">
        <v>273</v>
      </c>
      <c r="C96" s="60">
        <v>9</v>
      </c>
      <c r="D96" s="60">
        <v>28</v>
      </c>
      <c r="E96" s="87"/>
      <c r="F96" s="87"/>
      <c r="G96" s="87"/>
      <c r="H96" s="87"/>
      <c r="I96" s="53">
        <f t="shared" si="3"/>
        <v>9.4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>
        <v>65</v>
      </c>
      <c r="B97" s="60">
        <v>289</v>
      </c>
      <c r="C97" s="60">
        <v>10</v>
      </c>
      <c r="D97" s="60">
        <v>28</v>
      </c>
      <c r="E97" s="87"/>
      <c r="F97" s="87"/>
      <c r="G97" s="87"/>
      <c r="H97" s="87"/>
      <c r="I97" s="53">
        <f t="shared" si="3"/>
        <v>8.8000000000000007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>
        <v>70</v>
      </c>
      <c r="B98" s="60">
        <v>302</v>
      </c>
      <c r="C98" s="60">
        <v>11</v>
      </c>
      <c r="D98" s="60">
        <v>28</v>
      </c>
      <c r="E98" s="87"/>
      <c r="F98" s="87"/>
      <c r="G98" s="87"/>
      <c r="H98" s="87"/>
      <c r="I98" s="53">
        <f t="shared" si="3"/>
        <v>8.1999999999999993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>
        <v>75</v>
      </c>
      <c r="B99" s="60">
        <v>312</v>
      </c>
      <c r="C99" s="60">
        <v>12</v>
      </c>
      <c r="D99" s="60">
        <v>28</v>
      </c>
      <c r="E99" s="87"/>
      <c r="F99" s="87"/>
      <c r="G99" s="87"/>
      <c r="H99" s="87"/>
      <c r="I99" s="53">
        <f t="shared" si="3"/>
        <v>7.6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>
        <v>80</v>
      </c>
      <c r="B100" s="60">
        <v>320</v>
      </c>
      <c r="C100" s="60">
        <v>13</v>
      </c>
      <c r="D100" s="60">
        <v>28</v>
      </c>
      <c r="E100" s="65"/>
      <c r="F100" s="65"/>
      <c r="G100" s="65"/>
      <c r="H100" s="65"/>
      <c r="I100" s="53">
        <f t="shared" si="3"/>
        <v>7.2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>
        <v>85</v>
      </c>
      <c r="B101" s="60">
        <v>326</v>
      </c>
      <c r="C101" s="60">
        <v>14</v>
      </c>
      <c r="D101" s="60">
        <v>28</v>
      </c>
      <c r="E101" s="65"/>
      <c r="F101" s="65"/>
      <c r="G101" s="65"/>
      <c r="H101" s="65"/>
      <c r="I101" s="53">
        <f t="shared" si="3"/>
        <v>6.8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>
        <v>90</v>
      </c>
      <c r="B102" s="50">
        <v>330</v>
      </c>
      <c r="C102" s="60">
        <v>15</v>
      </c>
      <c r="D102" s="50">
        <v>28</v>
      </c>
      <c r="E102" s="54"/>
      <c r="F102" s="54"/>
      <c r="G102" s="54"/>
      <c r="H102" s="54"/>
      <c r="I102" s="53">
        <f t="shared" si="3"/>
        <v>6.4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>
        <v>95</v>
      </c>
      <c r="B103" s="50">
        <v>333</v>
      </c>
      <c r="C103" s="60">
        <v>16</v>
      </c>
      <c r="D103" s="50">
        <v>28</v>
      </c>
      <c r="E103" s="54"/>
      <c r="F103" s="54"/>
      <c r="G103" s="54"/>
      <c r="H103" s="54"/>
      <c r="I103" s="53">
        <f t="shared" si="3"/>
        <v>6.2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>
        <v>100</v>
      </c>
      <c r="B104" s="50">
        <v>333</v>
      </c>
      <c r="C104" s="60">
        <v>17</v>
      </c>
      <c r="D104" s="50">
        <v>333</v>
      </c>
      <c r="E104" s="54"/>
      <c r="F104" s="54"/>
      <c r="G104" s="54"/>
      <c r="H104" s="54"/>
      <c r="I104" s="53">
        <f t="shared" si="3"/>
        <v>5.6</v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Tilleul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>
        <v>25</v>
      </c>
      <c r="B114" s="60">
        <v>70</v>
      </c>
      <c r="C114" s="50">
        <v>1</v>
      </c>
      <c r="D114" s="60">
        <v>8</v>
      </c>
      <c r="E114" s="51">
        <v>0.2</v>
      </c>
      <c r="F114" s="51">
        <v>0.2</v>
      </c>
      <c r="G114" s="51">
        <v>0.6</v>
      </c>
      <c r="H114" s="51"/>
      <c r="I114" s="53">
        <f>IFERROR(B114/A114,"")</f>
        <v>2.8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>
        <v>30</v>
      </c>
      <c r="B115" s="60">
        <v>97</v>
      </c>
      <c r="C115" s="50">
        <v>2</v>
      </c>
      <c r="D115" s="60">
        <v>21</v>
      </c>
      <c r="E115" s="51">
        <v>0.3</v>
      </c>
      <c r="F115" s="51">
        <v>0.4</v>
      </c>
      <c r="G115" s="51">
        <v>0.3</v>
      </c>
      <c r="H115" s="51"/>
      <c r="I115" s="53">
        <f t="shared" ref="I115:I133" si="4">IF(A115&lt;&gt;0,(B115-(B114-D114))/(A115-A114),"")</f>
        <v>7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>
        <v>35</v>
      </c>
      <c r="B116" s="60">
        <v>116</v>
      </c>
      <c r="C116" s="50">
        <v>3</v>
      </c>
      <c r="D116" s="60">
        <v>21</v>
      </c>
      <c r="E116" s="51"/>
      <c r="F116" s="51"/>
      <c r="G116" s="51"/>
      <c r="H116" s="51"/>
      <c r="I116" s="53">
        <f t="shared" si="4"/>
        <v>8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>
        <v>40</v>
      </c>
      <c r="B117" s="60">
        <v>137</v>
      </c>
      <c r="C117" s="50">
        <v>4</v>
      </c>
      <c r="D117" s="60">
        <v>21</v>
      </c>
      <c r="E117" s="51"/>
      <c r="F117" s="51"/>
      <c r="G117" s="51"/>
      <c r="H117" s="51"/>
      <c r="I117" s="53">
        <f t="shared" si="4"/>
        <v>8.4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>
        <v>45</v>
      </c>
      <c r="B118" s="60">
        <v>158</v>
      </c>
      <c r="C118" s="50">
        <v>5</v>
      </c>
      <c r="D118" s="60">
        <v>21</v>
      </c>
      <c r="E118" s="51"/>
      <c r="F118" s="51"/>
      <c r="G118" s="51"/>
      <c r="H118" s="51"/>
      <c r="I118" s="53">
        <f t="shared" si="4"/>
        <v>8.4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>
        <v>50</v>
      </c>
      <c r="B119" s="60">
        <v>178</v>
      </c>
      <c r="C119" s="50">
        <v>6</v>
      </c>
      <c r="D119" s="60">
        <v>21</v>
      </c>
      <c r="E119" s="51"/>
      <c r="F119" s="51"/>
      <c r="G119" s="51"/>
      <c r="H119" s="51"/>
      <c r="I119" s="53">
        <f t="shared" si="4"/>
        <v>8.1999999999999993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>
        <v>55</v>
      </c>
      <c r="B120" s="60">
        <v>197</v>
      </c>
      <c r="C120" s="60">
        <v>7</v>
      </c>
      <c r="D120" s="60">
        <v>21</v>
      </c>
      <c r="E120" s="87"/>
      <c r="F120" s="87"/>
      <c r="G120" s="87"/>
      <c r="H120" s="87"/>
      <c r="I120" s="53">
        <f t="shared" si="4"/>
        <v>8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>
        <v>60</v>
      </c>
      <c r="B121" s="60">
        <v>214</v>
      </c>
      <c r="C121" s="60">
        <v>8</v>
      </c>
      <c r="D121" s="60">
        <v>21</v>
      </c>
      <c r="E121" s="87"/>
      <c r="F121" s="87"/>
      <c r="G121" s="87"/>
      <c r="H121" s="87"/>
      <c r="I121" s="53">
        <f t="shared" si="4"/>
        <v>7.6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>
        <v>65</v>
      </c>
      <c r="B122" s="60">
        <v>229</v>
      </c>
      <c r="C122" s="60">
        <v>9</v>
      </c>
      <c r="D122" s="60">
        <v>21</v>
      </c>
      <c r="E122" s="87"/>
      <c r="F122" s="87"/>
      <c r="G122" s="87"/>
      <c r="H122" s="87"/>
      <c r="I122" s="53">
        <f t="shared" si="4"/>
        <v>7.2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>
        <v>70</v>
      </c>
      <c r="B123" s="60">
        <v>242</v>
      </c>
      <c r="C123" s="60">
        <v>10</v>
      </c>
      <c r="D123" s="60">
        <v>21</v>
      </c>
      <c r="E123" s="87"/>
      <c r="F123" s="87"/>
      <c r="G123" s="87"/>
      <c r="H123" s="87"/>
      <c r="I123" s="53">
        <f t="shared" si="4"/>
        <v>6.8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>
        <v>75</v>
      </c>
      <c r="B124" s="60">
        <v>252</v>
      </c>
      <c r="C124" s="60">
        <v>11</v>
      </c>
      <c r="D124" s="60">
        <v>21</v>
      </c>
      <c r="E124" s="87"/>
      <c r="F124" s="87"/>
      <c r="G124" s="87"/>
      <c r="H124" s="87"/>
      <c r="I124" s="53">
        <f t="shared" si="4"/>
        <v>6.2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>
        <v>80</v>
      </c>
      <c r="B125" s="60">
        <v>261</v>
      </c>
      <c r="C125" s="60">
        <v>12</v>
      </c>
      <c r="D125" s="60">
        <v>21</v>
      </c>
      <c r="E125" s="87"/>
      <c r="F125" s="87"/>
      <c r="G125" s="87"/>
      <c r="H125" s="87"/>
      <c r="I125" s="53">
        <f t="shared" si="4"/>
        <v>6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>
        <v>85</v>
      </c>
      <c r="B126" s="60">
        <v>269</v>
      </c>
      <c r="C126" s="60">
        <v>13</v>
      </c>
      <c r="D126" s="60">
        <v>21</v>
      </c>
      <c r="E126" s="65"/>
      <c r="F126" s="65"/>
      <c r="G126" s="65"/>
      <c r="H126" s="65"/>
      <c r="I126" s="53">
        <f t="shared" si="4"/>
        <v>5.8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>
        <v>90</v>
      </c>
      <c r="B127" s="60">
        <v>275</v>
      </c>
      <c r="C127" s="60">
        <v>14</v>
      </c>
      <c r="D127" s="60">
        <v>21</v>
      </c>
      <c r="E127" s="65"/>
      <c r="F127" s="65"/>
      <c r="G127" s="65"/>
      <c r="H127" s="65"/>
      <c r="I127" s="53">
        <f t="shared" si="4"/>
        <v>5.4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>
        <v>95</v>
      </c>
      <c r="B128" s="50">
        <v>279</v>
      </c>
      <c r="C128" s="50">
        <v>15</v>
      </c>
      <c r="D128" s="50">
        <v>21</v>
      </c>
      <c r="E128" s="54"/>
      <c r="F128" s="54"/>
      <c r="G128" s="54"/>
      <c r="H128" s="54"/>
      <c r="I128" s="53">
        <f t="shared" si="4"/>
        <v>5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>
        <v>100</v>
      </c>
      <c r="B129" s="50">
        <v>282</v>
      </c>
      <c r="C129" s="50">
        <v>16</v>
      </c>
      <c r="D129" s="50">
        <v>282</v>
      </c>
      <c r="E129" s="54"/>
      <c r="F129" s="54"/>
      <c r="G129" s="54"/>
      <c r="H129" s="54"/>
      <c r="I129" s="53">
        <f t="shared" si="4"/>
        <v>4.8</v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E13" sqref="E13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1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Chêne chevelu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Pin laricio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Cormier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Tilleul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241.84492910369795</v>
      </c>
      <c r="T3" s="59">
        <f>IF('Données projet'!E9&gt;30,$R$33-$H$33,LOOKUP('Données projet'!$E$9,$A$3:$A$203,R3:R203)-LOOKUP('Données projet'!$E$9,$A$3:$A$203,$H$3:$H$203))</f>
        <v>338.04336767245667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370.12772664814923</v>
      </c>
      <c r="AO3" s="59">
        <f>IF('Données projet'!E10&gt;30,$AM$33-$H$33,LOOKUP('Données projet'!$E$10,$A$3:$A$203,AM3:AM203)-LOOKUP('Données projet'!$E$10,$A$3:$A$203,$H$3:$H$203))</f>
        <v>292.26503163353146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475.01366239340246</v>
      </c>
      <c r="BJ3" s="59">
        <f>IF('Données projet'!E11&gt;30,$BH$33-$H$33,LOOKUP('Données projet'!$E$11,$A$3:$A$203,BH3:BH203)-LOOKUP('Données projet'!$E$11,$A$3:$A$203,$H$3:$H$203))</f>
        <v>322.81767004794284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256.66666666666669</v>
      </c>
      <c r="CD3" s="59">
        <f ca="1">AVERAGE(OFFSET($CC$3,0,0,'Données projet'!$E$12+1,1))-AVERAGE(OFFSET($H$3,0,0,'Données projet'!$E$12+1,1))</f>
        <v>254.8851926268614</v>
      </c>
      <c r="CE3" s="59">
        <f>IF('Données projet'!E12&gt;30,$CC$33-$H$33,LOOKUP('Données projet'!$E$12,$A$3:$A$203,CC3:CC203)-LOOKUP('Données projet'!$E$12,$A$3:$A$203,$H$3:$H$203))</f>
        <v>182.11500693273973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4.5726495726495724</v>
      </c>
      <c r="N4" s="13">
        <f>IF('Données projet'!$A$36&gt;35,N3+M4-V3,IF(A4&lt;'Données projet'!$A$36,$K$205^A4,IF(A4='Données projet'!$A$36,'Données projet'!$B$36,N3+M4-V3)))</f>
        <v>1.325614599907154</v>
      </c>
      <c r="O4" s="13">
        <f>N4*VLOOKUP('Données projet'!$B$9,Paramètres!$A$1:$I$89,3,0)*VLOOKUP('Données projet'!$B$9,Paramètres!$A$1:$I$89,5,0)</f>
        <v>1.3855323798229575</v>
      </c>
      <c r="P4" s="13">
        <f>EXP(-1.0587+0.8836*LN(O4)+0.284)</f>
        <v>0.61473021938750949</v>
      </c>
      <c r="Q4" s="20">
        <f t="shared" ref="Q4:Q34" si="2">(O4+P4)*0.475*44/12</f>
        <v>3.483790693624897</v>
      </c>
      <c r="R4" s="59">
        <f t="shared" si="0"/>
        <v>261.37267958251374</v>
      </c>
      <c r="S4" s="59">
        <f ca="1">AVERAGE(OFFSET($R$3,0,0,'Données projet'!$E$9+1,1))-AVERAGE(OFFSET($H$3,0,0,'Données projet'!$E$9+1,1))</f>
        <v>241.84492910369795</v>
      </c>
      <c r="T4" s="59">
        <f>$T$3</f>
        <v>338.04336767245667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5.5909090909090908</v>
      </c>
      <c r="AI4" s="13">
        <f>IF('Données projet'!$A$62&gt;35,AI3+AH4-AQ3,IF(A4&lt;'Données projet'!$A$62,$AF$205^A4,IF(A4='Données projet'!$A$62,'Données projet'!$B$62,AI3+AH4-AQ3)))</f>
        <v>1.244502252163008</v>
      </c>
      <c r="AJ4" s="13">
        <f>AI4*VLOOKUP('Données projet'!$B$10,Paramètres!$A$1:$I$89,3,0)*VLOOKUP('Données projet'!$B$10,Paramètres!$A$1:$I$89,5,0)</f>
        <v>0.74421234679347892</v>
      </c>
      <c r="AK4" s="13">
        <f>EXP(-1.0587+0.8836*LN(AJ4)+0.284)</f>
        <v>0.3549632728022305</v>
      </c>
      <c r="AL4" s="20">
        <f t="shared" ref="AL4:AL67" si="4">(AJ4+AK4)*0.475*44/12</f>
        <v>1.9143975374625271</v>
      </c>
      <c r="AM4" s="59">
        <f t="shared" ref="AM4:AM67" si="5">AL4+(AD4+AE4)*44/12</f>
        <v>259.80328642635141</v>
      </c>
      <c r="AN4" s="59">
        <f ca="1">AVERAGE(OFFSET($AM$3,0,0,'Données projet'!$E$10+1,1))-AVERAGE(OFFSET($H$3,0,0,'Données projet'!$E$10+1,1))</f>
        <v>370.12772664814923</v>
      </c>
      <c r="AO4" s="59">
        <f>$AO$3</f>
        <v>292.26503163353146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3.65</v>
      </c>
      <c r="BD4" s="12">
        <f>IF('Données projet'!$A$88&gt;35,BD3+BC4-BL3,IF(A4&lt;'Données projet'!$A$88,$BA$205^A4,IF(A4='Données projet'!$A$88,'Données projet'!$B$88,BD3+BC4-BL3)))</f>
        <v>1.2392705892426346</v>
      </c>
      <c r="BE4" s="13">
        <f>BD4*VLOOKUP('Données projet'!$B$11,Paramètres!$A$1:$I$89,3,0)*VLOOKUP('Données projet'!$B$11,Paramètres!$A$1:$I$89,5,0)</f>
        <v>1.3339508622607719</v>
      </c>
      <c r="BF4" s="13">
        <f>EXP(-1.0587+0.8836*LN(BE4)+0.284)</f>
        <v>0.59446408362489378</v>
      </c>
      <c r="BG4" s="20">
        <f t="shared" ref="BG4:BG67" si="7">(BE4+BF4)*0.475*44/12</f>
        <v>3.3586560307508679</v>
      </c>
      <c r="BH4" s="59">
        <f t="shared" ref="BH4:BH67" si="8">BG4+(AY4+AZ4)*44/12</f>
        <v>261.24754491963972</v>
      </c>
      <c r="BI4" s="59">
        <f ca="1">AVERAGE(OFFSET($BH$3,0,0,'Données projet'!$E$11+1,1))-AVERAGE(OFFSET($H$3,0,0,'Données projet'!$E$11+1,1))</f>
        <v>475.01366239340246</v>
      </c>
      <c r="BJ4" s="59">
        <f>$BJ$3</f>
        <v>322.81767004794284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2.8</v>
      </c>
      <c r="BY4" s="12">
        <f>IF('Données projet'!$A$114&gt;35,BY3+BX4-CG3,IF(A4&lt;'Données projet'!$A$114,$BV$205^A4,IF(A4='Données projet'!$A$114,'Données projet'!$B$114,BY3+BX4-CG3)))</f>
        <v>1.1852335095914694</v>
      </c>
      <c r="BZ4" s="13">
        <f>BY4*VLOOKUP('Données projet'!$B$12,Paramètres!$A$1:$I$89,3,0)*VLOOKUP('Données projet'!$B$12,Paramètres!$A$1:$I$89,5,0)</f>
        <v>0.79505463823395783</v>
      </c>
      <c r="CA4" s="13">
        <f>EXP(-1.0587+0.8836*LN(BZ4)+0.284)</f>
        <v>0.37630746389876557</v>
      </c>
      <c r="CB4" s="20">
        <f t="shared" ref="CB4:CB67" si="10">(BZ4+CA4)*0.475*44/12</f>
        <v>2.0401223278811598</v>
      </c>
      <c r="CC4" s="59">
        <f t="shared" ref="CC4:CC67" si="11">CB4+(BT4+BU4)*44/12</f>
        <v>259.92901121676999</v>
      </c>
      <c r="CD4" s="59">
        <f ca="1">AVERAGE(OFFSET($CC$3,0,0,'Données projet'!$E$12+1,1))-AVERAGE(OFFSET($H$3,0,0,'Données projet'!$E$12+1,1))</f>
        <v>254.8851926268614</v>
      </c>
      <c r="CE4" s="59">
        <f>$CE$3</f>
        <v>182.11500693273973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4.5726495726495724</v>
      </c>
      <c r="N5" s="13">
        <f>IF('Données projet'!$A$36&gt;35,N4+M5-V4,IF(A5&lt;'Données projet'!$A$36,$K$205^A5,IF(A5='Données projet'!$A$36,'Données projet'!$B$36,N4+M5-V4)))</f>
        <v>1.7572540674870041</v>
      </c>
      <c r="O5" s="13">
        <f>N5*VLOOKUP('Données projet'!$B$9,Paramètres!$A$1:$I$89,3,0)*VLOOKUP('Données projet'!$B$9,Paramètres!$A$1:$I$89,5,0)</f>
        <v>1.8366819513374171</v>
      </c>
      <c r="P5" s="13">
        <f t="shared" ref="P5:P68" si="33">EXP(-1.0587+0.8836*LN(O5)+0.284)</f>
        <v>0.78859218781632179</v>
      </c>
      <c r="Q5" s="20">
        <f t="shared" si="2"/>
        <v>4.5723524590260949</v>
      </c>
      <c r="R5" s="59">
        <f t="shared" si="0"/>
        <v>263.68346357013723</v>
      </c>
      <c r="S5" s="59">
        <f ca="1">AVERAGE(OFFSET($R$3,0,0,'Données projet'!$E$9+1,1))-AVERAGE(OFFSET($H$3,0,0,'Données projet'!$E$9+1,1))</f>
        <v>241.84492910369795</v>
      </c>
      <c r="T5" s="59">
        <f t="shared" ref="T5:T68" si="34">$T$3</f>
        <v>338.04336767245667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5.5909090909090908</v>
      </c>
      <c r="AI5" s="13">
        <f>IF('Données projet'!$A$62&gt;35,AI4+AH5-AQ4,IF(A5&lt;'Données projet'!$A$62,$AF$205^A5,IF(A5='Données projet'!$A$62,'Données projet'!$B$62,AI4+AH5-AQ4)))</f>
        <v>1.5487858556387992</v>
      </c>
      <c r="AJ5" s="13">
        <f>AI5*VLOOKUP('Données projet'!$B$10,Paramètres!$A$1:$I$89,3,0)*VLOOKUP('Données projet'!$B$10,Paramètres!$A$1:$I$89,5,0)</f>
        <v>0.92617394167200195</v>
      </c>
      <c r="AK5" s="13">
        <f t="shared" ref="AK5:AK68" si="35">EXP(-1.0587+0.8836*LN(AJ5)+0.284)</f>
        <v>0.43064718121421069</v>
      </c>
      <c r="AL5" s="20">
        <f t="shared" si="4"/>
        <v>2.3631301223601535</v>
      </c>
      <c r="AM5" s="59">
        <f t="shared" si="5"/>
        <v>261.47424123347128</v>
      </c>
      <c r="AN5" s="59">
        <f ca="1">AVERAGE(OFFSET($AM$3,0,0,'Données projet'!$E$10+1,1))-AVERAGE(OFFSET($H$3,0,0,'Données projet'!$E$10+1,1))</f>
        <v>370.12772664814923</v>
      </c>
      <c r="AO5" s="59">
        <f t="shared" ref="AO5:AO68" si="36">$AO$3</f>
        <v>292.26503163353146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3.65</v>
      </c>
      <c r="BD5" s="12">
        <f>IF('Données projet'!$A$88&gt;35,BD4+BC5-BL4,IF(A5&lt;'Données projet'!$A$88,$BA$205^A5,IF(A5='Données projet'!$A$88,'Données projet'!$B$88,BD4+BC5-BL4)))</f>
        <v>1.5357915933617867</v>
      </c>
      <c r="BE5" s="13">
        <f>BD5*VLOOKUP('Données projet'!$B$11,Paramètres!$A$1:$I$89,3,0)*VLOOKUP('Données projet'!$B$11,Paramètres!$A$1:$I$89,5,0)</f>
        <v>1.6531260710946272</v>
      </c>
      <c r="BF5" s="13">
        <f t="shared" ref="BF5:BF68" si="37">EXP(-1.0587+0.8836*LN(BE5)+0.284)</f>
        <v>0.7185338367382873</v>
      </c>
      <c r="BG5" s="20">
        <f t="shared" si="7"/>
        <v>4.1306410061423255</v>
      </c>
      <c r="BH5" s="59">
        <f t="shared" si="8"/>
        <v>263.24175211725344</v>
      </c>
      <c r="BI5" s="59">
        <f ca="1">AVERAGE(OFFSET($BH$3,0,0,'Données projet'!$E$11+1,1))-AVERAGE(OFFSET($H$3,0,0,'Données projet'!$E$11+1,1))</f>
        <v>475.01366239340246</v>
      </c>
      <c r="BJ5" s="59">
        <f t="shared" ref="BJ5:BJ68" si="38">$BJ$3</f>
        <v>322.81767004794284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2.8</v>
      </c>
      <c r="BY5" s="12">
        <f>IF('Données projet'!$A$114&gt;35,BY4+BX5-CG4,IF(A5&lt;'Données projet'!$A$114,$BV$205^A5,IF(A5='Données projet'!$A$114,'Données projet'!$B$114,BY4+BX5-CG4)))</f>
        <v>1.4047784722585119</v>
      </c>
      <c r="BZ5" s="13">
        <f>BY5*VLOOKUP('Données projet'!$B$12,Paramètres!$A$1:$I$89,3,0)*VLOOKUP('Données projet'!$B$12,Paramètres!$A$1:$I$89,5,0)</f>
        <v>0.94232539919100988</v>
      </c>
      <c r="CA5" s="13">
        <f t="shared" ref="CA5:CA68" si="39">EXP(-1.0587+0.8836*LN(BZ5)+0.284)</f>
        <v>0.43727633824430112</v>
      </c>
      <c r="CB5" s="20">
        <f t="shared" si="10"/>
        <v>2.4028063593665001</v>
      </c>
      <c r="CC5" s="59">
        <f t="shared" si="11"/>
        <v>261.51391747047762</v>
      </c>
      <c r="CD5" s="59">
        <f ca="1">AVERAGE(OFFSET($CC$3,0,0,'Données projet'!$E$12+1,1))-AVERAGE(OFFSET($H$3,0,0,'Données projet'!$E$12+1,1))</f>
        <v>254.8851926268614</v>
      </c>
      <c r="CE5" s="59">
        <f t="shared" ref="CE5:CE68" si="40">$CE$3</f>
        <v>182.11500693273973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4.5726495726495724</v>
      </c>
      <c r="N6" s="13">
        <f>IF('Données projet'!$A$36&gt;35,N5+M6-V5,IF(A6&lt;'Données projet'!$A$36,$K$205^A6,IF(A6='Données projet'!$A$36,'Données projet'!$B$36,N5+M6-V5)))</f>
        <v>2.3294416476070041</v>
      </c>
      <c r="O6" s="13">
        <f>N6*VLOOKUP('Données projet'!$B$9,Paramètres!$A$1:$I$89,3,0)*VLOOKUP('Données projet'!$B$9,Paramètres!$A$1:$I$89,5,0)</f>
        <v>2.4347324100788406</v>
      </c>
      <c r="P6" s="13">
        <f t="shared" si="33"/>
        <v>1.0116269203497832</v>
      </c>
      <c r="Q6" s="20">
        <f t="shared" si="2"/>
        <v>6.0024091671631865</v>
      </c>
      <c r="R6" s="59">
        <f t="shared" si="0"/>
        <v>266.33574250049651</v>
      </c>
      <c r="S6" s="59">
        <f ca="1">AVERAGE(OFFSET($R$3,0,0,'Données projet'!$E$9+1,1))-AVERAGE(OFFSET($H$3,0,0,'Données projet'!$E$9+1,1))</f>
        <v>241.84492910369795</v>
      </c>
      <c r="T6" s="59">
        <f t="shared" si="34"/>
        <v>338.04336767245667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5.5909090909090908</v>
      </c>
      <c r="AI6" s="13">
        <f>IF('Données projet'!$A$62&gt;35,AI5+AH6-AQ5,IF(A6&lt;'Données projet'!$A$62,$AF$205^A6,IF(A6='Données projet'!$A$62,'Données projet'!$B$62,AI5+AH6-AQ5)))</f>
        <v>1.927467485460697</v>
      </c>
      <c r="AJ6" s="13">
        <f>AI6*VLOOKUP('Données projet'!$B$10,Paramètres!$A$1:$I$89,3,0)*VLOOKUP('Données projet'!$B$10,Paramètres!$A$1:$I$89,5,0)</f>
        <v>1.152625556305497</v>
      </c>
      <c r="AK6" s="13">
        <f t="shared" si="35"/>
        <v>0.52246812247269758</v>
      </c>
      <c r="AL6" s="20">
        <f t="shared" si="4"/>
        <v>2.9174548238720219</v>
      </c>
      <c r="AM6" s="59">
        <f t="shared" si="5"/>
        <v>263.25078815720536</v>
      </c>
      <c r="AN6" s="59">
        <f ca="1">AVERAGE(OFFSET($AM$3,0,0,'Données projet'!$E$10+1,1))-AVERAGE(OFFSET($H$3,0,0,'Données projet'!$E$10+1,1))</f>
        <v>370.12772664814923</v>
      </c>
      <c r="AO6" s="59">
        <f t="shared" si="36"/>
        <v>292.26503163353146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3.65</v>
      </c>
      <c r="BD6" s="12">
        <f>IF('Données projet'!$A$88&gt;35,BD5+BC6-BL5,IF(A6&lt;'Données projet'!$A$88,$BA$205^A6,IF(A6='Données projet'!$A$88,'Données projet'!$B$88,BD5+BC6-BL5)))</f>
        <v>1.9032613528593461</v>
      </c>
      <c r="BE6" s="13">
        <f>BD6*VLOOKUP('Données projet'!$B$11,Paramètres!$A$1:$I$89,3,0)*VLOOKUP('Données projet'!$B$11,Paramètres!$A$1:$I$89,5,0)</f>
        <v>2.0486705202177999</v>
      </c>
      <c r="BF6" s="13">
        <f t="shared" si="37"/>
        <v>0.86849801150244532</v>
      </c>
      <c r="BG6" s="20">
        <f t="shared" si="7"/>
        <v>5.0807351927460944</v>
      </c>
      <c r="BH6" s="59">
        <f t="shared" si="8"/>
        <v>265.4140685260794</v>
      </c>
      <c r="BI6" s="59">
        <f ca="1">AVERAGE(OFFSET($BH$3,0,0,'Données projet'!$E$11+1,1))-AVERAGE(OFFSET($H$3,0,0,'Données projet'!$E$11+1,1))</f>
        <v>475.01366239340246</v>
      </c>
      <c r="BJ6" s="59">
        <f t="shared" si="38"/>
        <v>322.81767004794284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2.8</v>
      </c>
      <c r="BY6" s="12">
        <f>IF('Données projet'!$A$114&gt;35,BY5+BX6-CG5,IF(A6&lt;'Données projet'!$A$114,$BV$205^A6,IF(A6='Données projet'!$A$114,'Données projet'!$B$114,BY5+BX6-CG5)))</f>
        <v>1.6649905188734988</v>
      </c>
      <c r="BZ6" s="13">
        <f>BY6*VLOOKUP('Données projet'!$B$12,Paramètres!$A$1:$I$89,3,0)*VLOOKUP('Données projet'!$B$12,Paramètres!$A$1:$I$89,5,0)</f>
        <v>1.116875640060343</v>
      </c>
      <c r="CA6" s="13">
        <f t="shared" si="39"/>
        <v>0.50812331492788043</v>
      </c>
      <c r="CB6" s="20">
        <f t="shared" si="10"/>
        <v>2.8302065132711554</v>
      </c>
      <c r="CC6" s="59">
        <f t="shared" si="11"/>
        <v>263.16353984660446</v>
      </c>
      <c r="CD6" s="59">
        <f ca="1">AVERAGE(OFFSET($CC$3,0,0,'Données projet'!$E$12+1,1))-AVERAGE(OFFSET($H$3,0,0,'Données projet'!$E$12+1,1))</f>
        <v>254.8851926268614</v>
      </c>
      <c r="CE6" s="59">
        <f t="shared" si="40"/>
        <v>182.11500693273973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4.5726495726495724</v>
      </c>
      <c r="N7" s="13">
        <f>IF('Données projet'!$A$36&gt;35,N6+M7-V6,IF(A7&lt;'Données projet'!$A$36,$K$205^A7,IF(A7='Données projet'!$A$36,'Données projet'!$B$36,N6+M7-V6)))</f>
        <v>3.0879418576996205</v>
      </c>
      <c r="O7" s="13">
        <f>N7*VLOOKUP('Données projet'!$B$9,Paramètres!$A$1:$I$89,3,0)*VLOOKUP('Données projet'!$B$9,Paramètres!$A$1:$I$89,5,0)</f>
        <v>3.227516829667644</v>
      </c>
      <c r="P7" s="13">
        <f t="shared" si="33"/>
        <v>1.2977417755180116</v>
      </c>
      <c r="Q7" s="20">
        <f t="shared" si="2"/>
        <v>7.8814920706983491</v>
      </c>
      <c r="R7" s="59">
        <f t="shared" si="0"/>
        <v>269.4370476262539</v>
      </c>
      <c r="S7" s="59">
        <f ca="1">AVERAGE(OFFSET($R$3,0,0,'Données projet'!$E$9+1,1))-AVERAGE(OFFSET($H$3,0,0,'Données projet'!$E$9+1,1))</f>
        <v>241.84492910369795</v>
      </c>
      <c r="T7" s="59">
        <f t="shared" si="34"/>
        <v>338.04336767245667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5.5909090909090908</v>
      </c>
      <c r="AI7" s="13">
        <f>IF('Données projet'!$A$62&gt;35,AI6+AH7-AQ6,IF(A7&lt;'Données projet'!$A$62,$AF$205^A7,IF(A7='Données projet'!$A$62,'Données projet'!$B$62,AI6+AH7-AQ6)))</f>
        <v>2.3987376266268075</v>
      </c>
      <c r="AJ7" s="13">
        <f>AI7*VLOOKUP('Données projet'!$B$10,Paramètres!$A$1:$I$89,3,0)*VLOOKUP('Données projet'!$B$10,Paramètres!$A$1:$I$89,5,0)</f>
        <v>1.4344451007228309</v>
      </c>
      <c r="AK7" s="13">
        <f t="shared" si="35"/>
        <v>0.63386677286612625</v>
      </c>
      <c r="AL7" s="20">
        <f t="shared" si="4"/>
        <v>3.6023098465007668</v>
      </c>
      <c r="AM7" s="59">
        <f t="shared" si="5"/>
        <v>265.1578654020563</v>
      </c>
      <c r="AN7" s="59">
        <f ca="1">AVERAGE(OFFSET($AM$3,0,0,'Données projet'!$E$10+1,1))-AVERAGE(OFFSET($H$3,0,0,'Données projet'!$E$10+1,1))</f>
        <v>370.12772664814923</v>
      </c>
      <c r="AO7" s="59">
        <f t="shared" si="36"/>
        <v>292.26503163353146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3.65</v>
      </c>
      <c r="BD7" s="12">
        <f>IF('Données projet'!$A$88&gt;35,BD6+BC7-BL6,IF(A7&lt;'Données projet'!$A$88,$BA$205^A7,IF(A7='Données projet'!$A$88,'Données projet'!$B$88,BD6+BC7-BL6)))</f>
        <v>2.3586558182407358</v>
      </c>
      <c r="BE7" s="13">
        <f>BD7*VLOOKUP('Données projet'!$B$11,Paramètres!$A$1:$I$89,3,0)*VLOOKUP('Données projet'!$B$11,Paramètres!$A$1:$I$89,5,0)</f>
        <v>2.5388571227543277</v>
      </c>
      <c r="BF7" s="13">
        <f t="shared" si="37"/>
        <v>1.0497609958185417</v>
      </c>
      <c r="BG7" s="20">
        <f t="shared" si="7"/>
        <v>6.2501765565144138</v>
      </c>
      <c r="BH7" s="59">
        <f t="shared" si="8"/>
        <v>267.80573211206996</v>
      </c>
      <c r="BI7" s="59">
        <f ca="1">AVERAGE(OFFSET($BH$3,0,0,'Données projet'!$E$11+1,1))-AVERAGE(OFFSET($H$3,0,0,'Données projet'!$E$11+1,1))</f>
        <v>475.01366239340246</v>
      </c>
      <c r="BJ7" s="59">
        <f t="shared" si="38"/>
        <v>322.81767004794284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2.8</v>
      </c>
      <c r="BY7" s="12">
        <f>IF('Données projet'!$A$114&gt;35,BY6+BX7-CG6,IF(A7&lt;'Données projet'!$A$114,$BV$205^A7,IF(A7='Données projet'!$A$114,'Données projet'!$B$114,BY6+BX7-CG6)))</f>
        <v>1.9734025561209587</v>
      </c>
      <c r="BZ7" s="13">
        <f>BY7*VLOOKUP('Données projet'!$B$12,Paramètres!$A$1:$I$89,3,0)*VLOOKUP('Données projet'!$B$12,Paramètres!$A$1:$I$89,5,0)</f>
        <v>1.323758434645939</v>
      </c>
      <c r="CA7" s="13">
        <f t="shared" si="39"/>
        <v>0.59044883199019715</v>
      </c>
      <c r="CB7" s="20">
        <f t="shared" si="10"/>
        <v>3.3339109893912702</v>
      </c>
      <c r="CC7" s="59">
        <f t="shared" si="11"/>
        <v>264.8894665449468</v>
      </c>
      <c r="CD7" s="59">
        <f ca="1">AVERAGE(OFFSET($CC$3,0,0,'Données projet'!$E$12+1,1))-AVERAGE(OFFSET($H$3,0,0,'Données projet'!$E$12+1,1))</f>
        <v>254.8851926268614</v>
      </c>
      <c r="CE7" s="59">
        <f t="shared" si="40"/>
        <v>182.11500693273973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4.5726495726495724</v>
      </c>
      <c r="N8" s="13">
        <f>IF('Données projet'!$A$36&gt;35,N7+M8-V7,IF(A8&lt;'Données projet'!$A$36,$K$205^A8,IF(A8='Données projet'!$A$36,'Données projet'!$B$36,N7+M8-V7)))</f>
        <v>4.0934208102310361</v>
      </c>
      <c r="O8" s="13">
        <f>N8*VLOOKUP('Données projet'!$B$9,Paramètres!$A$1:$I$89,3,0)*VLOOKUP('Données projet'!$B$9,Paramètres!$A$1:$I$89,5,0)</f>
        <v>4.2784434308534793</v>
      </c>
      <c r="P8" s="13">
        <f t="shared" si="33"/>
        <v>1.6647774807557811</v>
      </c>
      <c r="Q8" s="20">
        <f t="shared" si="2"/>
        <v>10.351109754386128</v>
      </c>
      <c r="R8" s="59">
        <f t="shared" si="0"/>
        <v>273.1288875321639</v>
      </c>
      <c r="S8" s="59">
        <f ca="1">AVERAGE(OFFSET($R$3,0,0,'Données projet'!$E$9+1,1))-AVERAGE(OFFSET($H$3,0,0,'Données projet'!$E$9+1,1))</f>
        <v>241.84492910369795</v>
      </c>
      <c r="T8" s="59">
        <f t="shared" si="34"/>
        <v>338.04336767245667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5.5909090909090908</v>
      </c>
      <c r="AI8" s="13">
        <f>IF('Données projet'!$A$62&gt;35,AI7+AH8-AQ7,IF(A8&lt;'Données projet'!$A$62,$AF$205^A8,IF(A8='Données projet'!$A$62,'Données projet'!$B$62,AI7+AH8-AQ7)))</f>
        <v>2.9852343786852105</v>
      </c>
      <c r="AJ8" s="13">
        <f>AI8*VLOOKUP('Données projet'!$B$10,Paramètres!$A$1:$I$89,3,0)*VLOOKUP('Données projet'!$B$10,Paramètres!$A$1:$I$89,5,0)</f>
        <v>1.785170158453756</v>
      </c>
      <c r="AK8" s="13">
        <f t="shared" si="35"/>
        <v>0.7690174164926461</v>
      </c>
      <c r="AL8" s="20">
        <f t="shared" si="4"/>
        <v>4.4485433596983173</v>
      </c>
      <c r="AM8" s="59">
        <f t="shared" si="5"/>
        <v>267.22632113747608</v>
      </c>
      <c r="AN8" s="59">
        <f ca="1">AVERAGE(OFFSET($AM$3,0,0,'Données projet'!$E$10+1,1))-AVERAGE(OFFSET($H$3,0,0,'Données projet'!$E$10+1,1))</f>
        <v>370.12772664814923</v>
      </c>
      <c r="AO8" s="59">
        <f t="shared" si="36"/>
        <v>292.26503163353146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3.65</v>
      </c>
      <c r="BD8" s="12">
        <f>IF('Données projet'!$A$88&gt;35,BD7+BC8-BL7,IF(A8&lt;'Données projet'!$A$88,$BA$205^A8,IF(A8='Données projet'!$A$88,'Données projet'!$B$88,BD7+BC8-BL7)))</f>
        <v>2.9230127856917649</v>
      </c>
      <c r="BE8" s="13">
        <f>BD8*VLOOKUP('Données projet'!$B$11,Paramètres!$A$1:$I$89,3,0)*VLOOKUP('Données projet'!$B$11,Paramètres!$A$1:$I$89,5,0)</f>
        <v>3.1463309625186153</v>
      </c>
      <c r="BF8" s="13">
        <f t="shared" si="37"/>
        <v>1.2688551196974542</v>
      </c>
      <c r="BG8" s="20">
        <f t="shared" si="7"/>
        <v>7.6897824265263219</v>
      </c>
      <c r="BH8" s="59">
        <f t="shared" si="8"/>
        <v>270.46756020430411</v>
      </c>
      <c r="BI8" s="59">
        <f ca="1">AVERAGE(OFFSET($BH$3,0,0,'Données projet'!$E$11+1,1))-AVERAGE(OFFSET($H$3,0,0,'Données projet'!$E$11+1,1))</f>
        <v>475.01366239340246</v>
      </c>
      <c r="BJ8" s="59">
        <f t="shared" si="38"/>
        <v>322.81767004794284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2.8</v>
      </c>
      <c r="BY8" s="12">
        <f>IF('Données projet'!$A$114&gt;35,BY7+BX8-CG7,IF(A8&lt;'Données projet'!$A$114,$BV$205^A8,IF(A8='Données projet'!$A$114,'Données projet'!$B$114,BY7+BX8-CG7)))</f>
        <v>2.3389428374280206</v>
      </c>
      <c r="BZ8" s="13">
        <f>BY8*VLOOKUP('Données projet'!$B$12,Paramètres!$A$1:$I$89,3,0)*VLOOKUP('Données projet'!$B$12,Paramètres!$A$1:$I$89,5,0)</f>
        <v>1.5689628553467161</v>
      </c>
      <c r="CA8" s="13">
        <f t="shared" si="39"/>
        <v>0.68611262848285204</v>
      </c>
      <c r="CB8" s="20">
        <f t="shared" si="10"/>
        <v>3.927589801003164</v>
      </c>
      <c r="CC8" s="59">
        <f t="shared" si="11"/>
        <v>266.70536757878091</v>
      </c>
      <c r="CD8" s="59">
        <f ca="1">AVERAGE(OFFSET($CC$3,0,0,'Données projet'!$E$12+1,1))-AVERAGE(OFFSET($H$3,0,0,'Données projet'!$E$12+1,1))</f>
        <v>254.8851926268614</v>
      </c>
      <c r="CE8" s="59">
        <f t="shared" si="40"/>
        <v>182.11500693273973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4.5726495726495724</v>
      </c>
      <c r="N9" s="13">
        <f>IF('Données projet'!$A$36&gt;35,N8+M9-V8,IF(A9&lt;'Données projet'!$A$36,$K$205^A9,IF(A9='Données projet'!$A$36,'Données projet'!$B$36,N8+M9-V8)))</f>
        <v>5.4262983896060337</v>
      </c>
      <c r="O9" s="13">
        <f>N9*VLOOKUP('Données projet'!$B$9,Paramètres!$A$1:$I$89,3,0)*VLOOKUP('Données projet'!$B$9,Paramètres!$A$1:$I$89,5,0)</f>
        <v>5.6715670768162267</v>
      </c>
      <c r="P9" s="13">
        <f t="shared" si="33"/>
        <v>2.1356205931841012</v>
      </c>
      <c r="Q9" s="20">
        <f t="shared" si="2"/>
        <v>13.597518525250571</v>
      </c>
      <c r="R9" s="59">
        <f t="shared" si="0"/>
        <v>277.59751852525056</v>
      </c>
      <c r="S9" s="59">
        <f ca="1">AVERAGE(OFFSET($R$3,0,0,'Données projet'!$E$9+1,1))-AVERAGE(OFFSET($H$3,0,0,'Données projet'!$E$9+1,1))</f>
        <v>241.84492910369795</v>
      </c>
      <c r="T9" s="59">
        <f t="shared" si="34"/>
        <v>338.04336767245667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5.5909090909090908</v>
      </c>
      <c r="AI9" s="13">
        <f>IF('Données projet'!$A$62&gt;35,AI8+AH9-AQ8,IF(A9&lt;'Données projet'!$A$62,$AF$205^A9,IF(A9='Données projet'!$A$62,'Données projet'!$B$62,AI8+AH9-AQ8)))</f>
        <v>3.7151309075081826</v>
      </c>
      <c r="AJ9" s="13">
        <f>AI9*VLOOKUP('Données projet'!$B$10,Paramètres!$A$1:$I$89,3,0)*VLOOKUP('Données projet'!$B$10,Paramètres!$A$1:$I$89,5,0)</f>
        <v>2.2216482826898933</v>
      </c>
      <c r="AK9" s="13">
        <f t="shared" si="35"/>
        <v>0.93298436230530435</v>
      </c>
      <c r="AL9" s="20">
        <f t="shared" si="4"/>
        <v>5.4943185233666361</v>
      </c>
      <c r="AM9" s="59">
        <f t="shared" si="5"/>
        <v>269.49431852336664</v>
      </c>
      <c r="AN9" s="59">
        <f ca="1">AVERAGE(OFFSET($AM$3,0,0,'Données projet'!$E$10+1,1))-AVERAGE(OFFSET($H$3,0,0,'Données projet'!$E$10+1,1))</f>
        <v>370.12772664814923</v>
      </c>
      <c r="AO9" s="59">
        <f t="shared" si="36"/>
        <v>292.26503163353146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3.65</v>
      </c>
      <c r="BD9" s="12">
        <f>IF('Données projet'!$A$88&gt;35,BD8+BC9-BL8,IF(A9&lt;'Données projet'!$A$88,$BA$205^A9,IF(A9='Données projet'!$A$88,'Données projet'!$B$88,BD8+BC9-BL8)))</f>
        <v>3.6224037772879885</v>
      </c>
      <c r="BE9" s="13">
        <f>BD9*VLOOKUP('Données projet'!$B$11,Paramètres!$A$1:$I$89,3,0)*VLOOKUP('Données projet'!$B$11,Paramètres!$A$1:$I$89,5,0)</f>
        <v>3.8991554258727907</v>
      </c>
      <c r="BF9" s="13">
        <f t="shared" si="37"/>
        <v>1.5336760664526912</v>
      </c>
      <c r="BG9" s="20">
        <f t="shared" si="7"/>
        <v>9.4621815158002143</v>
      </c>
      <c r="BH9" s="59">
        <f t="shared" si="8"/>
        <v>273.46218151580024</v>
      </c>
      <c r="BI9" s="59">
        <f ca="1">AVERAGE(OFFSET($BH$3,0,0,'Données projet'!$E$11+1,1))-AVERAGE(OFFSET($H$3,0,0,'Données projet'!$E$11+1,1))</f>
        <v>475.01366239340246</v>
      </c>
      <c r="BJ9" s="59">
        <f t="shared" si="38"/>
        <v>322.81767004794284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2.8</v>
      </c>
      <c r="BY9" s="12">
        <f>IF('Données projet'!$A$114&gt;35,BY8+BX9-CG8,IF(A9&lt;'Données projet'!$A$114,$BV$205^A9,IF(A9='Données projet'!$A$114,'Données projet'!$B$114,BY8+BX9-CG8)))</f>
        <v>2.7721934279386429</v>
      </c>
      <c r="BZ9" s="13">
        <f>BY9*VLOOKUP('Données projet'!$B$12,Paramètres!$A$1:$I$89,3,0)*VLOOKUP('Données projet'!$B$12,Paramètres!$A$1:$I$89,5,0)</f>
        <v>1.8595873514612415</v>
      </c>
      <c r="CA9" s="13">
        <f t="shared" si="39"/>
        <v>0.79727575610051127</v>
      </c>
      <c r="CB9" s="20">
        <f t="shared" si="10"/>
        <v>4.6273699123367198</v>
      </c>
      <c r="CC9" s="59">
        <f t="shared" si="11"/>
        <v>268.62736991233675</v>
      </c>
      <c r="CD9" s="59">
        <f ca="1">AVERAGE(OFFSET($CC$3,0,0,'Données projet'!$E$12+1,1))-AVERAGE(OFFSET($H$3,0,0,'Données projet'!$E$12+1,1))</f>
        <v>254.8851926268614</v>
      </c>
      <c r="CE9" s="59">
        <f t="shared" si="40"/>
        <v>182.11500693273973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4.5726495726495724</v>
      </c>
      <c r="N10" s="13">
        <f>IF('Données projet'!$A$36&gt;35,N9+M10-V9,IF(A10&lt;'Données projet'!$A$36,$K$205^A10,IF(A10='Données projet'!$A$36,'Données projet'!$B$36,N9+M10-V9)))</f>
        <v>7.1931803687144367</v>
      </c>
      <c r="O10" s="13">
        <f>N10*VLOOKUP('Données projet'!$B$9,Paramètres!$A$1:$I$89,3,0)*VLOOKUP('Données projet'!$B$9,Paramètres!$A$1:$I$89,5,0)</f>
        <v>7.5183121213803297</v>
      </c>
      <c r="P10" s="13">
        <f t="shared" si="33"/>
        <v>2.7396305937304324</v>
      </c>
      <c r="Q10" s="20">
        <f t="shared" si="2"/>
        <v>17.865916895484574</v>
      </c>
      <c r="R10" s="59">
        <f t="shared" si="0"/>
        <v>283.08813911770682</v>
      </c>
      <c r="S10" s="59">
        <f ca="1">AVERAGE(OFFSET($R$3,0,0,'Données projet'!$E$9+1,1))-AVERAGE(OFFSET($H$3,0,0,'Données projet'!$E$9+1,1))</f>
        <v>241.84492910369795</v>
      </c>
      <c r="T10" s="59">
        <f t="shared" si="34"/>
        <v>338.04336767245667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5.5909090909090908</v>
      </c>
      <c r="AI10" s="13">
        <f>IF('Données projet'!$A$62&gt;35,AI9+AH10-AQ9,IF(A10&lt;'Données projet'!$A$62,$AF$205^A10,IF(A10='Données projet'!$A$62,'Données projet'!$B$62,AI9+AH10-AQ9)))</f>
        <v>4.6234887814743333</v>
      </c>
      <c r="AJ10" s="13">
        <f>AI10*VLOOKUP('Données projet'!$B$10,Paramètres!$A$1:$I$89,3,0)*VLOOKUP('Données projet'!$B$10,Paramètres!$A$1:$I$89,5,0)</f>
        <v>2.7648462913216516</v>
      </c>
      <c r="AK10" s="13">
        <f t="shared" si="35"/>
        <v>1.1319117118000401</v>
      </c>
      <c r="AL10" s="20">
        <f t="shared" si="4"/>
        <v>6.7868535221036126</v>
      </c>
      <c r="AM10" s="59">
        <f t="shared" si="5"/>
        <v>272.00907574432586</v>
      </c>
      <c r="AN10" s="59">
        <f ca="1">AVERAGE(OFFSET($AM$3,0,0,'Données projet'!$E$10+1,1))-AVERAGE(OFFSET($H$3,0,0,'Données projet'!$E$10+1,1))</f>
        <v>370.12772664814923</v>
      </c>
      <c r="AO10" s="59">
        <f t="shared" si="36"/>
        <v>292.26503163353146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3.65</v>
      </c>
      <c r="BD10" s="12">
        <f>IF('Données projet'!$A$88&gt;35,BD9+BC10-BL9,IF(A10&lt;'Données projet'!$A$88,$BA$205^A10,IF(A10='Données projet'!$A$88,'Données projet'!$B$88,BD9+BC10-BL9)))</f>
        <v>4.4891384635544309</v>
      </c>
      <c r="BE10" s="13">
        <f>BD10*VLOOKUP('Données projet'!$B$11,Paramètres!$A$1:$I$89,3,0)*VLOOKUP('Données projet'!$B$11,Paramètres!$A$1:$I$89,5,0)</f>
        <v>4.8321086421699899</v>
      </c>
      <c r="BF10" s="13">
        <f t="shared" si="37"/>
        <v>1.8537674162284574</v>
      </c>
      <c r="BG10" s="20">
        <f t="shared" si="7"/>
        <v>11.644567468377296</v>
      </c>
      <c r="BH10" s="59">
        <f t="shared" si="8"/>
        <v>276.86678969059955</v>
      </c>
      <c r="BI10" s="59">
        <f ca="1">AVERAGE(OFFSET($BH$3,0,0,'Données projet'!$E$11+1,1))-AVERAGE(OFFSET($H$3,0,0,'Données projet'!$E$11+1,1))</f>
        <v>475.01366239340246</v>
      </c>
      <c r="BJ10" s="59">
        <f t="shared" si="38"/>
        <v>322.81767004794284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2.8</v>
      </c>
      <c r="BY10" s="12">
        <f>IF('Données projet'!$A$114&gt;35,BY9+BX10-CG9,IF(A10&lt;'Données projet'!$A$114,$BV$205^A10,IF(A10='Données projet'!$A$114,'Données projet'!$B$114,BY9+BX10-CG9)))</f>
        <v>3.2856965458621241</v>
      </c>
      <c r="BZ10" s="13">
        <f>BY10*VLOOKUP('Données projet'!$B$12,Paramètres!$A$1:$I$89,3,0)*VLOOKUP('Données projet'!$B$12,Paramètres!$A$1:$I$89,5,0)</f>
        <v>2.2040452429643129</v>
      </c>
      <c r="CA10" s="13">
        <f t="shared" si="39"/>
        <v>0.92644939748624489</v>
      </c>
      <c r="CB10" s="20">
        <f t="shared" si="10"/>
        <v>5.4522781654513883</v>
      </c>
      <c r="CC10" s="59">
        <f t="shared" si="11"/>
        <v>270.67450038767362</v>
      </c>
      <c r="CD10" s="59">
        <f ca="1">AVERAGE(OFFSET($CC$3,0,0,'Données projet'!$E$12+1,1))-AVERAGE(OFFSET($H$3,0,0,'Données projet'!$E$12+1,1))</f>
        <v>254.8851926268614</v>
      </c>
      <c r="CE10" s="59">
        <f t="shared" si="40"/>
        <v>182.11500693273973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4.5726495726495724</v>
      </c>
      <c r="N11" s="13">
        <f>IF('Données projet'!$A$36&gt;35,N10+M11-V10,IF(A11&lt;'Données projet'!$A$36,$K$205^A11,IF(A11='Données projet'!$A$36,'Données projet'!$B$36,N10+M11-V10)))</f>
        <v>9.535384916533383</v>
      </c>
      <c r="O11" s="13">
        <f>N11*VLOOKUP('Données projet'!$B$9,Paramètres!$A$1:$I$89,3,0)*VLOOKUP('Données projet'!$B$9,Paramètres!$A$1:$I$89,5,0)</f>
        <v>9.9663843147606936</v>
      </c>
      <c r="P11" s="13">
        <f t="shared" si="33"/>
        <v>3.5144706012191653</v>
      </c>
      <c r="Q11" s="20">
        <f t="shared" si="2"/>
        <v>23.479155645331584</v>
      </c>
      <c r="R11" s="59">
        <f t="shared" si="0"/>
        <v>289.92360008977602</v>
      </c>
      <c r="S11" s="59">
        <f ca="1">AVERAGE(OFFSET($R$3,0,0,'Données projet'!$E$9+1,1))-AVERAGE(OFFSET($H$3,0,0,'Données projet'!$E$9+1,1))</f>
        <v>241.84492910369795</v>
      </c>
      <c r="T11" s="59">
        <f t="shared" si="34"/>
        <v>338.04336767245667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5.5909090909090908</v>
      </c>
      <c r="AI11" s="13">
        <f>IF('Données projet'!$A$62&gt;35,AI10+AH11-AQ10,IF(A11&lt;'Données projet'!$A$62,$AF$205^A11,IF(A11='Données projet'!$A$62,'Données projet'!$B$62,AI10+AH11-AQ10)))</f>
        <v>5.7539422013952093</v>
      </c>
      <c r="AJ11" s="13">
        <f>AI11*VLOOKUP('Données projet'!$B$10,Paramètres!$A$1:$I$89,3,0)*VLOOKUP('Données projet'!$B$10,Paramètres!$A$1:$I$89,5,0)</f>
        <v>3.4408574364343356</v>
      </c>
      <c r="AK11" s="13">
        <f t="shared" si="35"/>
        <v>1.3732535882427113</v>
      </c>
      <c r="AL11" s="20">
        <f t="shared" si="4"/>
        <v>8.3845767013125236</v>
      </c>
      <c r="AM11" s="59">
        <f t="shared" si="5"/>
        <v>274.829021145757</v>
      </c>
      <c r="AN11" s="59">
        <f ca="1">AVERAGE(OFFSET($AM$3,0,0,'Données projet'!$E$10+1,1))-AVERAGE(OFFSET($H$3,0,0,'Données projet'!$E$10+1,1))</f>
        <v>370.12772664814923</v>
      </c>
      <c r="AO11" s="59">
        <f t="shared" si="36"/>
        <v>292.26503163353146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3.65</v>
      </c>
      <c r="BD11" s="12">
        <f>IF('Données projet'!$A$88&gt;35,BD10+BC11-BL10,IF(A11&lt;'Données projet'!$A$88,$BA$205^A11,IF(A11='Données projet'!$A$88,'Données projet'!$B$88,BD10+BC11-BL10)))</f>
        <v>5.563257268920875</v>
      </c>
      <c r="BE11" s="13">
        <f>BD11*VLOOKUP('Données projet'!$B$11,Paramètres!$A$1:$I$89,3,0)*VLOOKUP('Données projet'!$B$11,Paramètres!$A$1:$I$89,5,0)</f>
        <v>5.9882901242664301</v>
      </c>
      <c r="BF11" s="13">
        <f t="shared" si="37"/>
        <v>2.2406645762026263</v>
      </c>
      <c r="BG11" s="20">
        <f t="shared" si="7"/>
        <v>14.332096103316941</v>
      </c>
      <c r="BH11" s="59">
        <f t="shared" si="8"/>
        <v>280.77654054776139</v>
      </c>
      <c r="BI11" s="59">
        <f ca="1">AVERAGE(OFFSET($BH$3,0,0,'Données projet'!$E$11+1,1))-AVERAGE(OFFSET($H$3,0,0,'Données projet'!$E$11+1,1))</f>
        <v>475.01366239340246</v>
      </c>
      <c r="BJ11" s="59">
        <f t="shared" si="38"/>
        <v>322.81767004794284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2.8</v>
      </c>
      <c r="BY11" s="12">
        <f>IF('Données projet'!$A$114&gt;35,BY10+BX11-CG10,IF(A11&lt;'Données projet'!$A$114,$BV$205^A11,IF(A11='Données projet'!$A$114,'Données projet'!$B$114,BY10+BX11-CG10)))</f>
        <v>3.8943176485047335</v>
      </c>
      <c r="BZ11" s="13">
        <f>BY11*VLOOKUP('Données projet'!$B$12,Paramètres!$A$1:$I$89,3,0)*VLOOKUP('Données projet'!$B$12,Paramètres!$A$1:$I$89,5,0)</f>
        <v>2.6123082786169753</v>
      </c>
      <c r="CA11" s="13">
        <f t="shared" si="39"/>
        <v>1.0765515940188959</v>
      </c>
      <c r="CB11" s="20">
        <f t="shared" si="10"/>
        <v>6.4247642781741421</v>
      </c>
      <c r="CC11" s="59">
        <f t="shared" si="11"/>
        <v>272.86920872261862</v>
      </c>
      <c r="CD11" s="59">
        <f ca="1">AVERAGE(OFFSET($CC$3,0,0,'Données projet'!$E$12+1,1))-AVERAGE(OFFSET($H$3,0,0,'Données projet'!$E$12+1,1))</f>
        <v>254.8851926268614</v>
      </c>
      <c r="CE11" s="59">
        <f t="shared" si="40"/>
        <v>182.11500693273973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4.5726495726495724</v>
      </c>
      <c r="N12" s="13">
        <f>IF('Données projet'!$A$36&gt;35,N11+M12-V11,IF(A12&lt;'Données projet'!$A$36,$K$205^A12,IF(A12='Données projet'!$A$36,'Données projet'!$B$36,N11+M12-V11)))</f>
        <v>12.640245461091112</v>
      </c>
      <c r="O12" s="13">
        <f>N12*VLOOKUP('Données projet'!$B$9,Paramètres!$A$1:$I$89,3,0)*VLOOKUP('Données projet'!$B$9,Paramètres!$A$1:$I$89,5,0)</f>
        <v>13.211584555932431</v>
      </c>
      <c r="P12" s="13">
        <f t="shared" si="33"/>
        <v>4.5084558608375405</v>
      </c>
      <c r="Q12" s="20">
        <f t="shared" si="2"/>
        <v>30.862403725874362</v>
      </c>
      <c r="R12" s="59">
        <f t="shared" si="0"/>
        <v>298.52907039254103</v>
      </c>
      <c r="S12" s="59">
        <f ca="1">AVERAGE(OFFSET($R$3,0,0,'Données projet'!$E$9+1,1))-AVERAGE(OFFSET($H$3,0,0,'Données projet'!$E$9+1,1))</f>
        <v>241.84492910369795</v>
      </c>
      <c r="T12" s="59">
        <f t="shared" si="34"/>
        <v>338.04336767245667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5.5909090909090908</v>
      </c>
      <c r="AI12" s="13">
        <f>IF('Données projet'!$A$62&gt;35,AI11+AH12-AQ11,IF(A12&lt;'Données projet'!$A$62,$AF$205^A12,IF(A12='Données projet'!$A$62,'Données projet'!$B$62,AI11+AH12-AQ11)))</f>
        <v>7.1607940284521145</v>
      </c>
      <c r="AJ12" s="13">
        <f>AI12*VLOOKUP('Données projet'!$B$10,Paramètres!$A$1:$I$89,3,0)*VLOOKUP('Données projet'!$B$10,Paramètres!$A$1:$I$89,5,0)</f>
        <v>4.2821548290143649</v>
      </c>
      <c r="AK12" s="13">
        <f t="shared" si="35"/>
        <v>1.6660534544894132</v>
      </c>
      <c r="AL12" s="20">
        <f t="shared" si="4"/>
        <v>10.359796093769079</v>
      </c>
      <c r="AM12" s="59">
        <f t="shared" si="5"/>
        <v>278.02646276043578</v>
      </c>
      <c r="AN12" s="59">
        <f ca="1">AVERAGE(OFFSET($AM$3,0,0,'Données projet'!$E$10+1,1))-AVERAGE(OFFSET($H$3,0,0,'Données projet'!$E$10+1,1))</f>
        <v>370.12772664814923</v>
      </c>
      <c r="AO12" s="59">
        <f t="shared" si="36"/>
        <v>292.26503163353146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3.65</v>
      </c>
      <c r="BD12" s="12">
        <f>IF('Données projet'!$A$88&gt;35,BD11+BC12-BL11,IF(A12&lt;'Données projet'!$A$88,$BA$205^A12,IF(A12='Données projet'!$A$88,'Données projet'!$B$88,BD11+BC12-BL11)))</f>
        <v>6.8943811137639424</v>
      </c>
      <c r="BE12" s="13">
        <f>BD12*VLOOKUP('Données projet'!$B$11,Paramètres!$A$1:$I$89,3,0)*VLOOKUP('Données projet'!$B$11,Paramètres!$A$1:$I$89,5,0)</f>
        <v>7.4211118308555069</v>
      </c>
      <c r="BF12" s="13">
        <f t="shared" si="37"/>
        <v>2.7083104919730441</v>
      </c>
      <c r="BG12" s="20">
        <f t="shared" si="7"/>
        <v>17.642077212259725</v>
      </c>
      <c r="BH12" s="59">
        <f t="shared" si="8"/>
        <v>285.30874387892641</v>
      </c>
      <c r="BI12" s="59">
        <f ca="1">AVERAGE(OFFSET($BH$3,0,0,'Données projet'!$E$11+1,1))-AVERAGE(OFFSET($H$3,0,0,'Données projet'!$E$11+1,1))</f>
        <v>475.01366239340246</v>
      </c>
      <c r="BJ12" s="59">
        <f t="shared" si="38"/>
        <v>322.81767004794284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2.8</v>
      </c>
      <c r="BY12" s="12">
        <f>IF('Données projet'!$A$114&gt;35,BY11+BX12-CG11,IF(A12&lt;'Données projet'!$A$114,$BV$205^A12,IF(A12='Données projet'!$A$114,'Données projet'!$B$114,BY11+BX12-CG11)))</f>
        <v>4.6156757740012635</v>
      </c>
      <c r="BZ12" s="13">
        <f>BY12*VLOOKUP('Données projet'!$B$12,Paramètres!$A$1:$I$89,3,0)*VLOOKUP('Données projet'!$B$12,Paramètres!$A$1:$I$89,5,0)</f>
        <v>3.0961953092000476</v>
      </c>
      <c r="CA12" s="13">
        <f t="shared" si="39"/>
        <v>1.2509731645670727</v>
      </c>
      <c r="CB12" s="20">
        <f t="shared" si="10"/>
        <v>7.5713184251444012</v>
      </c>
      <c r="CC12" s="59">
        <f t="shared" si="11"/>
        <v>275.23798509181108</v>
      </c>
      <c r="CD12" s="59">
        <f ca="1">AVERAGE(OFFSET($CC$3,0,0,'Données projet'!$E$12+1,1))-AVERAGE(OFFSET($H$3,0,0,'Données projet'!$E$12+1,1))</f>
        <v>254.8851926268614</v>
      </c>
      <c r="CE12" s="59">
        <f t="shared" si="40"/>
        <v>182.11500693273973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4.5726495726495724</v>
      </c>
      <c r="N13" s="13">
        <f>IF('Données projet'!$A$36&gt;35,N12+M13-V12,IF(A13&lt;'Données projet'!$A$36,$K$205^A13,IF(A13='Données projet'!$A$36,'Données projet'!$B$36,N12+M13-V12)))</f>
        <v>16.756093929632513</v>
      </c>
      <c r="O13" s="13">
        <f>N13*VLOOKUP('Données projet'!$B$9,Paramètres!$A$1:$I$89,3,0)*VLOOKUP('Données projet'!$B$9,Paramètres!$A$1:$I$89,5,0)</f>
        <v>17.513469375251905</v>
      </c>
      <c r="P13" s="13">
        <f t="shared" si="33"/>
        <v>5.7835664472678356</v>
      </c>
      <c r="Q13" s="20">
        <f t="shared" si="2"/>
        <v>40.575670724221879</v>
      </c>
      <c r="R13" s="59">
        <f t="shared" si="0"/>
        <v>309.46455961311074</v>
      </c>
      <c r="S13" s="59">
        <f ca="1">AVERAGE(OFFSET($R$3,0,0,'Données projet'!$E$9+1,1))-AVERAGE(OFFSET($H$3,0,0,'Données projet'!$E$9+1,1))</f>
        <v>241.84492910369795</v>
      </c>
      <c r="T13" s="59">
        <f t="shared" si="34"/>
        <v>338.04336767245667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5.5909090909090908</v>
      </c>
      <c r="AI13" s="13">
        <f>IF('Données projet'!$A$62&gt;35,AI12+AH13-AQ12,IF(A13&lt;'Données projet'!$A$62,$AF$205^A13,IF(A13='Données projet'!$A$62,'Données projet'!$B$62,AI12+AH13-AQ12)))</f>
        <v>8.9116242956840761</v>
      </c>
      <c r="AJ13" s="13">
        <f>AI13*VLOOKUP('Données projet'!$B$10,Paramètres!$A$1:$I$89,3,0)*VLOOKUP('Données projet'!$B$10,Paramètres!$A$1:$I$89,5,0)</f>
        <v>5.3291513288190782</v>
      </c>
      <c r="AK13" s="13">
        <f t="shared" si="35"/>
        <v>2.0212829858817885</v>
      </c>
      <c r="AL13" s="20">
        <f t="shared" si="4"/>
        <v>12.802006431437341</v>
      </c>
      <c r="AM13" s="59">
        <f t="shared" si="5"/>
        <v>281.69089532032621</v>
      </c>
      <c r="AN13" s="59">
        <f ca="1">AVERAGE(OFFSET($AM$3,0,0,'Données projet'!$E$10+1,1))-AVERAGE(OFFSET($H$3,0,0,'Données projet'!$E$10+1,1))</f>
        <v>370.12772664814923</v>
      </c>
      <c r="AO13" s="59">
        <f t="shared" si="36"/>
        <v>292.26503163353146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3.65</v>
      </c>
      <c r="BD13" s="12">
        <f>IF('Données projet'!$A$88&gt;35,BD12+BC13-BL12,IF(A13&lt;'Données projet'!$A$88,$BA$205^A13,IF(A13='Données projet'!$A$88,'Données projet'!$B$88,BD12+BC13-BL12)))</f>
        <v>8.5440037453175322</v>
      </c>
      <c r="BE13" s="13">
        <f>BD13*VLOOKUP('Données projet'!$B$11,Paramètres!$A$1:$I$89,3,0)*VLOOKUP('Données projet'!$B$11,Paramètres!$A$1:$I$89,5,0)</f>
        <v>9.1967656314597903</v>
      </c>
      <c r="BF13" s="13">
        <f t="shared" si="37"/>
        <v>3.2735581214758165</v>
      </c>
      <c r="BG13" s="20">
        <f t="shared" si="7"/>
        <v>21.719147203029511</v>
      </c>
      <c r="BH13" s="59">
        <f t="shared" si="8"/>
        <v>290.60803609191839</v>
      </c>
      <c r="BI13" s="59">
        <f ca="1">AVERAGE(OFFSET($BH$3,0,0,'Données projet'!$E$11+1,1))-AVERAGE(OFFSET($H$3,0,0,'Données projet'!$E$11+1,1))</f>
        <v>475.01366239340246</v>
      </c>
      <c r="BJ13" s="59">
        <f t="shared" si="38"/>
        <v>322.81767004794284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2.8</v>
      </c>
      <c r="BY13" s="12">
        <f>IF('Données projet'!$A$114&gt;35,BY12+BX13-CG12,IF(A13&lt;'Données projet'!$A$114,$BV$205^A13,IF(A13='Données projet'!$A$114,'Données projet'!$B$114,BY12+BX13-CG12)))</f>
        <v>5.4706535967558398</v>
      </c>
      <c r="BZ13" s="13">
        <f>BY13*VLOOKUP('Données projet'!$B$12,Paramètres!$A$1:$I$89,3,0)*VLOOKUP('Données projet'!$B$12,Paramètres!$A$1:$I$89,5,0)</f>
        <v>3.6697144327038176</v>
      </c>
      <c r="CA13" s="13">
        <f t="shared" si="39"/>
        <v>1.453654304318915</v>
      </c>
      <c r="CB13" s="20">
        <f t="shared" si="10"/>
        <v>8.9232005503145917</v>
      </c>
      <c r="CC13" s="59">
        <f t="shared" si="11"/>
        <v>277.81208943920348</v>
      </c>
      <c r="CD13" s="59">
        <f ca="1">AVERAGE(OFFSET($CC$3,0,0,'Données projet'!$E$12+1,1))-AVERAGE(OFFSET($H$3,0,0,'Données projet'!$E$12+1,1))</f>
        <v>254.8851926268614</v>
      </c>
      <c r="CE13" s="59">
        <f t="shared" si="40"/>
        <v>182.11500693273973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4.5726495726495724</v>
      </c>
      <c r="N14" s="13">
        <f>IF('Données projet'!$A$36&gt;35,N13+M14-V13,IF(A14&lt;'Données projet'!$A$36,$K$205^A14,IF(A14='Données projet'!$A$36,'Données projet'!$B$36,N13+M14-V13)))</f>
        <v>22.212122750536498</v>
      </c>
      <c r="O14" s="13">
        <f>N14*VLOOKUP('Données projet'!$B$9,Paramètres!$A$1:$I$89,3,0)*VLOOKUP('Données projet'!$B$9,Paramètres!$A$1:$I$89,5,0)</f>
        <v>23.216110698860749</v>
      </c>
      <c r="P14" s="13">
        <f t="shared" si="33"/>
        <v>7.4193120399648977</v>
      </c>
      <c r="Q14" s="20">
        <f t="shared" si="2"/>
        <v>53.356694603454663</v>
      </c>
      <c r="R14" s="59">
        <f t="shared" si="0"/>
        <v>323.46780571456583</v>
      </c>
      <c r="S14" s="59">
        <f ca="1">AVERAGE(OFFSET($R$3,0,0,'Données projet'!$E$9+1,1))-AVERAGE(OFFSET($H$3,0,0,'Données projet'!$E$9+1,1))</f>
        <v>241.84492910369795</v>
      </c>
      <c r="T14" s="59">
        <f t="shared" si="34"/>
        <v>338.04336767245667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5.5909090909090908</v>
      </c>
      <c r="AI14" s="13">
        <f>IF('Données projet'!$A$62&gt;35,AI13+AH14-AQ13,IF(A14&lt;'Données projet'!$A$62,$AF$205^A14,IF(A14='Données projet'!$A$62,'Données projet'!$B$62,AI13+AH14-AQ13)))</f>
        <v>11.090536506409412</v>
      </c>
      <c r="AJ14" s="13">
        <f>AI14*VLOOKUP('Données projet'!$B$10,Paramètres!$A$1:$I$89,3,0)*VLOOKUP('Données projet'!$B$10,Paramètres!$A$1:$I$89,5,0)</f>
        <v>6.6321408308328289</v>
      </c>
      <c r="AK14" s="13">
        <f t="shared" si="35"/>
        <v>2.4522531963221348</v>
      </c>
      <c r="AL14" s="20">
        <f t="shared" si="4"/>
        <v>15.821986263961561</v>
      </c>
      <c r="AM14" s="59">
        <f t="shared" si="5"/>
        <v>285.93309737507269</v>
      </c>
      <c r="AN14" s="59">
        <f ca="1">AVERAGE(OFFSET($AM$3,0,0,'Données projet'!$E$10+1,1))-AVERAGE(OFFSET($H$3,0,0,'Données projet'!$E$10+1,1))</f>
        <v>370.12772664814923</v>
      </c>
      <c r="AO14" s="59">
        <f t="shared" si="36"/>
        <v>292.26503163353146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3.65</v>
      </c>
      <c r="BD14" s="12">
        <f>IF('Données projet'!$A$88&gt;35,BD13+BC14-BL13,IF(A14&lt;'Données projet'!$A$88,$BA$205^A14,IF(A14='Données projet'!$A$88,'Données projet'!$B$88,BD13+BC14-BL13)))</f>
        <v>10.588332555950936</v>
      </c>
      <c r="BE14" s="13">
        <f>BD14*VLOOKUP('Données projet'!$B$11,Paramètres!$A$1:$I$89,3,0)*VLOOKUP('Données projet'!$B$11,Paramètres!$A$1:$I$89,5,0)</f>
        <v>11.397281163225587</v>
      </c>
      <c r="BF14" s="13">
        <f t="shared" si="37"/>
        <v>3.9567777795201704</v>
      </c>
      <c r="BG14" s="20">
        <f t="shared" si="7"/>
        <v>26.741652658615525</v>
      </c>
      <c r="BH14" s="59">
        <f t="shared" si="8"/>
        <v>296.85276376972666</v>
      </c>
      <c r="BI14" s="59">
        <f ca="1">AVERAGE(OFFSET($BH$3,0,0,'Données projet'!$E$11+1,1))-AVERAGE(OFFSET($H$3,0,0,'Données projet'!$E$11+1,1))</f>
        <v>475.01366239340246</v>
      </c>
      <c r="BJ14" s="59">
        <f t="shared" si="38"/>
        <v>322.81767004794284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2.8</v>
      </c>
      <c r="BY14" s="12">
        <f>IF('Données projet'!$A$114&gt;35,BY13+BX14-CG13,IF(A14&lt;'Données projet'!$A$114,$BV$205^A14,IF(A14='Données projet'!$A$114,'Données projet'!$B$114,BY13+BX14-CG13)))</f>
        <v>6.4840019622421199</v>
      </c>
      <c r="BZ14" s="13">
        <f>BY14*VLOOKUP('Données projet'!$B$12,Paramètres!$A$1:$I$89,3,0)*VLOOKUP('Données projet'!$B$12,Paramètres!$A$1:$I$89,5,0)</f>
        <v>4.3494685162720144</v>
      </c>
      <c r="CA14" s="13">
        <f t="shared" si="39"/>
        <v>1.6891735940604271</v>
      </c>
      <c r="CB14" s="20">
        <f t="shared" si="10"/>
        <v>10.517301675495668</v>
      </c>
      <c r="CC14" s="59">
        <f t="shared" si="11"/>
        <v>280.62841278660682</v>
      </c>
      <c r="CD14" s="59">
        <f ca="1">AVERAGE(OFFSET($CC$3,0,0,'Données projet'!$E$12+1,1))-AVERAGE(OFFSET($H$3,0,0,'Données projet'!$E$12+1,1))</f>
        <v>254.8851926268614</v>
      </c>
      <c r="CE14" s="59">
        <f t="shared" si="40"/>
        <v>182.11500693273973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4.5726495726495724</v>
      </c>
      <c r="N15" s="13">
        <f>IF('Données projet'!$A$36&gt;35,N14+M15-V14,IF(A15&lt;'Données projet'!$A$36,$K$205^A15,IF(A15='Données projet'!$A$36,'Données projet'!$B$36,N14+M15-V14)))</f>
        <v>29.444714213041035</v>
      </c>
      <c r="O15" s="13">
        <f>N15*VLOOKUP('Données projet'!$B$9,Paramètres!$A$1:$I$89,3,0)*VLOOKUP('Données projet'!$B$9,Paramètres!$A$1:$I$89,5,0)</f>
        <v>30.775615295470494</v>
      </c>
      <c r="P15" s="13">
        <f t="shared" si="33"/>
        <v>9.5176897591229359</v>
      </c>
      <c r="Q15" s="20">
        <f t="shared" si="2"/>
        <v>70.177506303416905</v>
      </c>
      <c r="R15" s="59">
        <f t="shared" si="0"/>
        <v>341.51083963675023</v>
      </c>
      <c r="S15" s="59">
        <f ca="1">AVERAGE(OFFSET($R$3,0,0,'Données projet'!$E$9+1,1))-AVERAGE(OFFSET($H$3,0,0,'Données projet'!$E$9+1,1))</f>
        <v>241.84492910369795</v>
      </c>
      <c r="T15" s="59">
        <f t="shared" si="34"/>
        <v>338.04336767245667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5.5909090909090908</v>
      </c>
      <c r="AI15" s="13">
        <f>IF('Données projet'!$A$62&gt;35,AI14+AH15-AQ14,IF(A15&lt;'Données projet'!$A$62,$AF$205^A15,IF(A15='Données projet'!$A$62,'Données projet'!$B$62,AI14+AH15-AQ14)))</f>
        <v>13.802197659922571</v>
      </c>
      <c r="AJ15" s="13">
        <f>AI15*VLOOKUP('Données projet'!$B$10,Paramètres!$A$1:$I$89,3,0)*VLOOKUP('Données projet'!$B$10,Paramètres!$A$1:$I$89,5,0)</f>
        <v>8.2537142006336985</v>
      </c>
      <c r="AK15" s="13">
        <f t="shared" si="35"/>
        <v>2.9751132230743558</v>
      </c>
      <c r="AL15" s="20">
        <f t="shared" si="4"/>
        <v>19.556874429624859</v>
      </c>
      <c r="AM15" s="59">
        <f t="shared" si="5"/>
        <v>290.8902077629582</v>
      </c>
      <c r="AN15" s="59">
        <f ca="1">AVERAGE(OFFSET($AM$3,0,0,'Données projet'!$E$10+1,1))-AVERAGE(OFFSET($H$3,0,0,'Données projet'!$E$10+1,1))</f>
        <v>370.12772664814923</v>
      </c>
      <c r="AO15" s="59">
        <f t="shared" si="36"/>
        <v>292.26503163353146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3.65</v>
      </c>
      <c r="BD15" s="12">
        <f>IF('Données projet'!$A$88&gt;35,BD14+BC15-BL14,IF(A15&lt;'Données projet'!$A$88,$BA$205^A15,IF(A15='Données projet'!$A$88,'Données projet'!$B$88,BD14+BC15-BL14)))</f>
        <v>13.121809125710287</v>
      </c>
      <c r="BE15" s="13">
        <f>BD15*VLOOKUP('Données projet'!$B$11,Paramètres!$A$1:$I$89,3,0)*VLOOKUP('Données projet'!$B$11,Paramètres!$A$1:$I$89,5,0)</f>
        <v>14.124315342914553</v>
      </c>
      <c r="BF15" s="13">
        <f t="shared" si="37"/>
        <v>4.7825912403370845</v>
      </c>
      <c r="BG15" s="20">
        <f t="shared" si="7"/>
        <v>32.929528965829938</v>
      </c>
      <c r="BH15" s="59">
        <f t="shared" si="8"/>
        <v>304.26286229916326</v>
      </c>
      <c r="BI15" s="59">
        <f ca="1">AVERAGE(OFFSET($BH$3,0,0,'Données projet'!$E$11+1,1))-AVERAGE(OFFSET($H$3,0,0,'Données projet'!$E$11+1,1))</f>
        <v>475.01366239340246</v>
      </c>
      <c r="BJ15" s="59">
        <f t="shared" si="38"/>
        <v>322.81767004794284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2.8</v>
      </c>
      <c r="BY15" s="12">
        <f>IF('Données projet'!$A$114&gt;35,BY14+BX15-CG14,IF(A15&lt;'Données projet'!$A$114,$BV$205^A15,IF(A15='Données projet'!$A$114,'Données projet'!$B$114,BY14+BX15-CG14)))</f>
        <v>7.685056401906202</v>
      </c>
      <c r="BZ15" s="13">
        <f>BY15*VLOOKUP('Données projet'!$B$12,Paramètres!$A$1:$I$89,3,0)*VLOOKUP('Données projet'!$B$12,Paramètres!$A$1:$I$89,5,0)</f>
        <v>5.1551358343986804</v>
      </c>
      <c r="CA15" s="13">
        <f t="shared" si="39"/>
        <v>1.9628514306280602</v>
      </c>
      <c r="CB15" s="20">
        <f t="shared" si="10"/>
        <v>12.397161153254906</v>
      </c>
      <c r="CC15" s="59">
        <f t="shared" si="11"/>
        <v>283.73049448658821</v>
      </c>
      <c r="CD15" s="59">
        <f ca="1">AVERAGE(OFFSET($CC$3,0,0,'Données projet'!$E$12+1,1))-AVERAGE(OFFSET($H$3,0,0,'Données projet'!$E$12+1,1))</f>
        <v>254.8851926268614</v>
      </c>
      <c r="CE15" s="59">
        <f t="shared" si="40"/>
        <v>182.11500693273973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4.5726495726495724</v>
      </c>
      <c r="N16" s="13">
        <f>IF('Données projet'!$A$36&gt;35,N15+M16-V15,IF(A16&lt;'Données projet'!$A$36,$K$205^A16,IF(A16='Données projet'!$A$36,'Données projet'!$B$36,N15+M16-V15)))</f>
        <v>39.032343050900884</v>
      </c>
      <c r="O16" s="13">
        <f>N16*VLOOKUP('Données projet'!$B$9,Paramètres!$A$1:$I$89,3,0)*VLOOKUP('Données projet'!$B$9,Paramètres!$A$1:$I$89,5,0)</f>
        <v>40.796604956801609</v>
      </c>
      <c r="P16" s="13">
        <f t="shared" si="33"/>
        <v>12.209544208810795</v>
      </c>
      <c r="Q16" s="20">
        <f t="shared" si="2"/>
        <v>92.319043130108284</v>
      </c>
      <c r="R16" s="59">
        <f t="shared" si="0"/>
        <v>364.87459868566384</v>
      </c>
      <c r="S16" s="59">
        <f ca="1">AVERAGE(OFFSET($R$3,0,0,'Données projet'!$E$9+1,1))-AVERAGE(OFFSET($H$3,0,0,'Données projet'!$E$9+1,1))</f>
        <v>241.84492910369795</v>
      </c>
      <c r="T16" s="59">
        <f t="shared" si="34"/>
        <v>338.04336767245667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5.5909090909090908</v>
      </c>
      <c r="AI16" s="13">
        <f>IF('Données projet'!$A$62&gt;35,AI15+AH16-AQ15,IF(A16&lt;'Données projet'!$A$62,$AF$205^A16,IF(A16='Données projet'!$A$62,'Données projet'!$B$62,AI15+AH16-AQ15)))</f>
        <v>17.17686607257264</v>
      </c>
      <c r="AJ16" s="13">
        <f>AI16*VLOOKUP('Données projet'!$B$10,Paramètres!$A$1:$I$89,3,0)*VLOOKUP('Données projet'!$B$10,Paramètres!$A$1:$I$89,5,0)</f>
        <v>10.27176591139844</v>
      </c>
      <c r="AK16" s="13">
        <f t="shared" si="35"/>
        <v>3.609455460548272</v>
      </c>
      <c r="AL16" s="20">
        <f t="shared" si="4"/>
        <v>24.176460556140523</v>
      </c>
      <c r="AM16" s="59">
        <f t="shared" si="5"/>
        <v>296.73201611169605</v>
      </c>
      <c r="AN16" s="59">
        <f ca="1">AVERAGE(OFFSET($AM$3,0,0,'Données projet'!$E$10+1,1))-AVERAGE(OFFSET($H$3,0,0,'Données projet'!$E$10+1,1))</f>
        <v>370.12772664814923</v>
      </c>
      <c r="AO16" s="59">
        <f t="shared" si="36"/>
        <v>292.26503163353146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3.65</v>
      </c>
      <c r="BD16" s="12">
        <f>IF('Données projet'!$A$88&gt;35,BD15+BC16-BL15,IF(A16&lt;'Données projet'!$A$88,$BA$205^A16,IF(A16='Données projet'!$A$88,'Données projet'!$B$88,BD15+BC16-BL15)))</f>
        <v>16.261472127148366</v>
      </c>
      <c r="BE16" s="13">
        <f>BD16*VLOOKUP('Données projet'!$B$11,Paramètres!$A$1:$I$89,3,0)*VLOOKUP('Données projet'!$B$11,Paramètres!$A$1:$I$89,5,0)</f>
        <v>17.5038485976625</v>
      </c>
      <c r="BF16" s="13">
        <f t="shared" si="37"/>
        <v>5.7807590536264062</v>
      </c>
      <c r="BG16" s="20">
        <f t="shared" si="7"/>
        <v>40.55402499266151</v>
      </c>
      <c r="BH16" s="59">
        <f t="shared" si="8"/>
        <v>313.10958054821708</v>
      </c>
      <c r="BI16" s="59">
        <f ca="1">AVERAGE(OFFSET($BH$3,0,0,'Données projet'!$E$11+1,1))-AVERAGE(OFFSET($H$3,0,0,'Données projet'!$E$11+1,1))</f>
        <v>475.01366239340246</v>
      </c>
      <c r="BJ16" s="59">
        <f t="shared" si="38"/>
        <v>322.81767004794284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2.8</v>
      </c>
      <c r="BY16" s="12">
        <f>IF('Données projet'!$A$114&gt;35,BY15+BX16-CG15,IF(A16&lt;'Données projet'!$A$114,$BV$205^A16,IF(A16='Données projet'!$A$114,'Données projet'!$B$114,BY15+BX16-CG15)))</f>
        <v>9.1085863706396779</v>
      </c>
      <c r="BZ16" s="13">
        <f>BY16*VLOOKUP('Données projet'!$B$12,Paramètres!$A$1:$I$89,3,0)*VLOOKUP('Données projet'!$B$12,Paramètres!$A$1:$I$89,5,0)</f>
        <v>6.1100397374250965</v>
      </c>
      <c r="CA16" s="13">
        <f t="shared" si="39"/>
        <v>2.280870215036523</v>
      </c>
      <c r="CB16" s="20">
        <f t="shared" si="10"/>
        <v>14.614168167203985</v>
      </c>
      <c r="CC16" s="59">
        <f t="shared" si="11"/>
        <v>287.1697237227595</v>
      </c>
      <c r="CD16" s="59">
        <f ca="1">AVERAGE(OFFSET($CC$3,0,0,'Données projet'!$E$12+1,1))-AVERAGE(OFFSET($H$3,0,0,'Données projet'!$E$12+1,1))</f>
        <v>254.8851926268614</v>
      </c>
      <c r="CE16" s="59">
        <f t="shared" si="40"/>
        <v>182.11500693273973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4.5726495726495724</v>
      </c>
      <c r="N17" s="13">
        <f>IF('Données projet'!$A$36&gt;35,N16+M17-V16,IF(A17&lt;'Données projet'!$A$36,$K$205^A17,IF(A17='Données projet'!$A$36,'Données projet'!$B$36,N16+M17-V16)))</f>
        <v>51.741843816858761</v>
      </c>
      <c r="O17" s="13">
        <f>N17*VLOOKUP('Données projet'!$B$9,Paramètres!$A$1:$I$89,3,0)*VLOOKUP('Données projet'!$B$9,Paramètres!$A$1:$I$89,5,0)</f>
        <v>54.080575157380778</v>
      </c>
      <c r="P17" s="13">
        <f t="shared" si="33"/>
        <v>15.662726308557723</v>
      </c>
      <c r="Q17" s="20">
        <f t="shared" si="2"/>
        <v>121.46958338650956</v>
      </c>
      <c r="R17" s="59">
        <f t="shared" si="0"/>
        <v>395.24736116428733</v>
      </c>
      <c r="S17" s="59">
        <f ca="1">AVERAGE(OFFSET($R$3,0,0,'Données projet'!$E$9+1,1))-AVERAGE(OFFSET($H$3,0,0,'Données projet'!$E$9+1,1))</f>
        <v>241.84492910369795</v>
      </c>
      <c r="T17" s="59">
        <f t="shared" si="34"/>
        <v>338.04336767245667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5.5909090909090908</v>
      </c>
      <c r="AI17" s="13">
        <f>IF('Données projet'!$A$62&gt;35,AI16+AH17-AQ16,IF(A17&lt;'Données projet'!$A$62,$AF$205^A17,IF(A17='Données projet'!$A$62,'Données projet'!$B$62,AI16+AH17-AQ16)))</f>
        <v>21.376648512419013</v>
      </c>
      <c r="AJ17" s="13">
        <f>AI17*VLOOKUP('Données projet'!$B$10,Paramètres!$A$1:$I$89,3,0)*VLOOKUP('Données projet'!$B$10,Paramètres!$A$1:$I$89,5,0)</f>
        <v>12.783235810426572</v>
      </c>
      <c r="AK17" s="13">
        <f t="shared" si="35"/>
        <v>4.3790497183898731</v>
      </c>
      <c r="AL17" s="20">
        <f t="shared" si="4"/>
        <v>29.890980629355308</v>
      </c>
      <c r="AM17" s="59">
        <f t="shared" si="5"/>
        <v>303.66875840713305</v>
      </c>
      <c r="AN17" s="59">
        <f ca="1">AVERAGE(OFFSET($AM$3,0,0,'Données projet'!$E$10+1,1))-AVERAGE(OFFSET($H$3,0,0,'Données projet'!$E$10+1,1))</f>
        <v>370.12772664814923</v>
      </c>
      <c r="AO17" s="59">
        <f t="shared" si="36"/>
        <v>292.26503163353146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3.65</v>
      </c>
      <c r="BD17" s="12">
        <f>IF('Données projet'!$A$88&gt;35,BD16+BC17-BL16,IF(A17&lt;'Données projet'!$A$88,$BA$205^A17,IF(A17='Données projet'!$A$88,'Données projet'!$B$88,BD16+BC17-BL16)))</f>
        <v>20.152364144963837</v>
      </c>
      <c r="BE17" s="13">
        <f>BD17*VLOOKUP('Données projet'!$B$11,Paramètres!$A$1:$I$89,3,0)*VLOOKUP('Données projet'!$B$11,Paramètres!$A$1:$I$89,5,0)</f>
        <v>21.692004765639073</v>
      </c>
      <c r="BF17" s="13">
        <f t="shared" si="37"/>
        <v>6.9872530510737043</v>
      </c>
      <c r="BG17" s="20">
        <f t="shared" si="7"/>
        <v>49.949707364108086</v>
      </c>
      <c r="BH17" s="59">
        <f t="shared" si="8"/>
        <v>323.72748514188584</v>
      </c>
      <c r="BI17" s="59">
        <f ca="1">AVERAGE(OFFSET($BH$3,0,0,'Données projet'!$E$11+1,1))-AVERAGE(OFFSET($H$3,0,0,'Données projet'!$E$11+1,1))</f>
        <v>475.01366239340246</v>
      </c>
      <c r="BJ17" s="59">
        <f t="shared" si="38"/>
        <v>322.81767004794284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2.8</v>
      </c>
      <c r="BY17" s="12">
        <f>IF('Données projet'!$A$114&gt;35,BY16+BX17-CG16,IF(A17&lt;'Données projet'!$A$114,$BV$205^A17,IF(A17='Données projet'!$A$114,'Données projet'!$B$114,BY16+BX17-CG16)))</f>
        <v>10.795801791490293</v>
      </c>
      <c r="BZ17" s="13">
        <f>BY17*VLOOKUP('Données projet'!$B$12,Paramètres!$A$1:$I$89,3,0)*VLOOKUP('Données projet'!$B$12,Paramètres!$A$1:$I$89,5,0)</f>
        <v>7.241823841731688</v>
      </c>
      <c r="CA17" s="13">
        <f t="shared" si="39"/>
        <v>2.650414013339836</v>
      </c>
      <c r="CB17" s="20">
        <f t="shared" si="10"/>
        <v>17.228980930916237</v>
      </c>
      <c r="CC17" s="59">
        <f t="shared" si="11"/>
        <v>291.00675870869401</v>
      </c>
      <c r="CD17" s="59">
        <f ca="1">AVERAGE(OFFSET($CC$3,0,0,'Données projet'!$E$12+1,1))-AVERAGE(OFFSET($H$3,0,0,'Données projet'!$E$12+1,1))</f>
        <v>254.8851926268614</v>
      </c>
      <c r="CE17" s="59">
        <f t="shared" si="40"/>
        <v>182.11500693273973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>
        <f>VLOOKUP(A18,'Données projet'!$A$35:$I$55,2,0)</f>
        <v>68.589743589743591</v>
      </c>
      <c r="L18" s="12">
        <f>VLOOKUP(A18,'Données projet'!$A$35:$I$55,9,0)</f>
        <v>4.5726495726495724</v>
      </c>
      <c r="M18" s="12">
        <f t="array" ref="M18">INDEX(L:L,MIN(IF(ISNUMBER(L18:L214),ROW(L18:L214),"")))</f>
        <v>4.5726495726495724</v>
      </c>
      <c r="N18" s="13">
        <f>IF('Données projet'!$A$36&gt;35,N17+M18-V17,IF(A18&lt;'Données projet'!$A$36,$K$205^A18,IF(A18='Données projet'!$A$36,'Données projet'!$B$36,N17+M18-V17)))</f>
        <v>68.589743589743591</v>
      </c>
      <c r="O18" s="13">
        <f>N18*VLOOKUP('Données projet'!$B$9,Paramètres!$A$1:$I$89,3,0)*VLOOKUP('Données projet'!$B$9,Paramètres!$A$1:$I$89,5,0)</f>
        <v>71.690000000000012</v>
      </c>
      <c r="P18" s="13">
        <f t="shared" si="33"/>
        <v>20.092559658349447</v>
      </c>
      <c r="Q18" s="20">
        <f t="shared" si="2"/>
        <v>159.85462473829196</v>
      </c>
      <c r="R18" s="59">
        <f t="shared" si="0"/>
        <v>434.85462473829193</v>
      </c>
      <c r="S18" s="59">
        <f ca="1">AVERAGE(OFFSET($R$3,0,0,'Données projet'!$E$9+1,1))-AVERAGE(OFFSET($H$3,0,0,'Données projet'!$E$9+1,1))</f>
        <v>241.84492910369795</v>
      </c>
      <c r="T18" s="59">
        <f t="shared" si="34"/>
        <v>338.04336767245667</v>
      </c>
      <c r="U18" s="15">
        <f>IF(ISNA(VLOOKUP(A18,'Données projet'!$A$35:$I$55,3,0)),0,VLOOKUP(A18,'Données projet'!$A$35:$I$55,3,0))</f>
        <v>1</v>
      </c>
      <c r="V18" s="15">
        <f>IF(ISNA(VLOOKUP(A18,'Données projet'!$A$35:$I$55,4,0)),0,VLOOKUP(A18,'Données projet'!$A$35:$I$55,4,0))</f>
        <v>21.794871794871796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4.3000000000000003E-2</v>
      </c>
      <c r="Y18" s="16">
        <f>IF(ISNA(VLOOKUP(A18,'Données projet'!$A$35:$I$55,7,0)),0%,VLOOKUP(A18,'Données projet'!$A$35:$I$55,7,0))</f>
        <v>0.5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1.0785888528510033</v>
      </c>
      <c r="AB18" s="21">
        <f>EXP(-LN(2)/2)*AB17+(1-EXP(-LN(2)/2))/(LN(2)/2)*V18*Y18*VLOOKUP('Données projet'!$B$9,Paramètres!$A$1:$I$89,3,0)*0.475*44/12</f>
        <v>10.746771557355373</v>
      </c>
      <c r="AC18" s="22">
        <f t="shared" si="3"/>
        <v>11.825360410206377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5.5909090909090908</v>
      </c>
      <c r="AI18" s="13">
        <f>IF('Données projet'!$A$62&gt;35,AI17+AH18-AQ17,IF(A18&lt;'Données projet'!$A$62,$AF$205^A18,IF(A18='Données projet'!$A$62,'Données projet'!$B$62,AI17+AH18-AQ17)))</f>
        <v>26.603287217402478</v>
      </c>
      <c r="AJ18" s="13">
        <f>AI18*VLOOKUP('Données projet'!$B$10,Paramètres!$A$1:$I$89,3,0)*VLOOKUP('Données projet'!$B$10,Paramètres!$A$1:$I$89,5,0)</f>
        <v>15.908765756006684</v>
      </c>
      <c r="AK18" s="13">
        <f t="shared" si="35"/>
        <v>5.312733913945455</v>
      </c>
      <c r="AL18" s="20">
        <f t="shared" si="4"/>
        <v>36.960778591833304</v>
      </c>
      <c r="AM18" s="59">
        <f t="shared" si="5"/>
        <v>311.96077859183333</v>
      </c>
      <c r="AN18" s="59">
        <f ca="1">AVERAGE(OFFSET($AM$3,0,0,'Données projet'!$E$10+1,1))-AVERAGE(OFFSET($H$3,0,0,'Données projet'!$E$10+1,1))</f>
        <v>370.12772664814923</v>
      </c>
      <c r="AO18" s="59">
        <f t="shared" si="36"/>
        <v>292.26503163353146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3.65</v>
      </c>
      <c r="BD18" s="12">
        <f>IF('Données projet'!$A$88&gt;35,BD17+BC18-BL17,IF(A18&lt;'Données projet'!$A$88,$BA$205^A18,IF(A18='Données projet'!$A$88,'Données projet'!$B$88,BD17+BC18-BL17)))</f>
        <v>24.974232188561476</v>
      </c>
      <c r="BE18" s="13">
        <f>BD18*VLOOKUP('Données projet'!$B$11,Paramètres!$A$1:$I$89,3,0)*VLOOKUP('Données projet'!$B$11,Paramètres!$A$1:$I$89,5,0)</f>
        <v>26.882263527767574</v>
      </c>
      <c r="BF18" s="13">
        <f t="shared" si="37"/>
        <v>8.4455526941763424</v>
      </c>
      <c r="BG18" s="20">
        <f t="shared" si="7"/>
        <v>61.52927991988566</v>
      </c>
      <c r="BH18" s="59">
        <f t="shared" si="8"/>
        <v>336.52927991988565</v>
      </c>
      <c r="BI18" s="59">
        <f ca="1">AVERAGE(OFFSET($BH$3,0,0,'Données projet'!$E$11+1,1))-AVERAGE(OFFSET($H$3,0,0,'Données projet'!$E$11+1,1))</f>
        <v>475.01366239340246</v>
      </c>
      <c r="BJ18" s="59">
        <f t="shared" si="38"/>
        <v>322.81767004794284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2.8</v>
      </c>
      <c r="BY18" s="12">
        <f>IF('Données projet'!$A$114&gt;35,BY17+BX18-CG17,IF(A18&lt;'Données projet'!$A$114,$BV$205^A18,IF(A18='Données projet'!$A$114,'Données projet'!$B$114,BY17+BX18-CG17)))</f>
        <v>12.795546046181913</v>
      </c>
      <c r="BZ18" s="13">
        <f>BY18*VLOOKUP('Données projet'!$B$12,Paramètres!$A$1:$I$89,3,0)*VLOOKUP('Données projet'!$B$12,Paramètres!$A$1:$I$89,5,0)</f>
        <v>8.5832522877788264</v>
      </c>
      <c r="CA18" s="13">
        <f t="shared" si="39"/>
        <v>3.0798308451740164</v>
      </c>
      <c r="CB18" s="20">
        <f t="shared" si="10"/>
        <v>20.313203123226199</v>
      </c>
      <c r="CC18" s="59">
        <f t="shared" si="11"/>
        <v>295.31320312322617</v>
      </c>
      <c r="CD18" s="59">
        <f ca="1">AVERAGE(OFFSET($CC$3,0,0,'Données projet'!$E$12+1,1))-AVERAGE(OFFSET($H$3,0,0,'Données projet'!$E$12+1,1))</f>
        <v>254.8851926268614</v>
      </c>
      <c r="CE18" s="59">
        <f t="shared" si="40"/>
        <v>182.11500693273973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10.384615384615383</v>
      </c>
      <c r="N19" s="13">
        <f>IF('Données projet'!$A$36&gt;35,N18+M19-V18,IF(A19&lt;'Données projet'!$A$36,$K$205^A19,IF(A19='Données projet'!$A$36,'Données projet'!$B$36,N18+M19-V18)))</f>
        <v>57.179487179487182</v>
      </c>
      <c r="O19" s="13">
        <f>N19*VLOOKUP('Données projet'!$B$9,Paramètres!$A$1:$I$89,3,0)*VLOOKUP('Données projet'!$B$9,Paramètres!$A$1:$I$89,5,0)</f>
        <v>59.76400000000001</v>
      </c>
      <c r="P19" s="13">
        <f t="shared" si="33"/>
        <v>17.108587128719051</v>
      </c>
      <c r="Q19" s="20">
        <f t="shared" si="2"/>
        <v>133.88642258251903</v>
      </c>
      <c r="R19" s="59">
        <f t="shared" si="0"/>
        <v>410.10864480474129</v>
      </c>
      <c r="S19" s="59">
        <f ca="1">AVERAGE(OFFSET($R$3,0,0,'Données projet'!$E$9+1,1))-AVERAGE(OFFSET($H$3,0,0,'Données projet'!$E$9+1,1))</f>
        <v>241.84492910369795</v>
      </c>
      <c r="T19" s="59">
        <f t="shared" si="34"/>
        <v>338.04336767245667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1.0490947839492699</v>
      </c>
      <c r="AB19" s="21">
        <f>EXP(-LN(2)/2)*AB18+(1-EXP(-LN(2)/2))/(LN(2)/2)*V19*Y19*VLOOKUP('Données projet'!$B$9,Paramètres!$A$1:$I$89,3,0)*0.475*44/12</f>
        <v>7.5991150440686992</v>
      </c>
      <c r="AC19" s="22">
        <f t="shared" si="3"/>
        <v>8.6482098280179684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5.5909090909090908</v>
      </c>
      <c r="AI19" s="13">
        <f>IF('Données projet'!$A$62&gt;35,AI18+AH19-AQ18,IF(A19&lt;'Données projet'!$A$62,$AF$205^A19,IF(A19='Données projet'!$A$62,'Données projet'!$B$62,AI18+AH19-AQ18)))</f>
        <v>33.107850856996748</v>
      </c>
      <c r="AJ19" s="13">
        <f>AI19*VLOOKUP('Données projet'!$B$10,Paramètres!$A$1:$I$89,3,0)*VLOOKUP('Données projet'!$B$10,Paramètres!$A$1:$I$89,5,0)</f>
        <v>19.798494812484059</v>
      </c>
      <c r="AK19" s="13">
        <f t="shared" si="35"/>
        <v>6.4454946747588586</v>
      </c>
      <c r="AL19" s="20">
        <f t="shared" si="4"/>
        <v>45.70828169028141</v>
      </c>
      <c r="AM19" s="59">
        <f t="shared" si="5"/>
        <v>321.93050391250364</v>
      </c>
      <c r="AN19" s="59">
        <f ca="1">AVERAGE(OFFSET($AM$3,0,0,'Données projet'!$E$10+1,1))-AVERAGE(OFFSET($H$3,0,0,'Données projet'!$E$10+1,1))</f>
        <v>370.12772664814923</v>
      </c>
      <c r="AO19" s="59">
        <f t="shared" si="36"/>
        <v>292.26503163353146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3.65</v>
      </c>
      <c r="BD19" s="12">
        <f>IF('Données projet'!$A$88&gt;35,BD18+BC19-BL18,IF(A19&lt;'Données projet'!$A$88,$BA$205^A19,IF(A19='Données projet'!$A$88,'Données projet'!$B$88,BD18+BC19-BL18)))</f>
        <v>30.949831440200953</v>
      </c>
      <c r="BE19" s="13">
        <f>BD19*VLOOKUP('Données projet'!$B$11,Paramètres!$A$1:$I$89,3,0)*VLOOKUP('Données projet'!$B$11,Paramètres!$A$1:$I$89,5,0)</f>
        <v>33.314398562232306</v>
      </c>
      <c r="BF19" s="13">
        <f t="shared" si="37"/>
        <v>10.208211980979948</v>
      </c>
      <c r="BG19" s="20">
        <f t="shared" si="7"/>
        <v>75.801880029428006</v>
      </c>
      <c r="BH19" s="59">
        <f t="shared" si="8"/>
        <v>352.02410225165022</v>
      </c>
      <c r="BI19" s="59">
        <f ca="1">AVERAGE(OFFSET($BH$3,0,0,'Données projet'!$E$11+1,1))-AVERAGE(OFFSET($H$3,0,0,'Données projet'!$E$11+1,1))</f>
        <v>475.01366239340246</v>
      </c>
      <c r="BJ19" s="59">
        <f t="shared" si="38"/>
        <v>322.81767004794284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2.8</v>
      </c>
      <c r="BY19" s="12">
        <f>IF('Données projet'!$A$114&gt;35,BY18+BX19-CG18,IF(A19&lt;'Données projet'!$A$114,$BV$205^A19,IF(A19='Données projet'!$A$114,'Données projet'!$B$114,BY18+BX19-CG18)))</f>
        <v>15.165709947455436</v>
      </c>
      <c r="BZ19" s="13">
        <f>BY19*VLOOKUP('Données projet'!$B$12,Paramètres!$A$1:$I$89,3,0)*VLOOKUP('Données projet'!$B$12,Paramètres!$A$1:$I$89,5,0)</f>
        <v>10.173158232753108</v>
      </c>
      <c r="CA19" s="13">
        <f t="shared" si="39"/>
        <v>3.5788212660906602</v>
      </c>
      <c r="CB19" s="20">
        <f t="shared" si="10"/>
        <v>23.951364293819562</v>
      </c>
      <c r="CC19" s="59">
        <f t="shared" si="11"/>
        <v>300.17358651604178</v>
      </c>
      <c r="CD19" s="59">
        <f ca="1">AVERAGE(OFFSET($CC$3,0,0,'Données projet'!$E$12+1,1))-AVERAGE(OFFSET($H$3,0,0,'Données projet'!$E$12+1,1))</f>
        <v>254.8851926268614</v>
      </c>
      <c r="CE19" s="59">
        <f t="shared" si="40"/>
        <v>182.11500693273973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10.384615384615383</v>
      </c>
      <c r="N20" s="13">
        <f>IF('Données projet'!$A$36&gt;35,N19+M20-V19,IF(A20&lt;'Données projet'!$A$36,$K$205^A20,IF(A20='Données projet'!$A$36,'Données projet'!$B$36,N19+M20-V19)))</f>
        <v>67.564102564102569</v>
      </c>
      <c r="O20" s="13">
        <f>N20*VLOOKUP('Données projet'!$B$9,Paramètres!$A$1:$I$89,3,0)*VLOOKUP('Données projet'!$B$9,Paramètres!$A$1:$I$89,5,0)</f>
        <v>70.618000000000009</v>
      </c>
      <c r="P20" s="13">
        <f t="shared" si="33"/>
        <v>19.826850153309426</v>
      </c>
      <c r="Q20" s="20">
        <f t="shared" si="2"/>
        <v>157.52478068368058</v>
      </c>
      <c r="R20" s="59">
        <f t="shared" si="0"/>
        <v>434.969225128125</v>
      </c>
      <c r="S20" s="59">
        <f ca="1">AVERAGE(OFFSET($R$3,0,0,'Données projet'!$E$9+1,1))-AVERAGE(OFFSET($H$3,0,0,'Données projet'!$E$9+1,1))</f>
        <v>241.84492910369795</v>
      </c>
      <c r="T20" s="59">
        <f t="shared" si="34"/>
        <v>338.04336767245667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1.0204072319126802</v>
      </c>
      <c r="AB20" s="21">
        <f>EXP(-LN(2)/2)*AB19+(1-EXP(-LN(2)/2))/(LN(2)/2)*V20*Y20*VLOOKUP('Données projet'!$B$9,Paramètres!$A$1:$I$89,3,0)*0.475*44/12</f>
        <v>5.3733857786776875</v>
      </c>
      <c r="AC20" s="22">
        <f t="shared" si="3"/>
        <v>6.3937930105903682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5.5909090909090908</v>
      </c>
      <c r="AI20" s="13">
        <f>IF('Données projet'!$A$62&gt;35,AI19+AH20-AQ19,IF(A20&lt;'Données projet'!$A$62,$AF$205^A20,IF(A20='Données projet'!$A$62,'Données projet'!$B$62,AI19+AH20-AQ19)))</f>
        <v>41.202794955809431</v>
      </c>
      <c r="AJ20" s="13">
        <f>AI20*VLOOKUP('Données projet'!$B$10,Paramètres!$A$1:$I$89,3,0)*VLOOKUP('Données projet'!$B$10,Paramètres!$A$1:$I$89,5,0)</f>
        <v>24.639271383574041</v>
      </c>
      <c r="AK20" s="13">
        <f t="shared" si="35"/>
        <v>7.8197783429910519</v>
      </c>
      <c r="AL20" s="20">
        <f t="shared" si="4"/>
        <v>56.532844940434195</v>
      </c>
      <c r="AM20" s="59">
        <f t="shared" si="5"/>
        <v>333.97728938487865</v>
      </c>
      <c r="AN20" s="59">
        <f ca="1">AVERAGE(OFFSET($AM$3,0,0,'Données projet'!$E$10+1,1))-AVERAGE(OFFSET($H$3,0,0,'Données projet'!$E$10+1,1))</f>
        <v>370.12772664814923</v>
      </c>
      <c r="AO20" s="59">
        <f t="shared" si="36"/>
        <v>292.26503163353146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3.65</v>
      </c>
      <c r="BD20" s="12">
        <f>IF('Données projet'!$A$88&gt;35,BD19+BC20-BL19,IF(A20&lt;'Données projet'!$A$88,$BA$205^A20,IF(A20='Données projet'!$A$88,'Données projet'!$B$88,BD19+BC20-BL19)))</f>
        <v>38.355215845858055</v>
      </c>
      <c r="BE20" s="13">
        <f>BD20*VLOOKUP('Données projet'!$B$11,Paramètres!$A$1:$I$89,3,0)*VLOOKUP('Données projet'!$B$11,Paramètres!$A$1:$I$89,5,0)</f>
        <v>41.28555433648161</v>
      </c>
      <c r="BF20" s="13">
        <f t="shared" si="37"/>
        <v>12.338753379690502</v>
      </c>
      <c r="BG20" s="20">
        <f t="shared" si="7"/>
        <v>93.39566927233308</v>
      </c>
      <c r="BH20" s="59">
        <f t="shared" si="8"/>
        <v>370.84011371677752</v>
      </c>
      <c r="BI20" s="59">
        <f ca="1">AVERAGE(OFFSET($BH$3,0,0,'Données projet'!$E$11+1,1))-AVERAGE(OFFSET($H$3,0,0,'Données projet'!$E$11+1,1))</f>
        <v>475.01366239340246</v>
      </c>
      <c r="BJ20" s="59">
        <f t="shared" si="38"/>
        <v>322.81767004794284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2.8</v>
      </c>
      <c r="BY20" s="12">
        <f>IF('Données projet'!$A$114&gt;35,BY19+BX20-CG19,IF(A20&lt;'Données projet'!$A$114,$BV$205^A20,IF(A20='Données projet'!$A$114,'Données projet'!$B$114,BY19+BX20-CG19)))</f>
        <v>17.974907626468866</v>
      </c>
      <c r="BZ20" s="13">
        <f>BY20*VLOOKUP('Données projet'!$B$12,Paramètres!$A$1:$I$89,3,0)*VLOOKUP('Données projet'!$B$12,Paramètres!$A$1:$I$89,5,0)</f>
        <v>12.057568035835315</v>
      </c>
      <c r="CA20" s="13">
        <f t="shared" si="39"/>
        <v>4.158657503769196</v>
      </c>
      <c r="CB20" s="20">
        <f t="shared" si="10"/>
        <v>28.243259481477853</v>
      </c>
      <c r="CC20" s="59">
        <f t="shared" si="11"/>
        <v>305.68770392592234</v>
      </c>
      <c r="CD20" s="59">
        <f ca="1">AVERAGE(OFFSET($CC$3,0,0,'Données projet'!$E$12+1,1))-AVERAGE(OFFSET($H$3,0,0,'Données projet'!$E$12+1,1))</f>
        <v>254.8851926268614</v>
      </c>
      <c r="CE20" s="59">
        <f t="shared" si="40"/>
        <v>182.11500693273973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10.384615384615383</v>
      </c>
      <c r="N21" s="13">
        <f>IF('Données projet'!$A$36&gt;35,N20+M21-V20,IF(A21&lt;'Données projet'!$A$36,$K$205^A21,IF(A21='Données projet'!$A$36,'Données projet'!$B$36,N20+M21-V20)))</f>
        <v>77.948717948717956</v>
      </c>
      <c r="O21" s="13">
        <f>N21*VLOOKUP('Données projet'!$B$9,Paramètres!$A$1:$I$89,3,0)*VLOOKUP('Données projet'!$B$9,Paramètres!$A$1:$I$89,5,0)</f>
        <v>81.472000000000008</v>
      </c>
      <c r="P21" s="13">
        <f t="shared" si="33"/>
        <v>22.496712972640619</v>
      </c>
      <c r="Q21" s="20">
        <f t="shared" si="2"/>
        <v>181.07884176068242</v>
      </c>
      <c r="R21" s="59">
        <f t="shared" si="0"/>
        <v>459.74550842734914</v>
      </c>
      <c r="S21" s="59">
        <f ca="1">AVERAGE(OFFSET($R$3,0,0,'Données projet'!$E$9+1,1))-AVERAGE(OFFSET($H$3,0,0,'Données projet'!$E$9+1,1))</f>
        <v>241.84492910369795</v>
      </c>
      <c r="T21" s="59">
        <f t="shared" si="34"/>
        <v>338.04336767245667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0.99250414249514385</v>
      </c>
      <c r="AB21" s="21">
        <f>EXP(-LN(2)/2)*AB20+(1-EXP(-LN(2)/2))/(LN(2)/2)*V21*Y21*VLOOKUP('Données projet'!$B$9,Paramètres!$A$1:$I$89,3,0)*0.475*44/12</f>
        <v>3.79955752203435</v>
      </c>
      <c r="AC21" s="22">
        <f t="shared" si="3"/>
        <v>4.792061664529494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5.5909090909090908</v>
      </c>
      <c r="AI21" s="13">
        <f>IF('Données projet'!$A$62&gt;35,AI20+AH21-AQ20,IF(A21&lt;'Données projet'!$A$62,$AF$205^A21,IF(A21='Données projet'!$A$62,'Données projet'!$B$62,AI20+AH21-AQ20)))</f>
        <v>51.276971117915458</v>
      </c>
      <c r="AJ21" s="13">
        <f>AI21*VLOOKUP('Données projet'!$B$10,Paramètres!$A$1:$I$89,3,0)*VLOOKUP('Données projet'!$B$10,Paramètres!$A$1:$I$89,5,0)</f>
        <v>30.663628728513448</v>
      </c>
      <c r="AK21" s="13">
        <f t="shared" si="35"/>
        <v>9.4870815071768995</v>
      </c>
      <c r="AL21" s="20">
        <f t="shared" si="4"/>
        <v>69.929153660494023</v>
      </c>
      <c r="AM21" s="59">
        <f t="shared" si="5"/>
        <v>348.59582032716071</v>
      </c>
      <c r="AN21" s="59">
        <f ca="1">AVERAGE(OFFSET($AM$3,0,0,'Données projet'!$E$10+1,1))-AVERAGE(OFFSET($H$3,0,0,'Données projet'!$E$10+1,1))</f>
        <v>370.12772664814923</v>
      </c>
      <c r="AO21" s="59">
        <f t="shared" si="36"/>
        <v>292.26503163353146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3.65</v>
      </c>
      <c r="BD21" s="12">
        <f>IF('Données projet'!$A$88&gt;35,BD20+BC21-BL20,IF(A21&lt;'Données projet'!$A$88,$BA$205^A21,IF(A21='Données projet'!$A$88,'Données projet'!$B$88,BD20+BC21-BL20)))</f>
        <v>47.532490941824946</v>
      </c>
      <c r="BE21" s="13">
        <f>BD21*VLOOKUP('Données projet'!$B$11,Paramètres!$A$1:$I$89,3,0)*VLOOKUP('Données projet'!$B$11,Paramètres!$A$1:$I$89,5,0)</f>
        <v>51.163973249780369</v>
      </c>
      <c r="BF21" s="13">
        <f t="shared" si="37"/>
        <v>14.913957042476</v>
      </c>
      <c r="BG21" s="20">
        <f t="shared" si="7"/>
        <v>115.08572859234651</v>
      </c>
      <c r="BH21" s="59">
        <f t="shared" si="8"/>
        <v>393.75239525901321</v>
      </c>
      <c r="BI21" s="59">
        <f ca="1">AVERAGE(OFFSET($BH$3,0,0,'Données projet'!$E$11+1,1))-AVERAGE(OFFSET($H$3,0,0,'Données projet'!$E$11+1,1))</f>
        <v>475.01366239340246</v>
      </c>
      <c r="BJ21" s="59">
        <f t="shared" si="38"/>
        <v>322.81767004794284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2.8</v>
      </c>
      <c r="BY21" s="12">
        <f>IF('Données projet'!$A$114&gt;35,BY20+BX21-CG20,IF(A21&lt;'Données projet'!$A$114,$BV$205^A21,IF(A21='Données projet'!$A$114,'Données projet'!$B$114,BY20+BX21-CG20)))</f>
        <v>21.304462850702166</v>
      </c>
      <c r="BZ21" s="13">
        <f>BY21*VLOOKUP('Données projet'!$B$12,Paramètres!$A$1:$I$89,3,0)*VLOOKUP('Données projet'!$B$12,Paramètres!$A$1:$I$89,5,0)</f>
        <v>14.291033680251013</v>
      </c>
      <c r="CA21" s="13">
        <f t="shared" si="39"/>
        <v>4.8324380984098401</v>
      </c>
      <c r="CB21" s="20">
        <f t="shared" si="10"/>
        <v>33.306713347834318</v>
      </c>
      <c r="CC21" s="59">
        <f t="shared" si="11"/>
        <v>311.973380014501</v>
      </c>
      <c r="CD21" s="59">
        <f ca="1">AVERAGE(OFFSET($CC$3,0,0,'Données projet'!$E$12+1,1))-AVERAGE(OFFSET($H$3,0,0,'Données projet'!$E$12+1,1))</f>
        <v>254.8851926268614</v>
      </c>
      <c r="CE21" s="59">
        <f t="shared" si="40"/>
        <v>182.11500693273973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10.384615384615383</v>
      </c>
      <c r="N22" s="13">
        <f>IF('Données projet'!$A$36&gt;35,N21+M22-V21,IF(A22&lt;'Données projet'!$A$36,$K$205^A22,IF(A22='Données projet'!$A$36,'Données projet'!$B$36,N21+M22-V21)))</f>
        <v>88.333333333333343</v>
      </c>
      <c r="O22" s="13">
        <f>N22*VLOOKUP('Données projet'!$B$9,Paramètres!$A$1:$I$89,3,0)*VLOOKUP('Données projet'!$B$9,Paramètres!$A$1:$I$89,5,0)</f>
        <v>92.326000000000022</v>
      </c>
      <c r="P22" s="13">
        <f t="shared" si="33"/>
        <v>25.125364400980533</v>
      </c>
      <c r="Q22" s="20">
        <f t="shared" si="2"/>
        <v>204.56112633170778</v>
      </c>
      <c r="R22" s="59">
        <f t="shared" si="0"/>
        <v>484.45001522059664</v>
      </c>
      <c r="S22" s="59">
        <f ca="1">AVERAGE(OFFSET($R$3,0,0,'Données projet'!$E$9+1,1))-AVERAGE(OFFSET($H$3,0,0,'Données projet'!$E$9+1,1))</f>
        <v>241.84492910369795</v>
      </c>
      <c r="T22" s="59">
        <f t="shared" si="34"/>
        <v>338.04336767245667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0.96536406452508972</v>
      </c>
      <c r="AB22" s="21">
        <f>EXP(-LN(2)/2)*AB21+(1-EXP(-LN(2)/2))/(LN(2)/2)*V22*Y22*VLOOKUP('Données projet'!$B$9,Paramètres!$A$1:$I$89,3,0)*0.475*44/12</f>
        <v>2.6866928893388442</v>
      </c>
      <c r="AC22" s="22">
        <f t="shared" si="3"/>
        <v>3.652056953863934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5.5909090909090908</v>
      </c>
      <c r="AI22" s="13">
        <f>IF('Données projet'!$A$62&gt;35,AI21+AH22-AQ21,IF(A22&lt;'Données projet'!$A$62,$AF$205^A22,IF(A22='Données projet'!$A$62,'Données projet'!$B$62,AI21+AH22-AQ21)))</f>
        <v>63.814306040343304</v>
      </c>
      <c r="AJ22" s="13">
        <f>AI22*VLOOKUP('Données projet'!$B$10,Paramètres!$A$1:$I$89,3,0)*VLOOKUP('Données projet'!$B$10,Paramètres!$A$1:$I$89,5,0)</f>
        <v>38.160955012125299</v>
      </c>
      <c r="AK22" s="13">
        <f t="shared" si="35"/>
        <v>11.509880661066306</v>
      </c>
      <c r="AL22" s="20">
        <f t="shared" si="4"/>
        <v>86.510038797475374</v>
      </c>
      <c r="AM22" s="59">
        <f t="shared" si="5"/>
        <v>366.39892768636423</v>
      </c>
      <c r="AN22" s="59">
        <f ca="1">AVERAGE(OFFSET($AM$3,0,0,'Données projet'!$E$10+1,1))-AVERAGE(OFFSET($H$3,0,0,'Données projet'!$E$10+1,1))</f>
        <v>370.12772664814923</v>
      </c>
      <c r="AO22" s="59">
        <f t="shared" si="36"/>
        <v>292.26503163353146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3.65</v>
      </c>
      <c r="BD22" s="12">
        <f>IF('Données projet'!$A$88&gt;35,BD21+BC22-BL21,IF(A22&lt;'Données projet'!$A$88,$BA$205^A22,IF(A22='Données projet'!$A$88,'Données projet'!$B$88,BD21+BC22-BL21)))</f>
        <v>58.90561805764559</v>
      </c>
      <c r="BE22" s="13">
        <f>BD22*VLOOKUP('Données projet'!$B$11,Paramètres!$A$1:$I$89,3,0)*VLOOKUP('Données projet'!$B$11,Paramètres!$A$1:$I$89,5,0)</f>
        <v>63.406007277249707</v>
      </c>
      <c r="BF22" s="13">
        <f t="shared" si="37"/>
        <v>18.026627797823672</v>
      </c>
      <c r="BG22" s="20">
        <f t="shared" si="7"/>
        <v>141.82850608908612</v>
      </c>
      <c r="BH22" s="59">
        <f t="shared" si="8"/>
        <v>421.717394977975</v>
      </c>
      <c r="BI22" s="59">
        <f ca="1">AVERAGE(OFFSET($BH$3,0,0,'Données projet'!$E$11+1,1))-AVERAGE(OFFSET($H$3,0,0,'Données projet'!$E$11+1,1))</f>
        <v>475.01366239340246</v>
      </c>
      <c r="BJ22" s="59">
        <f t="shared" si="38"/>
        <v>322.81767004794284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2.8</v>
      </c>
      <c r="BY22" s="12">
        <f>IF('Données projet'!$A$114&gt;35,BY21+BX22-CG21,IF(A22&lt;'Données projet'!$A$114,$BV$205^A22,IF(A22='Données projet'!$A$114,'Données projet'!$B$114,BY21+BX22-CG21)))</f>
        <v>25.250763274498809</v>
      </c>
      <c r="BZ22" s="13">
        <f>BY22*VLOOKUP('Données projet'!$B$12,Paramètres!$A$1:$I$89,3,0)*VLOOKUP('Données projet'!$B$12,Paramètres!$A$1:$I$89,5,0)</f>
        <v>16.938212004533799</v>
      </c>
      <c r="CA22" s="13">
        <f t="shared" si="39"/>
        <v>5.6153837996510729</v>
      </c>
      <c r="CB22" s="20">
        <f t="shared" si="10"/>
        <v>39.280846025621983</v>
      </c>
      <c r="CC22" s="59">
        <f t="shared" si="11"/>
        <v>319.16973491451085</v>
      </c>
      <c r="CD22" s="59">
        <f ca="1">AVERAGE(OFFSET($CC$3,0,0,'Données projet'!$E$12+1,1))-AVERAGE(OFFSET($H$3,0,0,'Données projet'!$E$12+1,1))</f>
        <v>254.8851926268614</v>
      </c>
      <c r="CE22" s="59">
        <f t="shared" si="40"/>
        <v>182.11500693273973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98.717948717948715</v>
      </c>
      <c r="L23" s="12">
        <f>VLOOKUP(A23,'Données projet'!$A$35:$I$55,9,0)</f>
        <v>10.384615384615383</v>
      </c>
      <c r="M23" s="12">
        <f t="array" ref="M23">INDEX(L:L,MIN(IF(ISNUMBER(L23:L219),ROW(L23:L219),"")))</f>
        <v>10.384615384615383</v>
      </c>
      <c r="N23" s="13">
        <f>IF('Données projet'!$A$36&gt;35,N22+M23-V22,IF(A23&lt;'Données projet'!$A$36,$K$205^A23,IF(A23='Données projet'!$A$36,'Données projet'!$B$36,N22+M23-V22)))</f>
        <v>98.71794871794873</v>
      </c>
      <c r="O23" s="13">
        <f>N23*VLOOKUP('Données projet'!$B$9,Paramètres!$A$1:$I$89,3,0)*VLOOKUP('Données projet'!$B$9,Paramètres!$A$1:$I$89,5,0)</f>
        <v>103.18000000000002</v>
      </c>
      <c r="P23" s="13">
        <f t="shared" si="33"/>
        <v>27.718202896526229</v>
      </c>
      <c r="Q23" s="20">
        <f t="shared" si="2"/>
        <v>227.98103671144986</v>
      </c>
      <c r="R23" s="59">
        <f t="shared" si="0"/>
        <v>509.092147822561</v>
      </c>
      <c r="S23" s="59">
        <f ca="1">AVERAGE(OFFSET($R$3,0,0,'Données projet'!$E$9+1,1))-AVERAGE(OFFSET($H$3,0,0,'Données projet'!$E$9+1,1))</f>
        <v>241.84492910369795</v>
      </c>
      <c r="T23" s="59">
        <f t="shared" si="34"/>
        <v>338.04336767245667</v>
      </c>
      <c r="U23" s="15">
        <f>IF(ISNA(VLOOKUP(A23,'Données projet'!$A$35:$I$55,3,0)),0,VLOOKUP(A23,'Données projet'!$A$35:$I$55,3,0))</f>
        <v>2</v>
      </c>
      <c r="V23" s="15">
        <f>IF(ISNA(VLOOKUP(A23,'Données projet'!$A$35:$I$55,4,0)),0,VLOOKUP(A23,'Données projet'!$A$35:$I$55,4,0))</f>
        <v>32.051282051282051</v>
      </c>
      <c r="W23" s="16">
        <f>IF(ISNA(VLOOKUP(A23,'Données projet'!$A$35:$I$55,5,0)),0%,VLOOKUP(A23,'Données projet'!$A$35:$I$55,5,0)*VLOOKUP('Données projet'!$B$9,Paramètres!$A$1:$I$89,7,0))</f>
        <v>4.3000000000000003E-2</v>
      </c>
      <c r="X23" s="16">
        <f>IF(ISNA(VLOOKUP(A23,'Données projet'!$A$35:$I$55,6,0)),0%,VLOOKUP(A23,'Données projet'!$A$35:$I$55,6,0)*VLOOKUP('Données projet'!$B$9,Paramètres!$A$1:$I$89,7,0))</f>
        <v>8.6000000000000007E-2</v>
      </c>
      <c r="Y23" s="16">
        <f>IF(ISNA(VLOOKUP(A23,'Données projet'!$A$35:$I$55,7,0)),0%,VLOOKUP(A23,'Données projet'!$A$35:$I$55,7,0))</f>
        <v>0.4</v>
      </c>
      <c r="Z23" s="21">
        <f>EXP(-LN(2)/35)*Z22+(1-EXP(-LN(2)/35))/(LN(2)/35)*V23*W23*VLOOKUP('Données projet'!$B$9,Paramètres!$A$1:$I$89,3,0)*0.475*44/12</f>
        <v>1.5924300817172148</v>
      </c>
      <c r="AA23" s="21">
        <f>EXP(-LN(2)/25)*AA22+(1-EXP(-LN(2)/25))/(LN(2)/25)*Calculateur!V23*Calculateur!X23*VLOOKUP('Données projet'!$B$9,Paramètres!$A$1:$I$89,3,0)*0.475*44/12</f>
        <v>4.1112862888584889</v>
      </c>
      <c r="AB23" s="21">
        <f>EXP(-LN(2)/2)*AB22+(1-EXP(-LN(2)/2))/(LN(2)/2)*V23*Y23*VLOOKUP('Données projet'!$B$9,Paramètres!$A$1:$I$89,3,0)*0.475*44/12</f>
        <v>14.54303941672938</v>
      </c>
      <c r="AC23" s="22">
        <f t="shared" si="3"/>
        <v>20.246755787305084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5.5909090909090908</v>
      </c>
      <c r="AI23" s="13">
        <f>IF('Données projet'!$A$62&gt;35,AI22+AH23-AQ22,IF(A23&lt;'Données projet'!$A$62,$AF$205^A23,IF(A23='Données projet'!$A$62,'Données projet'!$B$62,AI22+AH23-AQ22)))</f>
        <v>79.417047587426694</v>
      </c>
      <c r="AJ23" s="13">
        <f>AI23*VLOOKUP('Données projet'!$B$10,Paramètres!$A$1:$I$89,3,0)*VLOOKUP('Données projet'!$B$10,Paramètres!$A$1:$I$89,5,0)</f>
        <v>47.49139445728116</v>
      </c>
      <c r="AK23" s="13">
        <f t="shared" si="35"/>
        <v>13.96397329692701</v>
      </c>
      <c r="AL23" s="20">
        <f t="shared" si="4"/>
        <v>107.03476550524589</v>
      </c>
      <c r="AM23" s="59">
        <f t="shared" si="5"/>
        <v>388.14587661635704</v>
      </c>
      <c r="AN23" s="59">
        <f ca="1">AVERAGE(OFFSET($AM$3,0,0,'Données projet'!$E$10+1,1))-AVERAGE(OFFSET($H$3,0,0,'Données projet'!$E$10+1,1))</f>
        <v>370.12772664814923</v>
      </c>
      <c r="AO23" s="59">
        <f t="shared" si="36"/>
        <v>292.26503163353146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73</v>
      </c>
      <c r="BB23" s="12">
        <f>VLOOKUP(A23,'Données projet'!$A$87:$I$107,9,0)</f>
        <v>3.65</v>
      </c>
      <c r="BC23" s="12">
        <f t="array" ref="BC23">INDEX(BB:BB,MIN(IF(ISNUMBER(BB23:BB219),ROW(BB23:BB219),"")))</f>
        <v>3.65</v>
      </c>
      <c r="BD23" s="12">
        <f>IF('Données projet'!$A$88&gt;35,BD22+BC23-BL22,IF(A23&lt;'Données projet'!$A$88,$BA$205^A23,IF(A23='Données projet'!$A$88,'Données projet'!$B$88,BD22+BC23-BL22)))</f>
        <v>73</v>
      </c>
      <c r="BE23" s="13">
        <f>BD23*VLOOKUP('Données projet'!$B$11,Paramètres!$A$1:$I$89,3,0)*VLOOKUP('Données projet'!$B$11,Paramètres!$A$1:$I$89,5,0)</f>
        <v>78.577200000000005</v>
      </c>
      <c r="BF23" s="13">
        <f t="shared" si="37"/>
        <v>21.788939637935243</v>
      </c>
      <c r="BG23" s="20">
        <f t="shared" si="7"/>
        <v>174.8043598694039</v>
      </c>
      <c r="BH23" s="59">
        <f t="shared" si="8"/>
        <v>455.91547098051501</v>
      </c>
      <c r="BI23" s="59">
        <f ca="1">AVERAGE(OFFSET($BH$3,0,0,'Données projet'!$E$11+1,1))-AVERAGE(OFFSET($H$3,0,0,'Données projet'!$E$11+1,1))</f>
        <v>475.01366239340246</v>
      </c>
      <c r="BJ23" s="59">
        <f t="shared" si="38"/>
        <v>322.81767004794284</v>
      </c>
      <c r="BK23" s="15">
        <f>IF(ISNA(VLOOKUP(A23,'Données projet'!$A$87:$I$107,3,0)),0,VLOOKUP(A23,'Données projet'!$A$87:$I$107,3,0))</f>
        <v>1</v>
      </c>
      <c r="BL23" s="15">
        <f>IF(ISNA(VLOOKUP(A23,'Données projet'!$A$87:$I$107,4,0)),0,VLOOKUP(A23,'Données projet'!$A$87:$I$107,4,0))</f>
        <v>6</v>
      </c>
      <c r="BM23" s="16">
        <f>IF(ISNA(VLOOKUP(A23,'Données projet'!$A$87:$I$107,5,0)),0%,VLOOKUP(A23,'Données projet'!$A$87:$I$107,5,0)*VLOOKUP('Données projet'!$B$11,Paramètres!$A$1:$I$89,7,0))</f>
        <v>8.6000000000000007E-2</v>
      </c>
      <c r="BN23" s="16">
        <f>IF(ISNA(VLOOKUP(A23,'Données projet'!$A$87:$I$107,6,0)),0%,VLOOKUP(A23,'Données projet'!$A$87:$I$107,6,0)*VLOOKUP('Données projet'!$B$11,Paramètres!$A$1:$I$89,7,0))</f>
        <v>8.6000000000000007E-2</v>
      </c>
      <c r="BO23" s="16">
        <f>IF(ISNA(VLOOKUP(A23,'Données projet'!$A$87:$I$107,7,0)),0%,VLOOKUP(A23,'Données projet'!$A$87:$I$107,7,0))</f>
        <v>0.6</v>
      </c>
      <c r="BP23" s="21">
        <f>EXP(-LN(2)/35)*BP22+(1-EXP(-LN(2)/35))/(LN(2)/35)*BL23*BM23*VLOOKUP('Données projet'!$B$11,Paramètres!$A$1:$I$89,3,0)*0.475*44/12</f>
        <v>0.61400301132910218</v>
      </c>
      <c r="BQ23" s="21">
        <f>EXP(-LN(2)/25)*BQ22+(1-EXP(-LN(2)/25))/(LN(2)/25)*Calculateur!BL23*Calculateur!BN23*VLOOKUP('Données projet'!$B$11,Paramètres!$A$1:$I$89,3,0)*0.475*44/12</f>
        <v>0.61158544752001032</v>
      </c>
      <c r="BR23" s="21">
        <f>EXP(-LN(2)/2)*BR22+(1-EXP(-LN(2)/2))/(LN(2)/2)*BL23*BO23*VLOOKUP('Données projet'!$B$11,Paramètres!$A$1:$I$89,3,0)*0.475*44/12</f>
        <v>3.656204535172463</v>
      </c>
      <c r="BS23" s="22">
        <f t="shared" si="9"/>
        <v>4.8817929940215752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2.8</v>
      </c>
      <c r="BY23" s="12">
        <f>IF('Données projet'!$A$114&gt;35,BY22+BX23-CG22,IF(A23&lt;'Données projet'!$A$114,$BV$205^A23,IF(A23='Données projet'!$A$114,'Données projet'!$B$114,BY22+BX23-CG22)))</f>
        <v>29.92805077569761</v>
      </c>
      <c r="BZ23" s="13">
        <f>BY23*VLOOKUP('Données projet'!$B$12,Paramètres!$A$1:$I$89,3,0)*VLOOKUP('Données projet'!$B$12,Paramètres!$A$1:$I$89,5,0)</f>
        <v>20.075736460337957</v>
      </c>
      <c r="CA23" s="13">
        <f t="shared" si="39"/>
        <v>6.5251814043432423</v>
      </c>
      <c r="CB23" s="20">
        <f t="shared" si="10"/>
        <v>46.329931947653087</v>
      </c>
      <c r="CC23" s="59">
        <f t="shared" si="11"/>
        <v>327.44104305876425</v>
      </c>
      <c r="CD23" s="59">
        <f ca="1">AVERAGE(OFFSET($CC$3,0,0,'Données projet'!$E$12+1,1))-AVERAGE(OFFSET($H$3,0,0,'Données projet'!$E$12+1,1))</f>
        <v>254.8851926268614</v>
      </c>
      <c r="CE23" s="59">
        <f t="shared" si="40"/>
        <v>182.11500693273973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10.12820512820513</v>
      </c>
      <c r="N24" s="13">
        <f>IF('Données projet'!$A$36&gt;35,N23+M24-V23,IF(A24&lt;'Données projet'!$A$36,$K$205^A24,IF(A24='Données projet'!$A$36,'Données projet'!$B$36,N23+M24-V23)))</f>
        <v>76.794871794871796</v>
      </c>
      <c r="O24" s="13">
        <f>N24*VLOOKUP('Données projet'!$B$9,Paramètres!$A$1:$I$89,3,0)*VLOOKUP('Données projet'!$B$9,Paramètres!$A$1:$I$89,5,0)</f>
        <v>80.266000000000005</v>
      </c>
      <c r="P24" s="13">
        <f t="shared" si="33"/>
        <v>22.202209941158909</v>
      </c>
      <c r="Q24" s="20">
        <f t="shared" si="2"/>
        <v>178.46546564751847</v>
      </c>
      <c r="R24" s="59">
        <f t="shared" si="0"/>
        <v>460.79879898085176</v>
      </c>
      <c r="S24" s="59">
        <f ca="1">AVERAGE(OFFSET($R$3,0,0,'Données projet'!$E$9+1,1))-AVERAGE(OFFSET($H$3,0,0,'Données projet'!$E$9+1,1))</f>
        <v>241.84492910369795</v>
      </c>
      <c r="T24" s="59">
        <f t="shared" si="34"/>
        <v>338.04336767245667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1.5612034991011834</v>
      </c>
      <c r="AA24" s="21">
        <f>EXP(-LN(2)/25)*AA23+(1-EXP(-LN(2)/25))/(LN(2)/25)*Calculateur!V24*Calculateur!X24*VLOOKUP('Données projet'!$B$9,Paramètres!$A$1:$I$89,3,0)*0.475*44/12</f>
        <v>3.998862949086504</v>
      </c>
      <c r="AB24" s="21">
        <f>EXP(-LN(2)/2)*AB23+(1-EXP(-LN(2)/2))/(LN(2)/2)*V24*Y24*VLOOKUP('Données projet'!$B$9,Paramètres!$A$1:$I$89,3,0)*0.475*44/12</f>
        <v>10.283481790632598</v>
      </c>
      <c r="AC24" s="22">
        <f t="shared" si="3"/>
        <v>15.843548238820285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5.5909090909090908</v>
      </c>
      <c r="AI24" s="13">
        <f>IF('Données projet'!$A$62&gt;35,AI23+AH24-AQ23,IF(A24&lt;'Données projet'!$A$62,$AF$205^A24,IF(A24='Données projet'!$A$62,'Données projet'!$B$62,AI23+AH24-AQ23)))</f>
        <v>98.834694582689295</v>
      </c>
      <c r="AJ24" s="13">
        <f>AI24*VLOOKUP('Données projet'!$B$10,Paramètres!$A$1:$I$89,3,0)*VLOOKUP('Données projet'!$B$10,Paramètres!$A$1:$I$89,5,0)</f>
        <v>59.103147360448204</v>
      </c>
      <c r="AK24" s="13">
        <f t="shared" si="35"/>
        <v>16.94131815778756</v>
      </c>
      <c r="AL24" s="20">
        <f t="shared" si="4"/>
        <v>132.44411077759398</v>
      </c>
      <c r="AM24" s="59">
        <f t="shared" si="5"/>
        <v>414.77744411092726</v>
      </c>
      <c r="AN24" s="59">
        <f ca="1">AVERAGE(OFFSET($AM$3,0,0,'Données projet'!$E$10+1,1))-AVERAGE(OFFSET($H$3,0,0,'Données projet'!$E$10+1,1))</f>
        <v>370.12772664814923</v>
      </c>
      <c r="AO24" s="59">
        <f t="shared" si="36"/>
        <v>292.26503163353146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7.2</v>
      </c>
      <c r="BD24" s="12">
        <f>IF('Données projet'!$A$88&gt;35,BD23+BC24-BL23,IF(A24&lt;'Données projet'!$A$88,$BA$205^A24,IF(A24='Données projet'!$A$88,'Données projet'!$B$88,BD23+BC24-BL23)))</f>
        <v>74.2</v>
      </c>
      <c r="BE24" s="13">
        <f>BD24*VLOOKUP('Données projet'!$B$11,Paramètres!$A$1:$I$89,3,0)*VLOOKUP('Données projet'!$B$11,Paramètres!$A$1:$I$89,5,0)</f>
        <v>79.868880000000004</v>
      </c>
      <c r="BF24" s="13">
        <f t="shared" si="37"/>
        <v>22.105121546989441</v>
      </c>
      <c r="BG24" s="20">
        <f t="shared" si="7"/>
        <v>177.6047193610066</v>
      </c>
      <c r="BH24" s="59">
        <f t="shared" si="8"/>
        <v>459.93805269433994</v>
      </c>
      <c r="BI24" s="59">
        <f ca="1">AVERAGE(OFFSET($BH$3,0,0,'Données projet'!$E$11+1,1))-AVERAGE(OFFSET($H$3,0,0,'Données projet'!$E$11+1,1))</f>
        <v>475.01366239340246</v>
      </c>
      <c r="BJ24" s="59">
        <f t="shared" si="38"/>
        <v>322.81767004794284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0.60196278678179616</v>
      </c>
      <c r="BQ24" s="21">
        <f>EXP(-LN(2)/25)*BQ23+(1-EXP(-LN(2)/25))/(LN(2)/25)*Calculateur!BL24*Calculateur!BN24*VLOOKUP('Données projet'!$B$11,Paramètres!$A$1:$I$89,3,0)*0.475*44/12</f>
        <v>0.5948616112956947</v>
      </c>
      <c r="BR24" s="21">
        <f>EXP(-LN(2)/2)*BR23+(1-EXP(-LN(2)/2))/(LN(2)/2)*BL24*BO24*VLOOKUP('Données projet'!$B$11,Paramètres!$A$1:$I$89,3,0)*0.475*44/12</f>
        <v>2.5853270202254577</v>
      </c>
      <c r="BS24" s="22">
        <f t="shared" si="9"/>
        <v>3.7821514183029485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2.8</v>
      </c>
      <c r="BY24" s="12">
        <f>IF('Données projet'!$A$114&gt;35,BY23+BX24-CG23,IF(A24&lt;'Données projet'!$A$114,$BV$205^A24,IF(A24='Données projet'!$A$114,'Données projet'!$B$114,BY23+BX24-CG23)))</f>
        <v>35.471728656111772</v>
      </c>
      <c r="BZ24" s="13">
        <f>BY24*VLOOKUP('Données projet'!$B$12,Paramètres!$A$1:$I$89,3,0)*VLOOKUP('Données projet'!$B$12,Paramètres!$A$1:$I$89,5,0)</f>
        <v>23.794435582519778</v>
      </c>
      <c r="CA24" s="13">
        <f t="shared" si="39"/>
        <v>7.582383302497071</v>
      </c>
      <c r="CB24" s="20">
        <f t="shared" si="10"/>
        <v>54.647959558071015</v>
      </c>
      <c r="CC24" s="59">
        <f t="shared" si="11"/>
        <v>336.98129289140434</v>
      </c>
      <c r="CD24" s="59">
        <f ca="1">AVERAGE(OFFSET($CC$3,0,0,'Données projet'!$E$12+1,1))-AVERAGE(OFFSET($H$3,0,0,'Données projet'!$E$12+1,1))</f>
        <v>254.8851926268614</v>
      </c>
      <c r="CE24" s="59">
        <f t="shared" si="40"/>
        <v>182.11500693273973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10.12820512820513</v>
      </c>
      <c r="N25" s="13">
        <f>IF('Données projet'!$A$36&gt;35,N24+M25-V24,IF(A25&lt;'Données projet'!$A$36,$K$205^A25,IF(A25='Données projet'!$A$36,'Données projet'!$B$36,N24+M25-V24)))</f>
        <v>86.92307692307692</v>
      </c>
      <c r="O25" s="13">
        <f>N25*VLOOKUP('Données projet'!$B$9,Paramètres!$A$1:$I$89,3,0)*VLOOKUP('Données projet'!$B$9,Paramètres!$A$1:$I$89,5,0)</f>
        <v>90.852000000000004</v>
      </c>
      <c r="P25" s="13">
        <f t="shared" si="33"/>
        <v>24.770594062339779</v>
      </c>
      <c r="Q25" s="20">
        <f t="shared" si="2"/>
        <v>201.37601799190847</v>
      </c>
      <c r="R25" s="59">
        <f t="shared" si="0"/>
        <v>484.93157354746404</v>
      </c>
      <c r="S25" s="59">
        <f ca="1">AVERAGE(OFFSET($R$3,0,0,'Données projet'!$E$9+1,1))-AVERAGE(OFFSET($H$3,0,0,'Données projet'!$E$9+1,1))</f>
        <v>241.84492910369795</v>
      </c>
      <c r="T25" s="59">
        <f t="shared" si="34"/>
        <v>338.04336767245667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1.5305892507239178</v>
      </c>
      <c r="AA25" s="21">
        <f>EXP(-LN(2)/25)*AA24+(1-EXP(-LN(2)/25))/(LN(2)/25)*Calculateur!V25*Calculateur!X25*VLOOKUP('Données projet'!$B$9,Paramètres!$A$1:$I$89,3,0)*0.475*44/12</f>
        <v>3.8895138314526707</v>
      </c>
      <c r="AB25" s="21">
        <f>EXP(-LN(2)/2)*AB24+(1-EXP(-LN(2)/2))/(LN(2)/2)*V25*Y25*VLOOKUP('Données projet'!$B$9,Paramètres!$A$1:$I$89,3,0)*0.475*44/12</f>
        <v>7.271519708364691</v>
      </c>
      <c r="AC25" s="22">
        <f t="shared" si="3"/>
        <v>12.691622790541279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>
        <f>VLOOKUP(A25,'Données projet'!$A$61:$I$81,2,0)</f>
        <v>123</v>
      </c>
      <c r="AG25" s="12">
        <f>VLOOKUP(A25,'Données projet'!$A$61:$I$81,9,0)</f>
        <v>5.5909090909090908</v>
      </c>
      <c r="AH25" s="12">
        <f t="array" ref="AH25">INDEX(AG:AG,MIN(IF(ISNUMBER(AG25:AG221),ROW(AG25:AG221),"")))</f>
        <v>5.5909090909090908</v>
      </c>
      <c r="AI25" s="13">
        <f>IF('Données projet'!$A$62&gt;35,AI24+AH25-AQ24,IF(A25&lt;'Données projet'!$A$62,$AF$205^A25,IF(A25='Données projet'!$A$62,'Données projet'!$B$62,AI24+AH25-AQ24)))</f>
        <v>123</v>
      </c>
      <c r="AJ25" s="13">
        <f>AI25*VLOOKUP('Données projet'!$B$10,Paramètres!$A$1:$I$89,3,0)*VLOOKUP('Données projet'!$B$10,Paramètres!$A$1:$I$89,5,0)</f>
        <v>73.554000000000016</v>
      </c>
      <c r="AK25" s="13">
        <f t="shared" si="35"/>
        <v>20.553481077376691</v>
      </c>
      <c r="AL25" s="20">
        <f t="shared" si="4"/>
        <v>163.90386287643108</v>
      </c>
      <c r="AM25" s="59">
        <f t="shared" si="5"/>
        <v>447.45941843198659</v>
      </c>
      <c r="AN25" s="59">
        <f ca="1">AVERAGE(OFFSET($AM$3,0,0,'Données projet'!$E$10+1,1))-AVERAGE(OFFSET($H$3,0,0,'Données projet'!$E$10+1,1))</f>
        <v>370.12772664814923</v>
      </c>
      <c r="AO25" s="59">
        <f t="shared" si="36"/>
        <v>292.26503163353146</v>
      </c>
      <c r="AP25" s="15">
        <f>IF(ISNA(VLOOKUP(A25,'Données projet'!$A$61:$I$81,3,0)),0,VLOOKUP(A25,'Données projet'!$A$61:$I$81,3,0))</f>
        <v>1</v>
      </c>
      <c r="AQ25" s="15">
        <f>IF(ISNA(VLOOKUP(A25,'Données projet'!$A$61:$I$81,4,0)),0,VLOOKUP(A25,'Données projet'!$A$61:$I$81,4,0))</f>
        <v>16</v>
      </c>
      <c r="AR25" s="16">
        <f>IF(ISNA(VLOOKUP(A25,'Données projet'!$A$61:$I$81,5,0)),0%,VLOOKUP(A25,'Données projet'!$A$61:$I$81,5,0)*VLOOKUP('Données projet'!$B$10,Paramètres!$A$1:$I$89,7,0))</f>
        <v>9.0000000000000011E-2</v>
      </c>
      <c r="AS25" s="16">
        <f>IF(ISNA(VLOOKUP(A25,'Données projet'!$A$61:$I$81,6,0)),0%,VLOOKUP(A25,'Données projet'!$A$61:$I$81,6,0)*VLOOKUP('Données projet'!$B$10,Paramètres!$A$1:$I$89,7,0))</f>
        <v>9.0000000000000011E-2</v>
      </c>
      <c r="AT25" s="16">
        <f>IF(ISNA(VLOOKUP(A25,'Données projet'!$A$61:$I$81,7,0)),0%,VLOOKUP(A25,'Données projet'!$A$61:$I$81,7,0))</f>
        <v>0.6</v>
      </c>
      <c r="AU25" s="21">
        <f>EXP(-LN(2)/35)*AU24+(1-EXP(-LN(2)/35))/(LN(2)/35)*AQ25*AR25*VLOOKUP('Données projet'!$B$10,Paramètres!$A$1:$I$89,3,0)*0.475*44/12</f>
        <v>1.142331183868097</v>
      </c>
      <c r="AV25" s="21">
        <f>EXP(-LN(2)/25)*AV24+(1-EXP(-LN(2)/25))/(LN(2)/25)*Calculateur!AQ25*Calculateur!AS25*VLOOKUP('Données projet'!$B$10,Paramètres!$A$1:$I$89,3,0)*0.475*44/12</f>
        <v>1.1378333907349032</v>
      </c>
      <c r="AW25" s="21">
        <f>EXP(-LN(2)/2)*AW24+(1-EXP(-LN(2)/2))/(LN(2)/2)*AQ25*AT25*VLOOKUP('Données projet'!$B$10,Paramètres!$A$1:$I$89,3,0)*0.475*44/12</f>
        <v>6.4999191736399347</v>
      </c>
      <c r="AX25" s="21">
        <f t="shared" si="6"/>
        <v>8.7800837482429337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7.2</v>
      </c>
      <c r="BD25" s="12">
        <f>IF('Données projet'!$A$88&gt;35,BD24+BC25-BL24,IF(A25&lt;'Données projet'!$A$88,$BA$205^A25,IF(A25='Données projet'!$A$88,'Données projet'!$B$88,BD24+BC25-BL24)))</f>
        <v>81.400000000000006</v>
      </c>
      <c r="BE25" s="13">
        <f>BD25*VLOOKUP('Données projet'!$B$11,Paramètres!$A$1:$I$89,3,0)*VLOOKUP('Données projet'!$B$11,Paramètres!$A$1:$I$89,5,0)</f>
        <v>87.618960000000001</v>
      </c>
      <c r="BF25" s="13">
        <f t="shared" si="37"/>
        <v>23.990082457811074</v>
      </c>
      <c r="BG25" s="20">
        <f t="shared" si="7"/>
        <v>194.38574894735427</v>
      </c>
      <c r="BH25" s="59">
        <f t="shared" si="8"/>
        <v>477.94130450290982</v>
      </c>
      <c r="BI25" s="59">
        <f ca="1">AVERAGE(OFFSET($BH$3,0,0,'Données projet'!$E$11+1,1))-AVERAGE(OFFSET($H$3,0,0,'Données projet'!$E$11+1,1))</f>
        <v>475.01366239340246</v>
      </c>
      <c r="BJ25" s="59">
        <f t="shared" si="38"/>
        <v>322.81767004794284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0.5901586636940509</v>
      </c>
      <c r="BQ25" s="21">
        <f>EXP(-LN(2)/25)*BQ24+(1-EXP(-LN(2)/25))/(LN(2)/25)*Calculateur!BL25*Calculateur!BN25*VLOOKUP('Données projet'!$B$11,Paramètres!$A$1:$I$89,3,0)*0.475*44/12</f>
        <v>0.57859508925240133</v>
      </c>
      <c r="BR25" s="21">
        <f>EXP(-LN(2)/2)*BR24+(1-EXP(-LN(2)/2))/(LN(2)/2)*BL25*BO25*VLOOKUP('Données projet'!$B$11,Paramètres!$A$1:$I$89,3,0)*0.475*44/12</f>
        <v>1.8281022675862317</v>
      </c>
      <c r="BS25" s="22">
        <f t="shared" si="9"/>
        <v>2.9968560205326842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2.8</v>
      </c>
      <c r="BY25" s="12">
        <f>IF('Données projet'!$A$114&gt;35,BY24+BX25-CG24,IF(A25&lt;'Données projet'!$A$114,$BV$205^A25,IF(A25='Données projet'!$A$114,'Données projet'!$B$114,BY24+BX25-CG24)))</f>
        <v>42.042281446359659</v>
      </c>
      <c r="BZ25" s="13">
        <f>BY25*VLOOKUP('Données projet'!$B$12,Paramètres!$A$1:$I$89,3,0)*VLOOKUP('Données projet'!$B$12,Paramètres!$A$1:$I$89,5,0)</f>
        <v>28.201962394218061</v>
      </c>
      <c r="CA25" s="13">
        <f t="shared" si="39"/>
        <v>8.8108717571773028</v>
      </c>
      <c r="CB25" s="20">
        <f t="shared" si="10"/>
        <v>64.46401948034692</v>
      </c>
      <c r="CC25" s="59">
        <f t="shared" si="11"/>
        <v>348.01957503590245</v>
      </c>
      <c r="CD25" s="59">
        <f ca="1">AVERAGE(OFFSET($CC$3,0,0,'Données projet'!$E$12+1,1))-AVERAGE(OFFSET($H$3,0,0,'Données projet'!$E$12+1,1))</f>
        <v>254.8851926268614</v>
      </c>
      <c r="CE25" s="59">
        <f t="shared" si="40"/>
        <v>182.11500693273973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10.12820512820513</v>
      </c>
      <c r="N26" s="13">
        <f>IF('Données projet'!$A$36&gt;35,N25+M26-V25,IF(A26&lt;'Données projet'!$A$36,$K$205^A26,IF(A26='Données projet'!$A$36,'Données projet'!$B$36,N25+M26-V25)))</f>
        <v>97.051282051282044</v>
      </c>
      <c r="O26" s="13">
        <f>N26*VLOOKUP('Données projet'!$B$9,Paramètres!$A$1:$I$89,3,0)*VLOOKUP('Données projet'!$B$9,Paramètres!$A$1:$I$89,5,0)</f>
        <v>101.438</v>
      </c>
      <c r="P26" s="13">
        <f t="shared" si="33"/>
        <v>27.304296027775639</v>
      </c>
      <c r="Q26" s="20">
        <f t="shared" si="2"/>
        <v>224.22616558170921</v>
      </c>
      <c r="R26" s="59">
        <f t="shared" si="0"/>
        <v>509.00394335948698</v>
      </c>
      <c r="S26" s="59">
        <f ca="1">AVERAGE(OFFSET($R$3,0,0,'Données projet'!$E$9+1,1))-AVERAGE(OFFSET($H$3,0,0,'Données projet'!$E$9+1,1))</f>
        <v>241.84492910369795</v>
      </c>
      <c r="T26" s="59">
        <f t="shared" si="34"/>
        <v>338.04336767245667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1.5005753290844825</v>
      </c>
      <c r="AA26" s="21">
        <f>EXP(-LN(2)/25)*AA25+(1-EXP(-LN(2)/25))/(LN(2)/25)*Calculateur!V26*Calculateur!X26*VLOOKUP('Données projet'!$B$9,Paramètres!$A$1:$I$89,3,0)*0.475*44/12</f>
        <v>3.7831548711909546</v>
      </c>
      <c r="AB26" s="21">
        <f>EXP(-LN(2)/2)*AB25+(1-EXP(-LN(2)/2))/(LN(2)/2)*V26*Y26*VLOOKUP('Données projet'!$B$9,Paramètres!$A$1:$I$89,3,0)*0.475*44/12</f>
        <v>5.1417408953162997</v>
      </c>
      <c r="AC26" s="22">
        <f t="shared" si="3"/>
        <v>10.425471095591737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12.333333333333334</v>
      </c>
      <c r="AI26" s="13">
        <f>IF('Données projet'!$A$62&gt;35,AI25+AH26-AQ25,IF(A26&lt;'Données projet'!$A$62,$AF$205^A26,IF(A26='Données projet'!$A$62,'Données projet'!$B$62,AI25+AH26-AQ25)))</f>
        <v>119.33333333333334</v>
      </c>
      <c r="AJ26" s="13">
        <f>AI26*VLOOKUP('Données projet'!$B$10,Paramètres!$A$1:$I$89,3,0)*VLOOKUP('Données projet'!$B$10,Paramètres!$A$1:$I$89,5,0)</f>
        <v>71.361333333333349</v>
      </c>
      <c r="AK26" s="13">
        <f t="shared" si="35"/>
        <v>20.011144716858571</v>
      </c>
      <c r="AL26" s="20">
        <f t="shared" si="4"/>
        <v>159.14039927075092</v>
      </c>
      <c r="AM26" s="59">
        <f t="shared" si="5"/>
        <v>443.91817704852872</v>
      </c>
      <c r="AN26" s="59">
        <f ca="1">AVERAGE(OFFSET($AM$3,0,0,'Données projet'!$E$10+1,1))-AVERAGE(OFFSET($H$3,0,0,'Données projet'!$E$10+1,1))</f>
        <v>370.12772664814923</v>
      </c>
      <c r="AO26" s="59">
        <f t="shared" si="36"/>
        <v>292.26503163353146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1.119930766105667</v>
      </c>
      <c r="AV26" s="21">
        <f>EXP(-LN(2)/25)*AV25+(1-EXP(-LN(2)/25))/(LN(2)/25)*Calculateur!AQ26*Calculateur!AS26*VLOOKUP('Données projet'!$B$10,Paramètres!$A$1:$I$89,3,0)*0.475*44/12</f>
        <v>1.1067192768291998</v>
      </c>
      <c r="AW26" s="21">
        <f>EXP(-LN(2)/2)*AW25+(1-EXP(-LN(2)/2))/(LN(2)/2)*AQ26*AT26*VLOOKUP('Données projet'!$B$10,Paramètres!$A$1:$I$89,3,0)*0.475*44/12</f>
        <v>4.5961369248452586</v>
      </c>
      <c r="AX26" s="21">
        <f t="shared" si="6"/>
        <v>6.8227869677801252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7.2</v>
      </c>
      <c r="BD26" s="12">
        <f>IF('Données projet'!$A$88&gt;35,BD25+BC26-BL25,IF(A26&lt;'Données projet'!$A$88,$BA$205^A26,IF(A26='Données projet'!$A$88,'Données projet'!$B$88,BD25+BC26-BL25)))</f>
        <v>88.600000000000009</v>
      </c>
      <c r="BE26" s="13">
        <f>BD26*VLOOKUP('Données projet'!$B$11,Paramètres!$A$1:$I$89,3,0)*VLOOKUP('Données projet'!$B$11,Paramètres!$A$1:$I$89,5,0)</f>
        <v>95.369039999999998</v>
      </c>
      <c r="BF26" s="13">
        <f t="shared" si="37"/>
        <v>25.855709117398451</v>
      </c>
      <c r="BG26" s="20">
        <f t="shared" si="7"/>
        <v>211.13310471280226</v>
      </c>
      <c r="BH26" s="59">
        <f t="shared" si="8"/>
        <v>495.91088249058004</v>
      </c>
      <c r="BI26" s="59">
        <f ca="1">AVERAGE(OFFSET($BH$3,0,0,'Données projet'!$E$11+1,1))-AVERAGE(OFFSET($H$3,0,0,'Données projet'!$E$11+1,1))</f>
        <v>475.01366239340246</v>
      </c>
      <c r="BJ26" s="59">
        <f t="shared" si="38"/>
        <v>322.81767004794284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0.57858601226025219</v>
      </c>
      <c r="BQ26" s="21">
        <f>EXP(-LN(2)/25)*BQ25+(1-EXP(-LN(2)/25))/(LN(2)/25)*Calculateur!BL26*Calculateur!BN26*VLOOKUP('Données projet'!$B$11,Paramètres!$A$1:$I$89,3,0)*0.475*44/12</f>
        <v>0.56277337610980105</v>
      </c>
      <c r="BR26" s="21">
        <f>EXP(-LN(2)/2)*BR25+(1-EXP(-LN(2)/2))/(LN(2)/2)*BL26*BO26*VLOOKUP('Données projet'!$B$11,Paramètres!$A$1:$I$89,3,0)*0.475*44/12</f>
        <v>1.2926635101127291</v>
      </c>
      <c r="BS26" s="22">
        <f t="shared" si="9"/>
        <v>2.4340228984827821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2.8</v>
      </c>
      <c r="BY26" s="12">
        <f>IF('Données projet'!$A$114&gt;35,BY25+BX26-CG25,IF(A26&lt;'Données projet'!$A$114,$BV$205^A26,IF(A26='Données projet'!$A$114,'Données projet'!$B$114,BY25+BX26-CG25)))</f>
        <v>49.82992078990118</v>
      </c>
      <c r="BZ26" s="13">
        <f>BY26*VLOOKUP('Données projet'!$B$12,Paramètres!$A$1:$I$89,3,0)*VLOOKUP('Données projet'!$B$12,Paramètres!$A$1:$I$89,5,0)</f>
        <v>33.42591086586571</v>
      </c>
      <c r="CA26" s="13">
        <f t="shared" si="39"/>
        <v>10.238398406456003</v>
      </c>
      <c r="CB26" s="20">
        <f t="shared" si="10"/>
        <v>76.048671982626985</v>
      </c>
      <c r="CC26" s="59">
        <f t="shared" si="11"/>
        <v>360.82644976040478</v>
      </c>
      <c r="CD26" s="59">
        <f ca="1">AVERAGE(OFFSET($CC$3,0,0,'Données projet'!$E$12+1,1))-AVERAGE(OFFSET($H$3,0,0,'Données projet'!$E$12+1,1))</f>
        <v>254.8851926268614</v>
      </c>
      <c r="CE26" s="59">
        <f t="shared" si="40"/>
        <v>182.11500693273973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10.12820512820513</v>
      </c>
      <c r="N27" s="13">
        <f>IF('Données projet'!$A$36&gt;35,N26+M27-V26,IF(A27&lt;'Données projet'!$A$36,$K$205^A27,IF(A27='Données projet'!$A$36,'Données projet'!$B$36,N26+M27-V26)))</f>
        <v>107.17948717948717</v>
      </c>
      <c r="O27" s="13">
        <f>N27*VLOOKUP('Données projet'!$B$9,Paramètres!$A$1:$I$89,3,0)*VLOOKUP('Données projet'!$B$9,Paramètres!$A$1:$I$89,5,0)</f>
        <v>112.02399999999999</v>
      </c>
      <c r="P27" s="13">
        <f t="shared" si="33"/>
        <v>29.807347551466236</v>
      </c>
      <c r="Q27" s="20">
        <f t="shared" si="2"/>
        <v>247.02293031880367</v>
      </c>
      <c r="R27" s="59">
        <f t="shared" si="0"/>
        <v>533.02293031880367</v>
      </c>
      <c r="S27" s="59">
        <f ca="1">AVERAGE(OFFSET($R$3,0,0,'Données projet'!$E$9+1,1))-AVERAGE(OFFSET($H$3,0,0,'Données projet'!$E$9+1,1))</f>
        <v>241.84492910369795</v>
      </c>
      <c r="T27" s="59">
        <f t="shared" si="34"/>
        <v>338.04336767245667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1.4711499621417121</v>
      </c>
      <c r="AA27" s="21">
        <f>EXP(-LN(2)/25)*AA26+(1-EXP(-LN(2)/25))/(LN(2)/25)*Calculateur!V27*Calculateur!X27*VLOOKUP('Données projet'!$B$9,Paramètres!$A$1:$I$89,3,0)*0.475*44/12</f>
        <v>3.6797043022907698</v>
      </c>
      <c r="AB27" s="21">
        <f>EXP(-LN(2)/2)*AB26+(1-EXP(-LN(2)/2))/(LN(2)/2)*V27*Y27*VLOOKUP('Données projet'!$B$9,Paramètres!$A$1:$I$89,3,0)*0.475*44/12</f>
        <v>3.6357598541823459</v>
      </c>
      <c r="AC27" s="22">
        <f t="shared" si="3"/>
        <v>8.7866141186148283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12.333333333333334</v>
      </c>
      <c r="AI27" s="13">
        <f>IF('Données projet'!$A$62&gt;35,AI26+AH27-AQ26,IF(A27&lt;'Données projet'!$A$62,$AF$205^A27,IF(A27='Données projet'!$A$62,'Données projet'!$B$62,AI26+AH27-AQ26)))</f>
        <v>131.66666666666669</v>
      </c>
      <c r="AJ27" s="13">
        <f>AI27*VLOOKUP('Données projet'!$B$10,Paramètres!$A$1:$I$89,3,0)*VLOOKUP('Données projet'!$B$10,Paramètres!$A$1:$I$89,5,0)</f>
        <v>78.736666666666679</v>
      </c>
      <c r="AK27" s="13">
        <f t="shared" si="35"/>
        <v>21.828006984037064</v>
      </c>
      <c r="AL27" s="20">
        <f t="shared" si="4"/>
        <v>175.15013994164235</v>
      </c>
      <c r="AM27" s="59">
        <f t="shared" si="5"/>
        <v>461.15013994164235</v>
      </c>
      <c r="AN27" s="59">
        <f ca="1">AVERAGE(OFFSET($AM$3,0,0,'Données projet'!$E$10+1,1))-AVERAGE(OFFSET($H$3,0,0,'Données projet'!$E$10+1,1))</f>
        <v>370.12772664814923</v>
      </c>
      <c r="AO27" s="59">
        <f t="shared" si="36"/>
        <v>292.26503163353146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1.0979696068726525</v>
      </c>
      <c r="AV27" s="21">
        <f>EXP(-LN(2)/25)*AV26+(1-EXP(-LN(2)/25))/(LN(2)/25)*Calculateur!AQ27*Calculateur!AS27*VLOOKUP('Données projet'!$B$10,Paramètres!$A$1:$I$89,3,0)*0.475*44/12</f>
        <v>1.076455980004468</v>
      </c>
      <c r="AW27" s="21">
        <f>EXP(-LN(2)/2)*AW26+(1-EXP(-LN(2)/2))/(LN(2)/2)*AQ27*AT27*VLOOKUP('Données projet'!$B$10,Paramètres!$A$1:$I$89,3,0)*0.475*44/12</f>
        <v>3.2499595868199678</v>
      </c>
      <c r="AX27" s="21">
        <f t="shared" si="6"/>
        <v>5.4243851736970878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7.2</v>
      </c>
      <c r="BD27" s="12">
        <f>IF('Données projet'!$A$88&gt;35,BD26+BC27-BL26,IF(A27&lt;'Données projet'!$A$88,$BA$205^A27,IF(A27='Données projet'!$A$88,'Données projet'!$B$88,BD26+BC27-BL26)))</f>
        <v>95.800000000000011</v>
      </c>
      <c r="BE27" s="13">
        <f>BD27*VLOOKUP('Données projet'!$B$11,Paramètres!$A$1:$I$89,3,0)*VLOOKUP('Données projet'!$B$11,Paramètres!$A$1:$I$89,5,0)</f>
        <v>103.11912000000001</v>
      </c>
      <c r="BF27" s="13">
        <f t="shared" si="37"/>
        <v>27.703751333753903</v>
      </c>
      <c r="BG27" s="20">
        <f t="shared" si="7"/>
        <v>227.84983423962137</v>
      </c>
      <c r="BH27" s="59">
        <f t="shared" si="8"/>
        <v>513.84983423962137</v>
      </c>
      <c r="BI27" s="59">
        <f ca="1">AVERAGE(OFFSET($BH$3,0,0,'Données projet'!$E$11+1,1))-AVERAGE(OFFSET($H$3,0,0,'Données projet'!$E$11+1,1))</f>
        <v>475.01366239340246</v>
      </c>
      <c r="BJ27" s="59">
        <f t="shared" si="38"/>
        <v>322.81767004794284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0.56724029346244986</v>
      </c>
      <c r="BQ27" s="21">
        <f>EXP(-LN(2)/25)*BQ26+(1-EXP(-LN(2)/25))/(LN(2)/25)*Calculateur!BL27*Calculateur!BN27*VLOOKUP('Données projet'!$B$11,Paramètres!$A$1:$I$89,3,0)*0.475*44/12</f>
        <v>0.54738430854511289</v>
      </c>
      <c r="BR27" s="21">
        <f>EXP(-LN(2)/2)*BR26+(1-EXP(-LN(2)/2))/(LN(2)/2)*BL27*BO27*VLOOKUP('Données projet'!$B$11,Paramètres!$A$1:$I$89,3,0)*0.475*44/12</f>
        <v>0.91405113379311609</v>
      </c>
      <c r="BS27" s="22">
        <f t="shared" si="9"/>
        <v>2.0286757358006788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2.8</v>
      </c>
      <c r="BY27" s="12">
        <f>IF('Données projet'!$A$114&gt;35,BY26+BX27-CG26,IF(A27&lt;'Données projet'!$A$114,$BV$205^A27,IF(A27='Données projet'!$A$114,'Données projet'!$B$114,BY26+BX27-CG26)))</f>
        <v>59.060091900479499</v>
      </c>
      <c r="BZ27" s="13">
        <f>BY27*VLOOKUP('Données projet'!$B$12,Paramètres!$A$1:$I$89,3,0)*VLOOKUP('Données projet'!$B$12,Paramètres!$A$1:$I$89,5,0)</f>
        <v>39.617509646841647</v>
      </c>
      <c r="CA27" s="13">
        <f t="shared" si="39"/>
        <v>11.897211174811503</v>
      </c>
      <c r="CB27" s="20">
        <f t="shared" si="10"/>
        <v>89.721472097712578</v>
      </c>
      <c r="CC27" s="59">
        <f t="shared" si="11"/>
        <v>375.72147209771259</v>
      </c>
      <c r="CD27" s="59">
        <f ca="1">AVERAGE(OFFSET($CC$3,0,0,'Données projet'!$E$12+1,1))-AVERAGE(OFFSET($H$3,0,0,'Données projet'!$E$12+1,1))</f>
        <v>254.8851926268614</v>
      </c>
      <c r="CE27" s="59">
        <f t="shared" si="40"/>
        <v>182.11500693273973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117.30769230769231</v>
      </c>
      <c r="L28" s="12">
        <f>VLOOKUP(A28,'Données projet'!$A$35:$I$55,9,0)</f>
        <v>10.12820512820513</v>
      </c>
      <c r="M28" s="12">
        <f t="array" ref="M28">INDEX(L:L,MIN(IF(ISNUMBER(L28:L224),ROW(L28:L224),"")))</f>
        <v>10.12820512820513</v>
      </c>
      <c r="N28" s="13">
        <f>IF('Données projet'!$A$36&gt;35,N27+M28-V27,IF(A28&lt;'Données projet'!$A$36,$K$205^A28,IF(A28='Données projet'!$A$36,'Données projet'!$B$36,N27+M28-V27)))</f>
        <v>117.30769230769229</v>
      </c>
      <c r="O28" s="13">
        <f>N28*VLOOKUP('Données projet'!$B$9,Paramètres!$A$1:$I$89,3,0)*VLOOKUP('Données projet'!$B$9,Paramètres!$A$1:$I$89,5,0)</f>
        <v>122.61</v>
      </c>
      <c r="P28" s="13">
        <f t="shared" si="33"/>
        <v>32.282974526111182</v>
      </c>
      <c r="Q28" s="20">
        <f t="shared" si="2"/>
        <v>269.77193063297693</v>
      </c>
      <c r="R28" s="59">
        <f t="shared" si="0"/>
        <v>556.99415285519922</v>
      </c>
      <c r="S28" s="59">
        <f ca="1">AVERAGE(OFFSET($R$3,0,0,'Données projet'!$E$9+1,1))-AVERAGE(OFFSET($H$3,0,0,'Données projet'!$E$9+1,1))</f>
        <v>241.84492910369795</v>
      </c>
      <c r="T28" s="59">
        <f t="shared" si="34"/>
        <v>338.04336767245667</v>
      </c>
      <c r="U28" s="15">
        <f>IF(ISNA(VLOOKUP(A28,'Données projet'!$A$35:$I$55,3,0)),0,VLOOKUP(A28,'Données projet'!$A$35:$I$55,3,0))</f>
        <v>3</v>
      </c>
      <c r="V28" s="15">
        <f>IF(ISNA(VLOOKUP(A28,'Données projet'!$A$35:$I$55,4,0)),0,VLOOKUP(A28,'Données projet'!$A$35:$I$55,4,0))</f>
        <v>33.333333333333336</v>
      </c>
      <c r="W28" s="16">
        <f>IF(ISNA(VLOOKUP(A28,'Données projet'!$A$35:$I$55,5,0)),0%,VLOOKUP(A28,'Données projet'!$A$35:$I$55,5,0)*VLOOKUP('Données projet'!$B$9,Paramètres!$A$1:$I$89,7,0))</f>
        <v>4.3000000000000003E-2</v>
      </c>
      <c r="X28" s="16">
        <f>IF(ISNA(VLOOKUP(A28,'Données projet'!$A$35:$I$55,6,0)),0%,VLOOKUP(A28,'Données projet'!$A$35:$I$55,6,0)*VLOOKUP('Données projet'!$B$9,Paramètres!$A$1:$I$89,7,0))</f>
        <v>0.129</v>
      </c>
      <c r="Y28" s="16">
        <f>IF(ISNA(VLOOKUP(A28,'Données projet'!$A$35:$I$55,7,0)),0%,VLOOKUP(A28,'Données projet'!$A$35:$I$55,7,0))</f>
        <v>0.3</v>
      </c>
      <c r="Z28" s="21">
        <f>EXP(-LN(2)/35)*Z27+(1-EXP(-LN(2)/35))/(LN(2)/35)*V28*W28*VLOOKUP('Données projet'!$B$9,Paramètres!$A$1:$I$89,3,0)*0.475*44/12</f>
        <v>3.0984288936828914</v>
      </c>
      <c r="AA28" s="21">
        <f>EXP(-LN(2)/25)*AA27+(1-EXP(-LN(2)/25))/(LN(2)/25)*Calculateur!V28*Calculateur!X28*VLOOKUP('Données projet'!$B$9,Paramètres!$A$1:$I$89,3,0)*0.475*44/12</f>
        <v>8.5279020371302288</v>
      </c>
      <c r="AB28" s="21">
        <f>EXP(-LN(2)/2)*AB27+(1-EXP(-LN(2)/2))/(LN(2)/2)*V28*Y28*VLOOKUP('Données projet'!$B$9,Paramètres!$A$1:$I$89,3,0)*0.475*44/12</f>
        <v>12.432613759113668</v>
      </c>
      <c r="AC28" s="22">
        <f t="shared" si="3"/>
        <v>24.05894468992679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>
        <f>VLOOKUP(A28,'Données projet'!$A$61:$I$81,2,0)</f>
        <v>144</v>
      </c>
      <c r="AG28" s="12">
        <f>VLOOKUP(A28,'Données projet'!$A$61:$I$81,9,0)</f>
        <v>12.333333333333334</v>
      </c>
      <c r="AH28" s="12">
        <f t="array" ref="AH28">INDEX(AG:AG,MIN(IF(ISNUMBER(AG28:AG224),ROW(AG28:AG224),"")))</f>
        <v>12.333333333333334</v>
      </c>
      <c r="AI28" s="13">
        <f>IF('Données projet'!$A$62&gt;35,AI27+AH28-AQ27,IF(A28&lt;'Données projet'!$A$62,$AF$205^A28,IF(A28='Données projet'!$A$62,'Données projet'!$B$62,AI27+AH28-AQ27)))</f>
        <v>144.00000000000003</v>
      </c>
      <c r="AJ28" s="13">
        <f>AI28*VLOOKUP('Données projet'!$B$10,Paramètres!$A$1:$I$89,3,0)*VLOOKUP('Données projet'!$B$10,Paramètres!$A$1:$I$89,5,0)</f>
        <v>86.112000000000009</v>
      </c>
      <c r="AK28" s="13">
        <f t="shared" si="35"/>
        <v>23.625136642852297</v>
      </c>
      <c r="AL28" s="20">
        <f t="shared" si="4"/>
        <v>191.12551298630106</v>
      </c>
      <c r="AM28" s="59">
        <f t="shared" si="5"/>
        <v>478.34773520852332</v>
      </c>
      <c r="AN28" s="59">
        <f ca="1">AVERAGE(OFFSET($AM$3,0,0,'Données projet'!$E$10+1,1))-AVERAGE(OFFSET($H$3,0,0,'Données projet'!$E$10+1,1))</f>
        <v>370.12772664814923</v>
      </c>
      <c r="AO28" s="59">
        <f t="shared" si="36"/>
        <v>292.26503163353146</v>
      </c>
      <c r="AP28" s="15">
        <f>IF(ISNA(VLOOKUP(A28,'Données projet'!$A$61:$I$81,3,0)),0,VLOOKUP(A28,'Données projet'!$A$61:$I$81,3,0))</f>
        <v>2</v>
      </c>
      <c r="AQ28" s="15">
        <f>IF(ISNA(VLOOKUP(A28,'Données projet'!$A$61:$I$81,4,0)),0,VLOOKUP(A28,'Données projet'!$A$61:$I$81,4,0))</f>
        <v>17</v>
      </c>
      <c r="AR28" s="16">
        <f>IF(ISNA(VLOOKUP(A28,'Données projet'!$A$61:$I$81,5,0)),0%,VLOOKUP(A28,'Données projet'!$A$61:$I$81,5,0)*VLOOKUP('Données projet'!$B$10,Paramètres!$A$1:$I$89,7,0))</f>
        <v>0.13500000000000001</v>
      </c>
      <c r="AS28" s="16">
        <f>IF(ISNA(VLOOKUP(A28,'Données projet'!$A$61:$I$81,6,0)),0%,VLOOKUP(A28,'Données projet'!$A$61:$I$81,6,0)*VLOOKUP('Données projet'!$B$10,Paramètres!$A$1:$I$89,7,0))</f>
        <v>0.18000000000000002</v>
      </c>
      <c r="AT28" s="16">
        <f>IF(ISNA(VLOOKUP(A28,'Données projet'!$A$61:$I$81,7,0)),0%,VLOOKUP(A28,'Données projet'!$A$61:$I$81,7,0))</f>
        <v>0.3</v>
      </c>
      <c r="AU28" s="21">
        <f>EXP(-LN(2)/35)*AU27+(1-EXP(-LN(2)/35))/(LN(2)/35)*AQ28*AR28*VLOOKUP('Données projet'!$B$10,Paramètres!$A$1:$I$89,3,0)*0.475*44/12</f>
        <v>2.8970294168669923</v>
      </c>
      <c r="AV28" s="21">
        <f>EXP(-LN(2)/25)*AV27+(1-EXP(-LN(2)/25))/(LN(2)/25)*Calculateur!AQ28*Calculateur!AS28*VLOOKUP('Données projet'!$B$10,Paramètres!$A$1:$I$89,3,0)*0.475*44/12</f>
        <v>3.4649161899345557</v>
      </c>
      <c r="AW28" s="21">
        <f>EXP(-LN(2)/2)*AW27+(1-EXP(-LN(2)/2))/(LN(2)/2)*AQ28*AT28*VLOOKUP('Données projet'!$B$10,Paramètres!$A$1:$I$89,3,0)*0.475*44/12</f>
        <v>5.7511505234188451</v>
      </c>
      <c r="AX28" s="21">
        <f t="shared" si="6"/>
        <v>12.113096130220393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>
        <f>VLOOKUP(A28,'Données projet'!$A$87:$I$107,2,0)</f>
        <v>103</v>
      </c>
      <c r="BB28" s="12">
        <f>VLOOKUP(A28,'Données projet'!$A$87:$I$107,9,0)</f>
        <v>7.2</v>
      </c>
      <c r="BC28" s="12">
        <f t="array" ref="BC28">INDEX(BB:BB,MIN(IF(ISNUMBER(BB28:BB224),ROW(BB28:BB224),"")))</f>
        <v>7.2</v>
      </c>
      <c r="BD28" s="12">
        <f>IF('Données projet'!$A$88&gt;35,BD27+BC28-BL27,IF(A28&lt;'Données projet'!$A$88,$BA$205^A28,IF(A28='Données projet'!$A$88,'Données projet'!$B$88,BD27+BC28-BL27)))</f>
        <v>103.00000000000001</v>
      </c>
      <c r="BE28" s="13">
        <f>BD28*VLOOKUP('Données projet'!$B$11,Paramètres!$A$1:$I$89,3,0)*VLOOKUP('Données projet'!$B$11,Paramètres!$A$1:$I$89,5,0)</f>
        <v>110.86920000000002</v>
      </c>
      <c r="BF28" s="13">
        <f t="shared" si="37"/>
        <v>29.535680967701619</v>
      </c>
      <c r="BG28" s="20">
        <f t="shared" si="7"/>
        <v>244.53850101874704</v>
      </c>
      <c r="BH28" s="59">
        <f t="shared" si="8"/>
        <v>531.76072324096924</v>
      </c>
      <c r="BI28" s="59">
        <f ca="1">AVERAGE(OFFSET($BH$3,0,0,'Données projet'!$E$11+1,1))-AVERAGE(OFFSET($H$3,0,0,'Données projet'!$E$11+1,1))</f>
        <v>475.01366239340246</v>
      </c>
      <c r="BJ28" s="59">
        <f t="shared" si="38"/>
        <v>322.81767004794284</v>
      </c>
      <c r="BK28" s="15">
        <f>IF(ISNA(VLOOKUP(A28,'Données projet'!$A$87:$I$107,3,0)),0,VLOOKUP(A28,'Données projet'!$A$87:$I$107,3,0))</f>
        <v>2</v>
      </c>
      <c r="BL28" s="15">
        <f>IF(ISNA(VLOOKUP(A28,'Données projet'!$A$87:$I$107,4,0)),0,VLOOKUP(A28,'Données projet'!$A$87:$I$107,4,0))</f>
        <v>28</v>
      </c>
      <c r="BM28" s="16">
        <f>IF(ISNA(VLOOKUP(A28,'Données projet'!$A$87:$I$107,5,0)),0%,VLOOKUP(A28,'Données projet'!$A$87:$I$107,5,0)*VLOOKUP('Données projet'!$B$11,Paramètres!$A$1:$I$89,7,0))</f>
        <v>0.129</v>
      </c>
      <c r="BN28" s="16">
        <f>IF(ISNA(VLOOKUP(A28,'Données projet'!$A$87:$I$107,6,0)),0%,VLOOKUP(A28,'Données projet'!$A$87:$I$107,6,0)*VLOOKUP('Données projet'!$B$11,Paramètres!$A$1:$I$89,7,0))</f>
        <v>0.17200000000000001</v>
      </c>
      <c r="BO28" s="16">
        <f>IF(ISNA(VLOOKUP(A28,'Données projet'!$A$87:$I$107,7,0)),0%,VLOOKUP(A28,'Données projet'!$A$87:$I$107,7,0))</f>
        <v>0.3</v>
      </c>
      <c r="BP28" s="21">
        <f>EXP(-LN(2)/35)*BP27+(1-EXP(-LN(2)/35))/(LN(2)/35)*BL28*BM28*VLOOKUP('Données projet'!$B$11,Paramètres!$A$1:$I$89,3,0)*0.475*44/12</f>
        <v>4.8541381365937806</v>
      </c>
      <c r="BQ28" s="21">
        <f>EXP(-LN(2)/25)*BQ27+(1-EXP(-LN(2)/25))/(LN(2)/25)*Calculateur!BL28*Calculateur!BN28*VLOOKUP('Données projet'!$B$11,Paramètres!$A$1:$I$89,3,0)*0.475*44/12</f>
        <v>6.2405468993623554</v>
      </c>
      <c r="BR28" s="21">
        <f>EXP(-LN(2)/2)*BR27+(1-EXP(-LN(2)/2))/(LN(2)/2)*BL28*BO28*VLOOKUP('Données projet'!$B$11,Paramètres!$A$1:$I$89,3,0)*0.475*44/12</f>
        <v>9.1774756704587794</v>
      </c>
      <c r="BS28" s="22">
        <f t="shared" si="9"/>
        <v>20.272160706414915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>
        <f>VLOOKUP(A28,'Données projet'!$A$113:$I$133,2,0)</f>
        <v>70</v>
      </c>
      <c r="BW28" s="12">
        <f>VLOOKUP(A28,'Données projet'!$A$113:$I$133,9,0)</f>
        <v>2.8</v>
      </c>
      <c r="BX28" s="12">
        <f t="array" ref="BX28">INDEX(BW:BW,MIN(IF(ISNUMBER(BW28:BW224),ROW(BW28:BW224),"")))</f>
        <v>2.8</v>
      </c>
      <c r="BY28" s="12">
        <f>IF('Données projet'!$A$114&gt;35,BY27+BX28-CG27,IF(A28&lt;'Données projet'!$A$114,$BV$205^A28,IF(A28='Données projet'!$A$114,'Données projet'!$B$114,BY27+BX28-CG27)))</f>
        <v>70</v>
      </c>
      <c r="BZ28" s="13">
        <f>BY28*VLOOKUP('Données projet'!$B$12,Paramètres!$A$1:$I$89,3,0)*VLOOKUP('Données projet'!$B$12,Paramètres!$A$1:$I$89,5,0)</f>
        <v>46.955999999999996</v>
      </c>
      <c r="CA28" s="13">
        <f t="shared" si="39"/>
        <v>13.824782755944211</v>
      </c>
      <c r="CB28" s="20">
        <f t="shared" si="10"/>
        <v>105.85986329993615</v>
      </c>
      <c r="CC28" s="59">
        <f t="shared" si="11"/>
        <v>393.08208552215837</v>
      </c>
      <c r="CD28" s="59">
        <f ca="1">AVERAGE(OFFSET($CC$3,0,0,'Données projet'!$E$12+1,1))-AVERAGE(OFFSET($H$3,0,0,'Données projet'!$E$12+1,1))</f>
        <v>254.8851926268614</v>
      </c>
      <c r="CE28" s="59">
        <f t="shared" si="40"/>
        <v>182.11500693273973</v>
      </c>
      <c r="CF28" s="15">
        <f>IF(ISNA(VLOOKUP(A28,'Données projet'!$A$113:$I$133,3,0)),0,VLOOKUP(A28,'Données projet'!$A$113:$I$133,3,0))</f>
        <v>1</v>
      </c>
      <c r="CG28" s="15">
        <f>IF(ISNA(VLOOKUP(A28,'Données projet'!$A$113:$I$133,4,0)),0,VLOOKUP(A28,'Données projet'!$A$113:$I$133,4,0))</f>
        <v>8</v>
      </c>
      <c r="CH28" s="16">
        <f>IF(ISNA(VLOOKUP(A28,'Données projet'!$A$113:$I$133,5,0)),0%,VLOOKUP(A28,'Données projet'!$A$113:$I$133,5,0)*VLOOKUP('Données projet'!$B$12,Paramètres!$A$1:$I$89,7,0))</f>
        <v>0.10600000000000001</v>
      </c>
      <c r="CI28" s="16">
        <f>IF(ISNA(VLOOKUP(A28,'Données projet'!$A$113:$I$133,6,0)),0%,VLOOKUP(A28,'Données projet'!$A$113:$I$133,6,0)*VLOOKUP('Données projet'!$B$12,Paramètres!$A$1:$I$89,7,0))</f>
        <v>0.10600000000000001</v>
      </c>
      <c r="CJ28" s="16">
        <f>IF(ISNA(VLOOKUP(A28,'Données projet'!$A$113:$I$133,7,0)),0%,VLOOKUP(A28,'Données projet'!$A$113:$I$133,7,0))</f>
        <v>0.6</v>
      </c>
      <c r="CK28" s="21">
        <f>EXP(-LN(2)/35)*CK27+(1-EXP(-LN(2)/35))/(LN(2)/35)*CG28*CH28*VLOOKUP('Données projet'!$B$12,Paramètres!$A$1:$I$89,3,0)*0.475*44/12</f>
        <v>0.62883400194091621</v>
      </c>
      <c r="CL28" s="21">
        <f>EXP(-LN(2)/25)*CL27+(1-EXP(-LN(2)/25))/(LN(2)/25)*Calculateur!CG28*Calculateur!CI28*VLOOKUP('Données projet'!$B$12,Paramètres!$A$1:$I$89,3,0)*0.475*44/12</f>
        <v>0.62635804287073549</v>
      </c>
      <c r="CM28" s="21">
        <f>EXP(-LN(2)/2)*CM27+(1-EXP(-LN(2)/2))/(LN(2)/2)*CG28*CJ28*VLOOKUP('Données projet'!$B$12,Paramètres!$A$1:$I$89,3,0)*0.475*44/12</f>
        <v>3.0380057007230126</v>
      </c>
      <c r="CN28" s="22">
        <f t="shared" si="12"/>
        <v>4.2931977455346644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9.4871794871794854</v>
      </c>
      <c r="N29" s="13">
        <f>IF('Données projet'!$A$36&gt;35,N28+M29-V28,IF(A29&lt;'Données projet'!$A$36,$K$205^A29,IF(A29='Données projet'!$A$36,'Données projet'!$B$36,N28+M29-V28)))</f>
        <v>93.461538461538453</v>
      </c>
      <c r="O29" s="13">
        <f>N29*VLOOKUP('Données projet'!$B$9,Paramètres!$A$1:$I$89,3,0)*VLOOKUP('Données projet'!$B$9,Paramètres!$A$1:$I$89,5,0)</f>
        <v>97.686000000000007</v>
      </c>
      <c r="P29" s="13">
        <f t="shared" si="33"/>
        <v>26.409970051653204</v>
      </c>
      <c r="Q29" s="20">
        <f t="shared" si="2"/>
        <v>216.13381450662936</v>
      </c>
      <c r="R29" s="59">
        <f t="shared" si="0"/>
        <v>504.57825895107385</v>
      </c>
      <c r="S29" s="59">
        <f ca="1">AVERAGE(OFFSET($R$3,0,0,'Données projet'!$E$9+1,1))-AVERAGE(OFFSET($H$3,0,0,'Données projet'!$E$9+1,1))</f>
        <v>241.84492910369795</v>
      </c>
      <c r="T29" s="59">
        <f t="shared" si="34"/>
        <v>338.04336767245667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3.0376705929327872</v>
      </c>
      <c r="AA29" s="21">
        <f>EXP(-LN(2)/25)*AA28+(1-EXP(-LN(2)/25))/(LN(2)/25)*Calculateur!V29*Calculateur!X29*VLOOKUP('Données projet'!$B$9,Paramètres!$A$1:$I$89,3,0)*0.475*44/12</f>
        <v>8.2947061074620247</v>
      </c>
      <c r="AB29" s="21">
        <f>EXP(-LN(2)/2)*AB28+(1-EXP(-LN(2)/2))/(LN(2)/2)*V29*Y29*VLOOKUP('Données projet'!$B$9,Paramètres!$A$1:$I$89,3,0)*0.475*44/12</f>
        <v>8.7911854969424486</v>
      </c>
      <c r="AC29" s="22">
        <f t="shared" si="3"/>
        <v>20.123562197337261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13.4</v>
      </c>
      <c r="AI29" s="13">
        <f>IF('Données projet'!$A$62&gt;35,AI28+AH29-AQ28,IF(A29&lt;'Données projet'!$A$62,$AF$205^A29,IF(A29='Données projet'!$A$62,'Données projet'!$B$62,AI28+AH29-AQ28)))</f>
        <v>140.40000000000003</v>
      </c>
      <c r="AJ29" s="13">
        <f>AI29*VLOOKUP('Données projet'!$B$10,Paramètres!$A$1:$I$89,3,0)*VLOOKUP('Données projet'!$B$10,Paramètres!$A$1:$I$89,5,0)</f>
        <v>83.959200000000024</v>
      </c>
      <c r="AK29" s="13">
        <f t="shared" si="35"/>
        <v>23.102490880810642</v>
      </c>
      <c r="AL29" s="20">
        <f t="shared" si="4"/>
        <v>186.46577828407854</v>
      </c>
      <c r="AM29" s="59">
        <f t="shared" si="5"/>
        <v>474.91022272852297</v>
      </c>
      <c r="AN29" s="59">
        <f ca="1">AVERAGE(OFFSET($AM$3,0,0,'Données projet'!$E$10+1,1))-AVERAGE(OFFSET($H$3,0,0,'Données projet'!$E$10+1,1))</f>
        <v>370.12772664814923</v>
      </c>
      <c r="AO29" s="59">
        <f t="shared" si="36"/>
        <v>292.26503163353146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2.8402204370156969</v>
      </c>
      <c r="AV29" s="21">
        <f>EXP(-LN(2)/25)*AV28+(1-EXP(-LN(2)/25))/(LN(2)/25)*Calculateur!AQ29*Calculateur!AS29*VLOOKUP('Données projet'!$B$10,Paramètres!$A$1:$I$89,3,0)*0.475*44/12</f>
        <v>3.370167874508772</v>
      </c>
      <c r="AW29" s="21">
        <f>EXP(-LN(2)/2)*AW28+(1-EXP(-LN(2)/2))/(LN(2)/2)*AQ29*AT29*VLOOKUP('Données projet'!$B$10,Paramètres!$A$1:$I$89,3,0)*0.475*44/12</f>
        <v>4.066677534734028</v>
      </c>
      <c r="AX29" s="21">
        <f t="shared" si="6"/>
        <v>10.277065846258497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9.1999999999999993</v>
      </c>
      <c r="BD29" s="12">
        <f>IF('Données projet'!$A$88&gt;35,BD28+BC29-BL28,IF(A29&lt;'Données projet'!$A$88,$BA$205^A29,IF(A29='Données projet'!$A$88,'Données projet'!$B$88,BD28+BC29-BL28)))</f>
        <v>84.200000000000017</v>
      </c>
      <c r="BE29" s="13">
        <f>BD29*VLOOKUP('Données projet'!$B$11,Paramètres!$A$1:$I$89,3,0)*VLOOKUP('Données projet'!$B$11,Paramètres!$A$1:$I$89,5,0)</f>
        <v>90.632880000000014</v>
      </c>
      <c r="BF29" s="13">
        <f t="shared" si="37"/>
        <v>24.717798105117861</v>
      </c>
      <c r="BG29" s="20">
        <f t="shared" si="7"/>
        <v>200.90243103308026</v>
      </c>
      <c r="BH29" s="59">
        <f t="shared" si="8"/>
        <v>489.34687547752469</v>
      </c>
      <c r="BI29" s="59">
        <f ca="1">AVERAGE(OFFSET($BH$3,0,0,'Données projet'!$E$11+1,1))-AVERAGE(OFFSET($H$3,0,0,'Données projet'!$E$11+1,1))</f>
        <v>475.01366239340246</v>
      </c>
      <c r="BJ29" s="59">
        <f t="shared" si="38"/>
        <v>322.81767004794284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4.7589514484670916</v>
      </c>
      <c r="BQ29" s="21">
        <f>EXP(-LN(2)/25)*BQ28+(1-EXP(-LN(2)/25))/(LN(2)/25)*Calculateur!BL29*Calculateur!BN29*VLOOKUP('Données projet'!$B$11,Paramètres!$A$1:$I$89,3,0)*0.475*44/12</f>
        <v>6.0698988162231933</v>
      </c>
      <c r="BR29" s="21">
        <f>EXP(-LN(2)/2)*BR28+(1-EXP(-LN(2)/2))/(LN(2)/2)*BL29*BO29*VLOOKUP('Données projet'!$B$11,Paramètres!$A$1:$I$89,3,0)*0.475*44/12</f>
        <v>6.4894552807559602</v>
      </c>
      <c r="BS29" s="22">
        <f t="shared" si="9"/>
        <v>17.318305545446243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7</v>
      </c>
      <c r="BY29" s="12">
        <f>IF('Données projet'!$A$114&gt;35,BY28+BX29-CG28,IF(A29&lt;'Données projet'!$A$114,$BV$205^A29,IF(A29='Données projet'!$A$114,'Données projet'!$B$114,BY28+BX29-CG28)))</f>
        <v>69</v>
      </c>
      <c r="BZ29" s="13">
        <f>BY29*VLOOKUP('Données projet'!$B$12,Paramètres!$A$1:$I$89,3,0)*VLOOKUP('Données projet'!$B$12,Paramètres!$A$1:$I$89,5,0)</f>
        <v>46.285199999999996</v>
      </c>
      <c r="CA29" s="13">
        <f t="shared" si="39"/>
        <v>13.650128629818649</v>
      </c>
      <c r="CB29" s="20">
        <f t="shared" si="10"/>
        <v>104.38736403026746</v>
      </c>
      <c r="CC29" s="59">
        <f t="shared" si="11"/>
        <v>392.83180847471192</v>
      </c>
      <c r="CD29" s="59">
        <f ca="1">AVERAGE(OFFSET($CC$3,0,0,'Données projet'!$E$12+1,1))-AVERAGE(OFFSET($H$3,0,0,'Données projet'!$E$12+1,1))</f>
        <v>254.8851926268614</v>
      </c>
      <c r="CE29" s="59">
        <f t="shared" si="40"/>
        <v>182.11500693273973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0.61650295071372352</v>
      </c>
      <c r="CL29" s="21">
        <f>EXP(-LN(2)/25)*CL28+(1-EXP(-LN(2)/25))/(LN(2)/25)*Calculateur!CG29*Calculateur!CI29*VLOOKUP('Données projet'!$B$12,Paramètres!$A$1:$I$89,3,0)*0.475*44/12</f>
        <v>0.60923024924969726</v>
      </c>
      <c r="CM29" s="21">
        <f>EXP(-LN(2)/2)*CM28+(1-EXP(-LN(2)/2))/(LN(2)/2)*CG29*CJ29*VLOOKUP('Données projet'!$B$12,Paramètres!$A$1:$I$89,3,0)*0.475*44/12</f>
        <v>2.1481944322646314</v>
      </c>
      <c r="CN29" s="22">
        <f t="shared" si="12"/>
        <v>3.3739276322280523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9.4871794871794854</v>
      </c>
      <c r="N30" s="13">
        <f>IF('Données projet'!$A$36&gt;35,N29+M30-V29,IF(A30&lt;'Données projet'!$A$36,$K$205^A30,IF(A30='Données projet'!$A$36,'Données projet'!$B$36,N29+M30-V29)))</f>
        <v>102.94871794871794</v>
      </c>
      <c r="O30" s="13">
        <f>N30*VLOOKUP('Données projet'!$B$9,Paramètres!$A$1:$I$89,3,0)*VLOOKUP('Données projet'!$B$9,Paramètres!$A$1:$I$89,5,0)</f>
        <v>107.602</v>
      </c>
      <c r="P30" s="13">
        <f t="shared" si="33"/>
        <v>28.765274351986371</v>
      </c>
      <c r="Q30" s="20">
        <f t="shared" si="2"/>
        <v>237.50633616304296</v>
      </c>
      <c r="R30" s="59">
        <f t="shared" si="0"/>
        <v>527.17300282970962</v>
      </c>
      <c r="S30" s="59">
        <f ca="1">AVERAGE(OFFSET($R$3,0,0,'Données projet'!$E$9+1,1))-AVERAGE(OFFSET($H$3,0,0,'Données projet'!$E$9+1,1))</f>
        <v>241.84492910369795</v>
      </c>
      <c r="T30" s="59">
        <f t="shared" si="34"/>
        <v>338.04336767245667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2.9781037254014886</v>
      </c>
      <c r="AA30" s="21">
        <f>EXP(-LN(2)/25)*AA29+(1-EXP(-LN(2)/25))/(LN(2)/25)*Calculateur!V30*Calculateur!X30*VLOOKUP('Données projet'!$B$9,Paramètres!$A$1:$I$89,3,0)*0.475*44/12</f>
        <v>8.0678869327538401</v>
      </c>
      <c r="AB30" s="21">
        <f>EXP(-LN(2)/2)*AB29+(1-EXP(-LN(2)/2))/(LN(2)/2)*V30*Y30*VLOOKUP('Données projet'!$B$9,Paramètres!$A$1:$I$89,3,0)*0.475*44/12</f>
        <v>6.2163068795568348</v>
      </c>
      <c r="AC30" s="22">
        <f t="shared" si="3"/>
        <v>17.262297537712165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13.4</v>
      </c>
      <c r="AI30" s="13">
        <f>IF('Données projet'!$A$62&gt;35,AI29+AH30-AQ29,IF(A30&lt;'Données projet'!$A$62,$AF$205^A30,IF(A30='Données projet'!$A$62,'Données projet'!$B$62,AI29+AH30-AQ29)))</f>
        <v>153.80000000000004</v>
      </c>
      <c r="AJ30" s="13">
        <f>AI30*VLOOKUP('Données projet'!$B$10,Paramètres!$A$1:$I$89,3,0)*VLOOKUP('Données projet'!$B$10,Paramètres!$A$1:$I$89,5,0)</f>
        <v>91.972400000000022</v>
      </c>
      <c r="AK30" s="13">
        <f t="shared" si="35"/>
        <v>25.040318527820091</v>
      </c>
      <c r="AL30" s="20">
        <f t="shared" si="4"/>
        <v>203.79715143595334</v>
      </c>
      <c r="AM30" s="59">
        <f t="shared" si="5"/>
        <v>493.46381810262005</v>
      </c>
      <c r="AN30" s="59">
        <f ca="1">AVERAGE(OFFSET($AM$3,0,0,'Données projet'!$E$10+1,1))-AVERAGE(OFFSET($H$3,0,0,'Données projet'!$E$10+1,1))</f>
        <v>370.12772664814923</v>
      </c>
      <c r="AO30" s="59">
        <f t="shared" si="36"/>
        <v>292.26503163353146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2.7845254466092291</v>
      </c>
      <c r="AV30" s="21">
        <f>EXP(-LN(2)/25)*AV29+(1-EXP(-LN(2)/25))/(LN(2)/25)*Calculateur!AQ30*Calculateur!AS30*VLOOKUP('Données projet'!$B$10,Paramètres!$A$1:$I$89,3,0)*0.475*44/12</f>
        <v>3.2780104567509039</v>
      </c>
      <c r="AW30" s="21">
        <f>EXP(-LN(2)/2)*AW29+(1-EXP(-LN(2)/2))/(LN(2)/2)*AQ30*AT30*VLOOKUP('Données projet'!$B$10,Paramètres!$A$1:$I$89,3,0)*0.475*44/12</f>
        <v>2.875575261709423</v>
      </c>
      <c r="AX30" s="21">
        <f t="shared" si="6"/>
        <v>8.9381111650695555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9.1999999999999993</v>
      </c>
      <c r="BD30" s="12">
        <f>IF('Données projet'!$A$88&gt;35,BD29+BC30-BL29,IF(A30&lt;'Données projet'!$A$88,$BA$205^A30,IF(A30='Données projet'!$A$88,'Données projet'!$B$88,BD29+BC30-BL29)))</f>
        <v>93.40000000000002</v>
      </c>
      <c r="BE30" s="13">
        <f>BD30*VLOOKUP('Données projet'!$B$11,Paramètres!$A$1:$I$89,3,0)*VLOOKUP('Données projet'!$B$11,Paramètres!$A$1:$I$89,5,0)</f>
        <v>100.53576000000002</v>
      </c>
      <c r="BF30" s="13">
        <f t="shared" si="37"/>
        <v>27.08959526060206</v>
      </c>
      <c r="BG30" s="20">
        <f t="shared" si="7"/>
        <v>222.28082707888197</v>
      </c>
      <c r="BH30" s="59">
        <f t="shared" si="8"/>
        <v>511.94749374554863</v>
      </c>
      <c r="BI30" s="59">
        <f ca="1">AVERAGE(OFFSET($BH$3,0,0,'Données projet'!$E$11+1,1))-AVERAGE(OFFSET($H$3,0,0,'Données projet'!$E$11+1,1))</f>
        <v>475.01366239340246</v>
      </c>
      <c r="BJ30" s="59">
        <f t="shared" si="38"/>
        <v>322.81767004794284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4.6656313132364202</v>
      </c>
      <c r="BQ30" s="21">
        <f>EXP(-LN(2)/25)*BQ29+(1-EXP(-LN(2)/25))/(LN(2)/25)*Calculateur!BL30*Calculateur!BN30*VLOOKUP('Données projet'!$B$11,Paramètres!$A$1:$I$89,3,0)*0.475*44/12</f>
        <v>5.9039171138914641</v>
      </c>
      <c r="BR30" s="21">
        <f>EXP(-LN(2)/2)*BR29+(1-EXP(-LN(2)/2))/(LN(2)/2)*BL30*BO30*VLOOKUP('Données projet'!$B$11,Paramètres!$A$1:$I$89,3,0)*0.475*44/12</f>
        <v>4.5887378352293906</v>
      </c>
      <c r="BS30" s="22">
        <f t="shared" si="9"/>
        <v>15.158286262357276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7</v>
      </c>
      <c r="BY30" s="12">
        <f>IF('Données projet'!$A$114&gt;35,BY29+BX30-CG29,IF(A30&lt;'Données projet'!$A$114,$BV$205^A30,IF(A30='Données projet'!$A$114,'Données projet'!$B$114,BY29+BX30-CG29)))</f>
        <v>76</v>
      </c>
      <c r="BZ30" s="13">
        <f>BY30*VLOOKUP('Données projet'!$B$12,Paramètres!$A$1:$I$89,3,0)*VLOOKUP('Données projet'!$B$12,Paramètres!$A$1:$I$89,5,0)</f>
        <v>50.980800000000002</v>
      </c>
      <c r="CA30" s="13">
        <f t="shared" si="39"/>
        <v>14.866768454227241</v>
      </c>
      <c r="CB30" s="20">
        <f t="shared" si="10"/>
        <v>114.68451505777911</v>
      </c>
      <c r="CC30" s="59">
        <f t="shared" si="11"/>
        <v>404.35118172444578</v>
      </c>
      <c r="CD30" s="59">
        <f ca="1">AVERAGE(OFFSET($CC$3,0,0,'Données projet'!$E$12+1,1))-AVERAGE(OFFSET($H$3,0,0,'Données projet'!$E$12+1,1))</f>
        <v>254.8851926268614</v>
      </c>
      <c r="CE30" s="59">
        <f t="shared" si="40"/>
        <v>182.11500693273973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0.60441370387989746</v>
      </c>
      <c r="CL30" s="21">
        <f>EXP(-LN(2)/25)*CL29+(1-EXP(-LN(2)/25))/(LN(2)/25)*Calculateur!CG30*Calculateur!CI30*VLOOKUP('Données projet'!$B$12,Paramètres!$A$1:$I$89,3,0)*0.475*44/12</f>
        <v>0.59257081604593786</v>
      </c>
      <c r="CM30" s="21">
        <f>EXP(-LN(2)/2)*CM29+(1-EXP(-LN(2)/2))/(LN(2)/2)*CG30*CJ30*VLOOKUP('Données projet'!$B$12,Paramètres!$A$1:$I$89,3,0)*0.475*44/12</f>
        <v>1.5190028503615065</v>
      </c>
      <c r="CN30" s="22">
        <f t="shared" si="12"/>
        <v>2.7159873702873418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9.4871794871794854</v>
      </c>
      <c r="N31" s="13">
        <f>IF('Données projet'!$A$36&gt;35,N30+M31-V30,IF(A31&lt;'Données projet'!$A$36,$K$205^A31,IF(A31='Données projet'!$A$36,'Données projet'!$B$36,N30+M31-V30)))</f>
        <v>112.43589743589743</v>
      </c>
      <c r="O31" s="13">
        <f>N31*VLOOKUP('Données projet'!$B$9,Paramètres!$A$1:$I$89,3,0)*VLOOKUP('Données projet'!$B$9,Paramètres!$A$1:$I$89,5,0)</f>
        <v>117.518</v>
      </c>
      <c r="P31" s="13">
        <f t="shared" si="33"/>
        <v>31.095411284848751</v>
      </c>
      <c r="Q31" s="20">
        <f t="shared" si="2"/>
        <v>258.83502465444491</v>
      </c>
      <c r="R31" s="59">
        <f t="shared" si="0"/>
        <v>549.72391354333377</v>
      </c>
      <c r="S31" s="59">
        <f ca="1">AVERAGE(OFFSET($R$3,0,0,'Données projet'!$E$9+1,1))-AVERAGE(OFFSET($H$3,0,0,'Données projet'!$E$9+1,1))</f>
        <v>241.84492910369795</v>
      </c>
      <c r="T31" s="59">
        <f t="shared" si="34"/>
        <v>338.04336767245667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2.9197049278102769</v>
      </c>
      <c r="AA31" s="21">
        <f>EXP(-LN(2)/25)*AA30+(1-EXP(-LN(2)/25))/(LN(2)/25)*Calculateur!V31*Calculateur!X31*VLOOKUP('Données projet'!$B$9,Paramètres!$A$1:$I$89,3,0)*0.475*44/12</f>
        <v>7.8472701403059517</v>
      </c>
      <c r="AB31" s="21">
        <f>EXP(-LN(2)/2)*AB30+(1-EXP(-LN(2)/2))/(LN(2)/2)*V31*Y31*VLOOKUP('Données projet'!$B$9,Paramètres!$A$1:$I$89,3,0)*0.475*44/12</f>
        <v>4.3955927484712252</v>
      </c>
      <c r="AC31" s="22">
        <f t="shared" si="3"/>
        <v>15.162567816587453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13.4</v>
      </c>
      <c r="AI31" s="13">
        <f>IF('Données projet'!$A$62&gt;35,AI30+AH31-AQ30,IF(A31&lt;'Données projet'!$A$62,$AF$205^A31,IF(A31='Données projet'!$A$62,'Données projet'!$B$62,AI30+AH31-AQ30)))</f>
        <v>167.20000000000005</v>
      </c>
      <c r="AJ31" s="13">
        <f>AI31*VLOOKUP('Données projet'!$B$10,Paramètres!$A$1:$I$89,3,0)*VLOOKUP('Données projet'!$B$10,Paramètres!$A$1:$I$89,5,0)</f>
        <v>99.985600000000034</v>
      </c>
      <c r="AK31" s="13">
        <f t="shared" si="35"/>
        <v>26.958566918169435</v>
      </c>
      <c r="AL31" s="20">
        <f t="shared" si="4"/>
        <v>221.09442404914515</v>
      </c>
      <c r="AM31" s="59">
        <f t="shared" si="5"/>
        <v>511.98331293803403</v>
      </c>
      <c r="AN31" s="59">
        <f ca="1">AVERAGE(OFFSET($AM$3,0,0,'Données projet'!$E$10+1,1))-AVERAGE(OFFSET($H$3,0,0,'Données projet'!$E$10+1,1))</f>
        <v>370.12772664814923</v>
      </c>
      <c r="AO31" s="59">
        <f t="shared" si="36"/>
        <v>292.26503163353146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2.7299226009940423</v>
      </c>
      <c r="AV31" s="21">
        <f>EXP(-LN(2)/25)*AV30+(1-EXP(-LN(2)/25))/(LN(2)/25)*Calculateur!AQ31*Calculateur!AS31*VLOOKUP('Données projet'!$B$10,Paramètres!$A$1:$I$89,3,0)*0.475*44/12</f>
        <v>3.1883730884279724</v>
      </c>
      <c r="AW31" s="21">
        <f>EXP(-LN(2)/2)*AW30+(1-EXP(-LN(2)/2))/(LN(2)/2)*AQ31*AT31*VLOOKUP('Données projet'!$B$10,Paramètres!$A$1:$I$89,3,0)*0.475*44/12</f>
        <v>2.0333387673670145</v>
      </c>
      <c r="AX31" s="21">
        <f t="shared" si="6"/>
        <v>7.95163445678903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9.1999999999999993</v>
      </c>
      <c r="BD31" s="12">
        <f>IF('Données projet'!$A$88&gt;35,BD30+BC31-BL30,IF(A31&lt;'Données projet'!$A$88,$BA$205^A31,IF(A31='Données projet'!$A$88,'Données projet'!$B$88,BD30+BC31-BL30)))</f>
        <v>102.60000000000002</v>
      </c>
      <c r="BE31" s="13">
        <f>BD31*VLOOKUP('Données projet'!$B$11,Paramètres!$A$1:$I$89,3,0)*VLOOKUP('Données projet'!$B$11,Paramètres!$A$1:$I$89,5,0)</f>
        <v>110.43864000000002</v>
      </c>
      <c r="BF31" s="13">
        <f t="shared" si="37"/>
        <v>29.434307628523538</v>
      </c>
      <c r="BG31" s="20">
        <f t="shared" si="7"/>
        <v>243.61205045301185</v>
      </c>
      <c r="BH31" s="59">
        <f t="shared" si="8"/>
        <v>534.50093934190068</v>
      </c>
      <c r="BI31" s="59">
        <f ca="1">AVERAGE(OFFSET($BH$3,0,0,'Données projet'!$E$11+1,1))-AVERAGE(OFFSET($H$3,0,0,'Données projet'!$E$11+1,1))</f>
        <v>475.01366239340246</v>
      </c>
      <c r="BJ31" s="59">
        <f t="shared" si="38"/>
        <v>322.81767004794284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4.5741411289379599</v>
      </c>
      <c r="BQ31" s="21">
        <f>EXP(-LN(2)/25)*BQ30+(1-EXP(-LN(2)/25))/(LN(2)/25)*Calculateur!BL31*Calculateur!BN31*VLOOKUP('Données projet'!$B$11,Paramètres!$A$1:$I$89,3,0)*0.475*44/12</f>
        <v>5.7424741899385943</v>
      </c>
      <c r="BR31" s="21">
        <f>EXP(-LN(2)/2)*BR30+(1-EXP(-LN(2)/2))/(LN(2)/2)*BL31*BO31*VLOOKUP('Données projet'!$B$11,Paramètres!$A$1:$I$89,3,0)*0.475*44/12</f>
        <v>3.2447276403779806</v>
      </c>
      <c r="BS31" s="22">
        <f t="shared" si="9"/>
        <v>13.561342959254535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7</v>
      </c>
      <c r="BY31" s="12">
        <f>IF('Données projet'!$A$114&gt;35,BY30+BX31-CG30,IF(A31&lt;'Données projet'!$A$114,$BV$205^A31,IF(A31='Données projet'!$A$114,'Données projet'!$B$114,BY30+BX31-CG30)))</f>
        <v>83</v>
      </c>
      <c r="BZ31" s="13">
        <f>BY31*VLOOKUP('Données projet'!$B$12,Paramètres!$A$1:$I$89,3,0)*VLOOKUP('Données projet'!$B$12,Paramètres!$A$1:$I$89,5,0)</f>
        <v>55.676400000000001</v>
      </c>
      <c r="CA31" s="13">
        <f t="shared" si="39"/>
        <v>16.07041491434039</v>
      </c>
      <c r="CB31" s="20">
        <f t="shared" si="10"/>
        <v>124.9590359758095</v>
      </c>
      <c r="CC31" s="59">
        <f t="shared" si="11"/>
        <v>415.84792486469837</v>
      </c>
      <c r="CD31" s="59">
        <f ca="1">AVERAGE(OFFSET($CC$3,0,0,'Données projet'!$E$12+1,1))-AVERAGE(OFFSET($H$3,0,0,'Données projet'!$E$12+1,1))</f>
        <v>254.8851926268614</v>
      </c>
      <c r="CE31" s="59">
        <f t="shared" si="40"/>
        <v>182.11500693273973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0.59256151980277028</v>
      </c>
      <c r="CL31" s="21">
        <f>EXP(-LN(2)/25)*CL30+(1-EXP(-LN(2)/25))/(LN(2)/25)*Calculateur!CG31*Calculateur!CI31*VLOOKUP('Données projet'!$B$12,Paramètres!$A$1:$I$89,3,0)*0.475*44/12</f>
        <v>0.57636693591921684</v>
      </c>
      <c r="CM31" s="21">
        <f>EXP(-LN(2)/2)*CM30+(1-EXP(-LN(2)/2))/(LN(2)/2)*CG31*CJ31*VLOOKUP('Données projet'!$B$12,Paramètres!$A$1:$I$89,3,0)*0.475*44/12</f>
        <v>1.0740972161323159</v>
      </c>
      <c r="CN31" s="22">
        <f t="shared" si="12"/>
        <v>2.2430256718543031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9.4871794871794854</v>
      </c>
      <c r="N32" s="13">
        <f>IF('Données projet'!$A$36&gt;35,N31+M32-V31,IF(A32&lt;'Données projet'!$A$36,$K$205^A32,IF(A32='Données projet'!$A$36,'Données projet'!$B$36,N31+M32-V31)))</f>
        <v>121.92307692307692</v>
      </c>
      <c r="O32" s="13">
        <f>N32*VLOOKUP('Données projet'!$B$9,Paramètres!$A$1:$I$89,3,0)*VLOOKUP('Données projet'!$B$9,Paramètres!$A$1:$I$89,5,0)</f>
        <v>127.43400000000001</v>
      </c>
      <c r="P32" s="13">
        <f t="shared" si="33"/>
        <v>33.402745873774826</v>
      </c>
      <c r="Q32" s="20">
        <f t="shared" si="2"/>
        <v>280.12399906349117</v>
      </c>
      <c r="R32" s="59">
        <f t="shared" si="0"/>
        <v>572.23511017460237</v>
      </c>
      <c r="S32" s="59">
        <f ca="1">AVERAGE(OFFSET($R$3,0,0,'Données projet'!$E$9+1,1))-AVERAGE(OFFSET($H$3,0,0,'Données projet'!$E$9+1,1))</f>
        <v>241.84492910369795</v>
      </c>
      <c r="T32" s="59">
        <f t="shared" si="34"/>
        <v>338.04336767245667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2.8624512950200796</v>
      </c>
      <c r="AA32" s="21">
        <f>EXP(-LN(2)/25)*AA31+(1-EXP(-LN(2)/25))/(LN(2)/25)*Calculateur!V32*Calculateur!X32*VLOOKUP('Données projet'!$B$9,Paramètres!$A$1:$I$89,3,0)*0.475*44/12</f>
        <v>7.6326861256492844</v>
      </c>
      <c r="AB32" s="21">
        <f>EXP(-LN(2)/2)*AB31+(1-EXP(-LN(2)/2))/(LN(2)/2)*V32*Y32*VLOOKUP('Données projet'!$B$9,Paramètres!$A$1:$I$89,3,0)*0.475*44/12</f>
        <v>3.1081534397784178</v>
      </c>
      <c r="AC32" s="22">
        <f t="shared" si="3"/>
        <v>13.603290860447782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13.4</v>
      </c>
      <c r="AI32" s="13">
        <f>IF('Données projet'!$A$62&gt;35,AI31+AH32-AQ31,IF(A32&lt;'Données projet'!$A$62,$AF$205^A32,IF(A32='Données projet'!$A$62,'Données projet'!$B$62,AI31+AH32-AQ31)))</f>
        <v>180.60000000000005</v>
      </c>
      <c r="AJ32" s="13">
        <f>AI32*VLOOKUP('Données projet'!$B$10,Paramètres!$A$1:$I$89,3,0)*VLOOKUP('Données projet'!$B$10,Paramètres!$A$1:$I$89,5,0)</f>
        <v>107.99880000000003</v>
      </c>
      <c r="AK32" s="13">
        <f t="shared" si="35"/>
        <v>28.85898360070161</v>
      </c>
      <c r="AL32" s="20">
        <f t="shared" si="4"/>
        <v>238.36063977122203</v>
      </c>
      <c r="AM32" s="59">
        <f t="shared" si="5"/>
        <v>530.47175088233314</v>
      </c>
      <c r="AN32" s="59">
        <f ca="1">AVERAGE(OFFSET($AM$3,0,0,'Données projet'!$E$10+1,1))-AVERAGE(OFFSET($H$3,0,0,'Données projet'!$E$10+1,1))</f>
        <v>370.12772664814923</v>
      </c>
      <c r="AO32" s="59">
        <f t="shared" si="36"/>
        <v>292.26503163353146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2.6763904838769217</v>
      </c>
      <c r="AV32" s="21">
        <f>EXP(-LN(2)/25)*AV31+(1-EXP(-LN(2)/25))/(LN(2)/25)*Calculateur!AQ32*Calculateur!AS32*VLOOKUP('Données projet'!$B$10,Paramètres!$A$1:$I$89,3,0)*0.475*44/12</f>
        <v>3.1011868586556557</v>
      </c>
      <c r="AW32" s="21">
        <f>EXP(-LN(2)/2)*AW31+(1-EXP(-LN(2)/2))/(LN(2)/2)*AQ32*AT32*VLOOKUP('Données projet'!$B$10,Paramètres!$A$1:$I$89,3,0)*0.475*44/12</f>
        <v>1.437787630854712</v>
      </c>
      <c r="AX32" s="21">
        <f t="shared" si="6"/>
        <v>7.2153649733872891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9.1999999999999993</v>
      </c>
      <c r="BD32" s="12">
        <f>IF('Données projet'!$A$88&gt;35,BD31+BC32-BL31,IF(A32&lt;'Données projet'!$A$88,$BA$205^A32,IF(A32='Données projet'!$A$88,'Données projet'!$B$88,BD31+BC32-BL31)))</f>
        <v>111.80000000000003</v>
      </c>
      <c r="BE32" s="13">
        <f>BD32*VLOOKUP('Données projet'!$B$11,Paramètres!$A$1:$I$89,3,0)*VLOOKUP('Données projet'!$B$11,Paramètres!$A$1:$I$89,5,0)</f>
        <v>120.34152000000002</v>
      </c>
      <c r="BF32" s="13">
        <f t="shared" si="37"/>
        <v>31.754640046026051</v>
      </c>
      <c r="BG32" s="20">
        <f t="shared" si="7"/>
        <v>264.90081208016204</v>
      </c>
      <c r="BH32" s="59">
        <f t="shared" si="8"/>
        <v>557.01192319127313</v>
      </c>
      <c r="BI32" s="59">
        <f ca="1">AVERAGE(OFFSET($BH$3,0,0,'Données projet'!$E$11+1,1))-AVERAGE(OFFSET($H$3,0,0,'Données projet'!$E$11+1,1))</f>
        <v>475.01366239340246</v>
      </c>
      <c r="BJ32" s="59">
        <f t="shared" si="38"/>
        <v>322.81767004794284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4.4844450113500907</v>
      </c>
      <c r="BQ32" s="21">
        <f>EXP(-LN(2)/25)*BQ31+(1-EXP(-LN(2)/25))/(LN(2)/25)*Calculateur!BL32*Calculateur!BN32*VLOOKUP('Données projet'!$B$11,Paramètres!$A$1:$I$89,3,0)*0.475*44/12</f>
        <v>5.5854459312311304</v>
      </c>
      <c r="BR32" s="21">
        <f>EXP(-LN(2)/2)*BR31+(1-EXP(-LN(2)/2))/(LN(2)/2)*BL32*BO32*VLOOKUP('Données projet'!$B$11,Paramètres!$A$1:$I$89,3,0)*0.475*44/12</f>
        <v>2.2943689176146953</v>
      </c>
      <c r="BS32" s="22">
        <f t="shared" si="9"/>
        <v>12.364259860195917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7</v>
      </c>
      <c r="BY32" s="12">
        <f>IF('Données projet'!$A$114&gt;35,BY31+BX32-CG31,IF(A32&lt;'Données projet'!$A$114,$BV$205^A32,IF(A32='Données projet'!$A$114,'Données projet'!$B$114,BY31+BX32-CG31)))</f>
        <v>90</v>
      </c>
      <c r="BZ32" s="13">
        <f>BY32*VLOOKUP('Données projet'!$B$12,Paramètres!$A$1:$I$89,3,0)*VLOOKUP('Données projet'!$B$12,Paramètres!$A$1:$I$89,5,0)</f>
        <v>60.372000000000007</v>
      </c>
      <c r="CA32" s="13">
        <f t="shared" si="39"/>
        <v>17.262288423858575</v>
      </c>
      <c r="CB32" s="20">
        <f t="shared" si="10"/>
        <v>135.21305233822034</v>
      </c>
      <c r="CC32" s="59">
        <f t="shared" si="11"/>
        <v>427.32416344933148</v>
      </c>
      <c r="CD32" s="59">
        <f ca="1">AVERAGE(OFFSET($CC$3,0,0,'Données projet'!$E$12+1,1))-AVERAGE(OFFSET($H$3,0,0,'Données projet'!$E$12+1,1))</f>
        <v>254.8851926268614</v>
      </c>
      <c r="CE32" s="59">
        <f t="shared" si="40"/>
        <v>182.11500693273973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0.58094174982627711</v>
      </c>
      <c r="CL32" s="21">
        <f>EXP(-LN(2)/25)*CL31+(1-EXP(-LN(2)/25))/(LN(2)/25)*Calculateur!CG32*Calculateur!CI32*VLOOKUP('Données projet'!$B$12,Paramètres!$A$1:$I$89,3,0)*0.475*44/12</f>
        <v>0.56060615174668604</v>
      </c>
      <c r="CM32" s="21">
        <f>EXP(-LN(2)/2)*CM31+(1-EXP(-LN(2)/2))/(LN(2)/2)*CG32*CJ32*VLOOKUP('Données projet'!$B$12,Paramètres!$A$1:$I$89,3,0)*0.475*44/12</f>
        <v>0.75950142518075336</v>
      </c>
      <c r="CN32" s="22">
        <f t="shared" si="12"/>
        <v>1.9010493267537165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131.41025641025641</v>
      </c>
      <c r="L33" s="12">
        <f>VLOOKUP(A33,'Données projet'!$A$35:$I$55,9,0)</f>
        <v>9.4871794871794854</v>
      </c>
      <c r="M33" s="12">
        <f t="array" ref="M33">INDEX(L:L,MIN(IF(ISNUMBER(L33:L229),ROW(L33:L229),"")))</f>
        <v>9.4871794871794854</v>
      </c>
      <c r="N33" s="13">
        <f>IF('Données projet'!$A$36&gt;35,N32+M33-V32,IF(A33&lt;'Données projet'!$A$36,$K$205^A33,IF(A33='Données projet'!$A$36,'Données projet'!$B$36,N32+M33-V32)))</f>
        <v>131.41025641025641</v>
      </c>
      <c r="O33" s="13">
        <f>N33*VLOOKUP('Données projet'!$B$9,Paramètres!$A$1:$I$89,3,0)*VLOOKUP('Données projet'!$B$9,Paramètres!$A$1:$I$89,5,0)</f>
        <v>137.35</v>
      </c>
      <c r="P33" s="13">
        <f t="shared" si="33"/>
        <v>35.68925416600387</v>
      </c>
      <c r="Q33" s="20">
        <f t="shared" si="2"/>
        <v>301.37670100579004</v>
      </c>
      <c r="R33" s="59">
        <f t="shared" si="0"/>
        <v>594.71003433912335</v>
      </c>
      <c r="S33" s="59">
        <f ca="1">AVERAGE(OFFSET($R$3,0,0,'Données projet'!$E$9+1,1))-AVERAGE(OFFSET($H$3,0,0,'Données projet'!$E$9+1,1))</f>
        <v>241.84492910369795</v>
      </c>
      <c r="T33" s="59">
        <f t="shared" si="34"/>
        <v>338.04336767245667</v>
      </c>
      <c r="U33" s="15">
        <f>IF(ISNA(VLOOKUP(A33,'Données projet'!$A$35:$I$55,3,0)),0,VLOOKUP(A33,'Données projet'!$A$35:$I$55,3,0))</f>
        <v>4</v>
      </c>
      <c r="V33" s="15">
        <f>IF(ISNA(VLOOKUP(A33,'Données projet'!$A$35:$I$55,4,0)),0,VLOOKUP(A33,'Données projet'!$A$35:$I$55,4,0))</f>
        <v>32.692307692307693</v>
      </c>
      <c r="W33" s="16">
        <f>IF(ISNA(VLOOKUP(A33,'Données projet'!$A$35:$I$55,5,0)),0%,VLOOKUP(A33,'Données projet'!$A$35:$I$55,5,0)*VLOOKUP('Données projet'!$B$9,Paramètres!$A$1:$I$89,7,0))</f>
        <v>8.6000000000000007E-2</v>
      </c>
      <c r="X33" s="16">
        <f>IF(ISNA(VLOOKUP(A33,'Données projet'!$A$35:$I$55,6,0)),0%,VLOOKUP(A33,'Données projet'!$A$35:$I$55,6,0)*VLOOKUP('Données projet'!$B$9,Paramètres!$A$1:$I$89,7,0))</f>
        <v>0.17200000000000001</v>
      </c>
      <c r="Y33" s="16">
        <f>IF(ISNA(VLOOKUP(A33,'Données projet'!$A$35:$I$55,7,0)),0%,VLOOKUP(A33,'Données projet'!$A$35:$I$55,7,0))</f>
        <v>0.2</v>
      </c>
      <c r="Z33" s="21">
        <f>EXP(-LN(2)/35)*Z32+(1-EXP(-LN(2)/35))/(LN(2)/35)*V33*W33*VLOOKUP('Données projet'!$B$9,Paramètres!$A$1:$I$89,3,0)*0.475*44/12</f>
        <v>6.0548777377507488</v>
      </c>
      <c r="AA33" s="21">
        <f>EXP(-LN(2)/25)*AA32+(1-EXP(-LN(2)/25))/(LN(2)/25)*Calculateur!V33*Calculateur!X33*VLOOKUP('Données projet'!$B$9,Paramètres!$A$1:$I$89,3,0)*0.475*44/12</f>
        <v>13.895503039263907</v>
      </c>
      <c r="AB33" s="21">
        <f>EXP(-LN(2)/2)*AB32+(1-EXP(-LN(2)/2))/(LN(2)/2)*V33*Y33*VLOOKUP('Données projet'!$B$9,Paramètres!$A$1:$I$89,3,0)*0.475*44/12</f>
        <v>8.645859308648836</v>
      </c>
      <c r="AC33" s="22">
        <f t="shared" si="3"/>
        <v>28.596240085663496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194</v>
      </c>
      <c r="AG33" s="12">
        <f>VLOOKUP(A33,'Données projet'!$A$61:$I$81,9,0)</f>
        <v>13.4</v>
      </c>
      <c r="AH33" s="12">
        <f t="array" ref="AH33">INDEX(AG:AG,MIN(IF(ISNUMBER(AG33:AG229),ROW(AG33:AG229),"")))</f>
        <v>13.4</v>
      </c>
      <c r="AI33" s="13">
        <f>IF('Données projet'!$A$62&gt;35,AI32+AH33-AQ32,IF(A33&lt;'Données projet'!$A$62,$AF$205^A33,IF(A33='Données projet'!$A$62,'Données projet'!$B$62,AI32+AH33-AQ32)))</f>
        <v>194.00000000000006</v>
      </c>
      <c r="AJ33" s="13">
        <f>AI33*VLOOKUP('Données projet'!$B$10,Paramètres!$A$1:$I$89,3,0)*VLOOKUP('Données projet'!$B$10,Paramètres!$A$1:$I$89,5,0)</f>
        <v>116.01200000000003</v>
      </c>
      <c r="AK33" s="13">
        <f t="shared" si="35"/>
        <v>30.743042086238173</v>
      </c>
      <c r="AL33" s="20">
        <f t="shared" si="4"/>
        <v>255.59836496686489</v>
      </c>
      <c r="AM33" s="59">
        <f t="shared" si="5"/>
        <v>548.93169830019815</v>
      </c>
      <c r="AN33" s="59">
        <f ca="1">AVERAGE(OFFSET($AM$3,0,0,'Données projet'!$E$10+1,1))-AVERAGE(OFFSET($H$3,0,0,'Données projet'!$E$10+1,1))</f>
        <v>370.12772664814923</v>
      </c>
      <c r="AO33" s="59">
        <f t="shared" si="36"/>
        <v>292.26503163353146</v>
      </c>
      <c r="AP33" s="15">
        <f>IF(ISNA(VLOOKUP(A33,'Données projet'!$A$61:$I$81,3,0)),0,VLOOKUP(A33,'Données projet'!$A$61:$I$81,3,0))</f>
        <v>3</v>
      </c>
      <c r="AQ33" s="15">
        <f>IF(ISNA(VLOOKUP(A33,'Données projet'!$A$61:$I$81,4,0)),0,VLOOKUP(A33,'Données projet'!$A$61:$I$81,4,0))</f>
        <v>34</v>
      </c>
      <c r="AR33" s="16">
        <f>IF(ISNA(VLOOKUP(A33,'Données projet'!$A$61:$I$81,5,0)),0%,VLOOKUP(A33,'Données projet'!$A$61:$I$81,5,0)*VLOOKUP('Données projet'!$B$10,Paramètres!$A$1:$I$89,7,0))</f>
        <v>0.18000000000000002</v>
      </c>
      <c r="AS33" s="16">
        <f>IF(ISNA(VLOOKUP(A33,'Données projet'!$A$61:$I$81,6,0)),0%,VLOOKUP(A33,'Données projet'!$A$61:$I$81,6,0)*VLOOKUP('Données projet'!$B$10,Paramètres!$A$1:$I$89,7,0))</f>
        <v>0.13500000000000001</v>
      </c>
      <c r="AT33" s="16">
        <f>IF(ISNA(VLOOKUP(A33,'Données projet'!$A$61:$I$81,7,0)),0%,VLOOKUP(A33,'Données projet'!$A$61:$I$81,7,0))</f>
        <v>0.3</v>
      </c>
      <c r="AU33" s="21">
        <f>EXP(-LN(2)/35)*AU32+(1-EXP(-LN(2)/35))/(LN(2)/35)*AQ33*AR33*VLOOKUP('Données projet'!$B$10,Paramètres!$A$1:$I$89,3,0)*0.475*44/12</f>
        <v>7.4788156303645135</v>
      </c>
      <c r="AV33" s="21">
        <f>EXP(-LN(2)/25)*AV32+(1-EXP(-LN(2)/25))/(LN(2)/25)*Calculateur!AQ33*Calculateur!AS33*VLOOKUP('Données projet'!$B$10,Paramètres!$A$1:$I$89,3,0)*0.475*44/12</f>
        <v>6.6432286738888919</v>
      </c>
      <c r="AW33" s="21">
        <f>EXP(-LN(2)/2)*AW32+(1-EXP(-LN(2)/2))/(LN(2)/2)*AQ33*AT33*VLOOKUP('Données projet'!$B$10,Paramètres!$A$1:$I$89,3,0)*0.475*44/12</f>
        <v>7.9228335056759391</v>
      </c>
      <c r="AX33" s="21">
        <f t="shared" si="6"/>
        <v>22.044877809929346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121</v>
      </c>
      <c r="BB33" s="12">
        <f>VLOOKUP(A33,'Données projet'!$A$87:$I$107,9,0)</f>
        <v>9.1999999999999993</v>
      </c>
      <c r="BC33" s="12">
        <f t="array" ref="BC33">INDEX(BB:BB,MIN(IF(ISNUMBER(BB33:BB229),ROW(BB33:BB229),"")))</f>
        <v>9.1999999999999993</v>
      </c>
      <c r="BD33" s="12">
        <f>IF('Données projet'!$A$88&gt;35,BD32+BC33-BL32,IF(A33&lt;'Données projet'!$A$88,$BA$205^A33,IF(A33='Données projet'!$A$88,'Données projet'!$B$88,BD32+BC33-BL32)))</f>
        <v>121.00000000000003</v>
      </c>
      <c r="BE33" s="13">
        <f>BD33*VLOOKUP('Données projet'!$B$11,Paramètres!$A$1:$I$89,3,0)*VLOOKUP('Données projet'!$B$11,Paramètres!$A$1:$I$89,5,0)</f>
        <v>130.24440000000001</v>
      </c>
      <c r="BF33" s="13">
        <f t="shared" si="37"/>
        <v>34.052826821785409</v>
      </c>
      <c r="BG33" s="20">
        <f t="shared" si="7"/>
        <v>286.15100338127621</v>
      </c>
      <c r="BH33" s="59">
        <f t="shared" si="8"/>
        <v>579.48433671460953</v>
      </c>
      <c r="BI33" s="59">
        <f ca="1">AVERAGE(OFFSET($BH$3,0,0,'Données projet'!$E$11+1,1))-AVERAGE(OFFSET($H$3,0,0,'Données projet'!$E$11+1,1))</f>
        <v>475.01366239340246</v>
      </c>
      <c r="BJ33" s="59">
        <f t="shared" si="38"/>
        <v>322.81767004794284</v>
      </c>
      <c r="BK33" s="15">
        <f>IF(ISNA(VLOOKUP(A33,'Données projet'!$A$87:$I$107,3,0)),0,VLOOKUP(A33,'Données projet'!$A$87:$I$107,3,0))</f>
        <v>3</v>
      </c>
      <c r="BL33" s="15">
        <f>IF(ISNA(VLOOKUP(A33,'Données projet'!$A$87:$I$107,4,0)),0,VLOOKUP(A33,'Données projet'!$A$87:$I$107,4,0))</f>
        <v>28</v>
      </c>
      <c r="BM33" s="16">
        <f>IF(ISNA(VLOOKUP(A33,'Données projet'!$A$87:$I$107,5,0)),0%,VLOOKUP(A33,'Données projet'!$A$87:$I$107,5,0)*VLOOKUP('Données projet'!$B$11,Paramètres!$A$1:$I$89,7,0))</f>
        <v>0.129</v>
      </c>
      <c r="BN33" s="16">
        <f>IF(ISNA(VLOOKUP(A33,'Données projet'!$A$87:$I$107,6,0)),0%,VLOOKUP(A33,'Données projet'!$A$87:$I$107,6,0)*VLOOKUP('Données projet'!$B$11,Paramètres!$A$1:$I$89,7,0))</f>
        <v>0.17200000000000001</v>
      </c>
      <c r="BO33" s="16">
        <f>IF(ISNA(VLOOKUP(A33,'Données projet'!$A$87:$I$107,7,0)),0%,VLOOKUP(A33,'Données projet'!$A$87:$I$107,7,0))</f>
        <v>0.3</v>
      </c>
      <c r="BP33" s="21">
        <f>EXP(-LN(2)/35)*BP32+(1-EXP(-LN(2)/35))/(LN(2)/35)*BL33*BM33*VLOOKUP('Données projet'!$B$11,Paramètres!$A$1:$I$89,3,0)*0.475*44/12</f>
        <v>8.6945288592226042</v>
      </c>
      <c r="BQ33" s="21">
        <f>EXP(-LN(2)/25)*BQ32+(1-EXP(-LN(2)/25))/(LN(2)/25)*Calculateur!BL33*Calculateur!BN33*VLOOKUP('Données projet'!$B$11,Paramètres!$A$1:$I$89,3,0)*0.475*44/12</f>
        <v>11.140842462035877</v>
      </c>
      <c r="BR33" s="21">
        <f>EXP(-LN(2)/2)*BR32+(1-EXP(-LN(2)/2))/(LN(2)/2)*BL33*BO33*VLOOKUP('Données projet'!$B$11,Paramètres!$A$1:$I$89,3,0)*0.475*44/12</f>
        <v>10.153507735591406</v>
      </c>
      <c r="BS33" s="22">
        <f t="shared" si="9"/>
        <v>29.988879056849889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97</v>
      </c>
      <c r="BW33" s="12">
        <f>VLOOKUP(A33,'Données projet'!$A$113:$I$133,9,0)</f>
        <v>7</v>
      </c>
      <c r="BX33" s="12">
        <f t="array" ref="BX33">INDEX(BW:BW,MIN(IF(ISNUMBER(BW33:BW229),ROW(BW33:BW229),"")))</f>
        <v>7</v>
      </c>
      <c r="BY33" s="12">
        <f>IF('Données projet'!$A$114&gt;35,BY32+BX33-CG32,IF(A33&lt;'Données projet'!$A$114,$BV$205^A33,IF(A33='Données projet'!$A$114,'Données projet'!$B$114,BY32+BX33-CG32)))</f>
        <v>97</v>
      </c>
      <c r="BZ33" s="13">
        <f>BY33*VLOOKUP('Données projet'!$B$12,Paramètres!$A$1:$I$89,3,0)*VLOOKUP('Données projet'!$B$12,Paramètres!$A$1:$I$89,5,0)</f>
        <v>65.067599999999999</v>
      </c>
      <c r="CA33" s="13">
        <f t="shared" si="39"/>
        <v>18.443408765209448</v>
      </c>
      <c r="CB33" s="20">
        <f t="shared" si="10"/>
        <v>145.44834026607313</v>
      </c>
      <c r="CC33" s="59">
        <f t="shared" si="11"/>
        <v>438.78167359940642</v>
      </c>
      <c r="CD33" s="59">
        <f ca="1">AVERAGE(OFFSET($CC$3,0,0,'Données projet'!$E$12+1,1))-AVERAGE(OFFSET($H$3,0,0,'Données projet'!$E$12+1,1))</f>
        <v>254.8851926268614</v>
      </c>
      <c r="CE33" s="59">
        <f t="shared" si="40"/>
        <v>182.11500693273973</v>
      </c>
      <c r="CF33" s="15">
        <f>IF(ISNA(VLOOKUP(A33,'Données projet'!$A$113:$I$133,3,0)),0,VLOOKUP(A33,'Données projet'!$A$113:$I$133,3,0))</f>
        <v>2</v>
      </c>
      <c r="CG33" s="15">
        <f>IF(ISNA(VLOOKUP(A33,'Données projet'!$A$113:$I$133,4,0)),0,VLOOKUP(A33,'Données projet'!$A$113:$I$133,4,0))</f>
        <v>21</v>
      </c>
      <c r="CH33" s="16">
        <f>IF(ISNA(VLOOKUP(A33,'Données projet'!$A$113:$I$133,5,0)),0%,VLOOKUP(A33,'Données projet'!$A$113:$I$133,5,0)*VLOOKUP('Données projet'!$B$12,Paramètres!$A$1:$I$89,7,0))</f>
        <v>0.159</v>
      </c>
      <c r="CI33" s="16">
        <f>IF(ISNA(VLOOKUP(A33,'Données projet'!$A$113:$I$133,6,0)),0%,VLOOKUP(A33,'Données projet'!$A$113:$I$133,6,0)*VLOOKUP('Données projet'!$B$12,Paramètres!$A$1:$I$89,7,0))</f>
        <v>0.21200000000000002</v>
      </c>
      <c r="CJ33" s="16">
        <f>IF(ISNA(VLOOKUP(A33,'Données projet'!$A$113:$I$133,7,0)),0%,VLOOKUP(A33,'Données projet'!$A$113:$I$133,7,0))</f>
        <v>0.3</v>
      </c>
      <c r="CK33" s="21">
        <f>EXP(-LN(2)/35)*CK32+(1-EXP(-LN(2)/35))/(LN(2)/35)*CG33*CH33*VLOOKUP('Données projet'!$B$12,Paramètres!$A$1:$I$89,3,0)*0.475*44/12</f>
        <v>3.0455837190940205</v>
      </c>
      <c r="CL33" s="21">
        <f>EXP(-LN(2)/25)*CL32+(1-EXP(-LN(2)/25))/(LN(2)/25)*Calculateur!CG33*Calculateur!CI33*VLOOKUP('Données projet'!$B$12,Paramètres!$A$1:$I$89,3,0)*0.475*44/12</f>
        <v>3.8336560721175368</v>
      </c>
      <c r="CM33" s="21">
        <f>EXP(-LN(2)/2)*CM32+(1-EXP(-LN(2)/2))/(LN(2)/2)*CG33*CJ33*VLOOKUP('Données projet'!$B$12,Paramètres!$A$1:$I$89,3,0)*0.475*44/12</f>
        <v>4.5244310902651126</v>
      </c>
      <c r="CN33" s="22">
        <f t="shared" si="12"/>
        <v>11.403670881476669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8.7179487179487154</v>
      </c>
      <c r="N34" s="13">
        <f>IF('Données projet'!$A$36&gt;35,N33+M34-V33,IF(A34&lt;'Données projet'!$A$36,$K$205^A34,IF(A34='Données projet'!$A$36,'Données projet'!$B$36,N33+M34-V33)))</f>
        <v>107.43589743589745</v>
      </c>
      <c r="O34" s="13">
        <f>N34*VLOOKUP('Données projet'!$B$9,Paramètres!$A$1:$I$89,3,0)*VLOOKUP('Données projet'!$B$9,Paramètres!$A$1:$I$89,5,0)</f>
        <v>112.29200000000002</v>
      </c>
      <c r="P34" s="13">
        <f t="shared" si="33"/>
        <v>29.870347810872556</v>
      </c>
      <c r="Q34" s="20">
        <f t="shared" si="2"/>
        <v>247.59942243726971</v>
      </c>
      <c r="R34" s="59">
        <f t="shared" si="0"/>
        <v>540.93275577060308</v>
      </c>
      <c r="S34" s="59">
        <f ca="1">AVERAGE(OFFSET($R$3,0,0,'Données projet'!$E$9+1,1))-AVERAGE(OFFSET($H$3,0,0,'Données projet'!$E$9+1,1))</f>
        <v>241.84492910369795</v>
      </c>
      <c r="T34" s="59">
        <f t="shared" si="34"/>
        <v>338.04336767245667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5.9361452784242124</v>
      </c>
      <c r="AA34" s="21">
        <f>EXP(-LN(2)/25)*AA33+(1-EXP(-LN(2)/25))/(LN(2)/25)*Calculateur!V34*Calculateur!X34*VLOOKUP('Données projet'!$B$9,Paramètres!$A$1:$I$89,3,0)*0.475*44/12</f>
        <v>13.51552977792249</v>
      </c>
      <c r="AB34" s="21">
        <f>EXP(-LN(2)/2)*AB33+(1-EXP(-LN(2)/2))/(LN(2)/2)*V34*Y34*VLOOKUP('Données projet'!$B$9,Paramètres!$A$1:$I$89,3,0)*0.475*44/12</f>
        <v>6.1135457463304279</v>
      </c>
      <c r="AC34" s="22">
        <f t="shared" si="3"/>
        <v>25.565220802677128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14.6</v>
      </c>
      <c r="AI34" s="13">
        <f>IF('Données projet'!$A$62&gt;35,AI33+AH34-AQ33,IF(A34&lt;'Données projet'!$A$62,$AF$205^A34,IF(A34='Données projet'!$A$62,'Données projet'!$B$62,AI33+AH34-AQ33)))</f>
        <v>174.60000000000005</v>
      </c>
      <c r="AJ34" s="13">
        <f>AI34*VLOOKUP('Données projet'!$B$10,Paramètres!$A$1:$I$89,3,0)*VLOOKUP('Données projet'!$B$10,Paramètres!$A$1:$I$89,5,0)</f>
        <v>104.41080000000004</v>
      </c>
      <c r="AK34" s="13">
        <f t="shared" si="35"/>
        <v>28.010155571424168</v>
      </c>
      <c r="AL34" s="20">
        <f t="shared" si="4"/>
        <v>230.63316428689714</v>
      </c>
      <c r="AM34" s="59">
        <f t="shared" si="5"/>
        <v>523.96649762023048</v>
      </c>
      <c r="AN34" s="59">
        <f ca="1">AVERAGE(OFFSET($AM$3,0,0,'Données projet'!$E$10+1,1))-AVERAGE(OFFSET($H$3,0,0,'Données projet'!$E$10+1,1))</f>
        <v>370.12772664814923</v>
      </c>
      <c r="AO34" s="59">
        <f t="shared" si="36"/>
        <v>292.26503163353146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7.3321606174801763</v>
      </c>
      <c r="AV34" s="21">
        <f>EXP(-LN(2)/25)*AV33+(1-EXP(-LN(2)/25))/(LN(2)/25)*Calculateur!AQ34*Calculateur!AS34*VLOOKUP('Données projet'!$B$10,Paramètres!$A$1:$I$89,3,0)*0.475*44/12</f>
        <v>6.4615692364491872</v>
      </c>
      <c r="AW34" s="21">
        <f>EXP(-LN(2)/2)*AW33+(1-EXP(-LN(2)/2))/(LN(2)/2)*AQ34*AT34*VLOOKUP('Données projet'!$B$10,Paramètres!$A$1:$I$89,3,0)*0.475*44/12</f>
        <v>5.6022892980754442</v>
      </c>
      <c r="AX34" s="21">
        <f t="shared" si="6"/>
        <v>19.396019152004808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10.8</v>
      </c>
      <c r="BD34" s="12">
        <f>IF('Données projet'!$A$88&gt;35,BD33+BC34-BL33,IF(A34&lt;'Données projet'!$A$88,$BA$205^A34,IF(A34='Données projet'!$A$88,'Données projet'!$B$88,BD33+BC34-BL33)))</f>
        <v>103.80000000000004</v>
      </c>
      <c r="BE34" s="13">
        <f>BD34*VLOOKUP('Données projet'!$B$11,Paramètres!$A$1:$I$89,3,0)*VLOOKUP('Données projet'!$B$11,Paramètres!$A$1:$I$89,5,0)</f>
        <v>111.73032000000005</v>
      </c>
      <c r="BF34" s="13">
        <f t="shared" si="37"/>
        <v>29.738290400519091</v>
      </c>
      <c r="BG34" s="20">
        <f t="shared" si="7"/>
        <v>246.39116311423746</v>
      </c>
      <c r="BH34" s="59">
        <f t="shared" si="8"/>
        <v>539.7244964475708</v>
      </c>
      <c r="BI34" s="59">
        <f ca="1">AVERAGE(OFFSET($BH$3,0,0,'Données projet'!$E$11+1,1))-AVERAGE(OFFSET($H$3,0,0,'Données projet'!$E$11+1,1))</f>
        <v>475.01366239340246</v>
      </c>
      <c r="BJ34" s="59">
        <f t="shared" si="38"/>
        <v>322.81767004794284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8.5240344514322111</v>
      </c>
      <c r="BQ34" s="21">
        <f>EXP(-LN(2)/25)*BQ33+(1-EXP(-LN(2)/25))/(LN(2)/25)*Calculateur!BL34*Calculateur!BN34*VLOOKUP('Données projet'!$B$11,Paramètres!$A$1:$I$89,3,0)*0.475*44/12</f>
        <v>10.836195539040064</v>
      </c>
      <c r="BR34" s="21">
        <f>EXP(-LN(2)/2)*BR33+(1-EXP(-LN(2)/2))/(LN(2)/2)*BL34*BO34*VLOOKUP('Données projet'!$B$11,Paramètres!$A$1:$I$89,3,0)*0.475*44/12</f>
        <v>7.1796141726667502</v>
      </c>
      <c r="BS34" s="22">
        <f t="shared" si="9"/>
        <v>26.539844163139026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8</v>
      </c>
      <c r="BY34" s="12">
        <f>IF('Données projet'!$A$114&gt;35,BY33+BX34-CG33,IF(A34&lt;'Données projet'!$A$114,$BV$205^A34,IF(A34='Données projet'!$A$114,'Données projet'!$B$114,BY33+BX34-CG33)))</f>
        <v>84</v>
      </c>
      <c r="BZ34" s="13">
        <f>BY34*VLOOKUP('Données projet'!$B$12,Paramètres!$A$1:$I$89,3,0)*VLOOKUP('Données projet'!$B$12,Paramètres!$A$1:$I$89,5,0)</f>
        <v>56.347200000000001</v>
      </c>
      <c r="CA34" s="13">
        <f t="shared" si="39"/>
        <v>16.241377637196607</v>
      </c>
      <c r="CB34" s="20">
        <f t="shared" si="10"/>
        <v>126.42510605145075</v>
      </c>
      <c r="CC34" s="59">
        <f t="shared" si="11"/>
        <v>419.75843938478408</v>
      </c>
      <c r="CD34" s="59">
        <f ca="1">AVERAGE(OFFSET($CC$3,0,0,'Données projet'!$E$12+1,1))-AVERAGE(OFFSET($H$3,0,0,'Données projet'!$E$12+1,1))</f>
        <v>254.8851926268614</v>
      </c>
      <c r="CE34" s="59">
        <f t="shared" si="40"/>
        <v>182.11500693273973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2.9858616799852302</v>
      </c>
      <c r="CL34" s="21">
        <f>EXP(-LN(2)/25)*CL33+(1-EXP(-LN(2)/25))/(LN(2)/25)*Calculateur!CG34*Calculateur!CI34*VLOOKUP('Données projet'!$B$12,Paramètres!$A$1:$I$89,3,0)*0.475*44/12</f>
        <v>3.7288245452222717</v>
      </c>
      <c r="CM34" s="21">
        <f>EXP(-LN(2)/2)*CM33+(1-EXP(-LN(2)/2))/(LN(2)/2)*CG34*CJ34*VLOOKUP('Données projet'!$B$12,Paramètres!$A$1:$I$89,3,0)*0.475*44/12</f>
        <v>3.1992559049377056</v>
      </c>
      <c r="CN34" s="22">
        <f t="shared" si="12"/>
        <v>9.9139421301452071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8.7179487179487154</v>
      </c>
      <c r="N35" s="13">
        <f>IF('Données projet'!$A$36&gt;35,N34+M35-V34,IF(A35&lt;'Données projet'!$A$36,$K$205^A35,IF(A35='Données projet'!$A$36,'Données projet'!$B$36,N34+M35-V34)))</f>
        <v>116.15384615384616</v>
      </c>
      <c r="O35" s="13">
        <f>N35*VLOOKUP('Données projet'!$B$9,Paramètres!$A$1:$I$89,3,0)*VLOOKUP('Données projet'!$B$9,Paramètres!$A$1:$I$89,5,0)</f>
        <v>121.40400000000001</v>
      </c>
      <c r="P35" s="13">
        <f t="shared" si="33"/>
        <v>32.002237222133537</v>
      </c>
      <c r="Q35" s="20">
        <f t="shared" ref="Q35:Q66" si="53">(O35+P35)*0.475*44/12</f>
        <v>267.18252982854921</v>
      </c>
      <c r="R35" s="59">
        <f t="shared" si="0"/>
        <v>560.51586316188252</v>
      </c>
      <c r="S35" s="59">
        <f ca="1">AVERAGE(OFFSET($R$3,0,0,'Données projet'!$E$9+1,1))-AVERAGE(OFFSET($H$3,0,0,'Données projet'!$E$9+1,1))</f>
        <v>241.84492910369795</v>
      </c>
      <c r="T35" s="59">
        <f t="shared" si="34"/>
        <v>338.04336767245667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5.8197410902054196</v>
      </c>
      <c r="AA35" s="21">
        <f>EXP(-LN(2)/25)*AA34+(1-EXP(-LN(2)/25))/(LN(2)/25)*Calculateur!V35*Calculateur!X35*VLOOKUP('Données projet'!$B$9,Paramètres!$A$1:$I$89,3,0)*0.475*44/12</f>
        <v>13.145946905394378</v>
      </c>
      <c r="AB35" s="21">
        <f>EXP(-LN(2)/2)*AB34+(1-EXP(-LN(2)/2))/(LN(2)/2)*V35*Y35*VLOOKUP('Données projet'!$B$9,Paramètres!$A$1:$I$89,3,0)*0.475*44/12</f>
        <v>4.3229296543244189</v>
      </c>
      <c r="AC35" s="22">
        <f t="shared" si="3"/>
        <v>23.288617649924216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14.6</v>
      </c>
      <c r="AI35" s="13">
        <f>IF('Données projet'!$A$62&gt;35,AI34+AH35-AQ34,IF(A35&lt;'Données projet'!$A$62,$AF$205^A35,IF(A35='Données projet'!$A$62,'Données projet'!$B$62,AI34+AH35-AQ34)))</f>
        <v>189.20000000000005</v>
      </c>
      <c r="AJ35" s="13">
        <f>AI35*VLOOKUP('Données projet'!$B$10,Paramètres!$A$1:$I$89,3,0)*VLOOKUP('Données projet'!$B$10,Paramètres!$A$1:$I$89,5,0)</f>
        <v>113.14160000000004</v>
      </c>
      <c r="AK35" s="13">
        <f t="shared" si="35"/>
        <v>30.069952587742019</v>
      </c>
      <c r="AL35" s="20">
        <f t="shared" si="4"/>
        <v>249.42678742365072</v>
      </c>
      <c r="AM35" s="59">
        <f t="shared" si="5"/>
        <v>542.76012075698407</v>
      </c>
      <c r="AN35" s="59">
        <f ca="1">AVERAGE(OFFSET($AM$3,0,0,'Données projet'!$E$10+1,1))-AVERAGE(OFFSET($H$3,0,0,'Données projet'!$E$10+1,1))</f>
        <v>370.12772664814923</v>
      </c>
      <c r="AO35" s="59">
        <f t="shared" si="36"/>
        <v>292.26503163353146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7.1883814199477758</v>
      </c>
      <c r="AV35" s="21">
        <f>EXP(-LN(2)/25)*AV34+(1-EXP(-LN(2)/25))/(LN(2)/25)*Calculateur!AQ35*Calculateur!AS35*VLOOKUP('Données projet'!$B$10,Paramètres!$A$1:$I$89,3,0)*0.475*44/12</f>
        <v>6.2848772858793263</v>
      </c>
      <c r="AW35" s="21">
        <f>EXP(-LN(2)/2)*AW34+(1-EXP(-LN(2)/2))/(LN(2)/2)*AQ35*AT35*VLOOKUP('Données projet'!$B$10,Paramètres!$A$1:$I$89,3,0)*0.475*44/12</f>
        <v>3.9614167528379705</v>
      </c>
      <c r="AX35" s="21">
        <f t="shared" si="6"/>
        <v>17.434675458665073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10.8</v>
      </c>
      <c r="BD35" s="12">
        <f>IF('Données projet'!$A$88&gt;35,BD34+BC35-BL34,IF(A35&lt;'Données projet'!$A$88,$BA$205^A35,IF(A35='Données projet'!$A$88,'Données projet'!$B$88,BD34+BC35-BL34)))</f>
        <v>114.60000000000004</v>
      </c>
      <c r="BE35" s="13">
        <f>BD35*VLOOKUP('Données projet'!$B$11,Paramètres!$A$1:$I$89,3,0)*VLOOKUP('Données projet'!$B$11,Paramètres!$A$1:$I$89,5,0)</f>
        <v>123.35544000000004</v>
      </c>
      <c r="BF35" s="13">
        <f t="shared" si="37"/>
        <v>32.456340035111126</v>
      </c>
      <c r="BG35" s="20">
        <f t="shared" si="7"/>
        <v>271.37218356115193</v>
      </c>
      <c r="BH35" s="59">
        <f t="shared" si="8"/>
        <v>564.7055168944853</v>
      </c>
      <c r="BI35" s="59">
        <f ca="1">AVERAGE(OFFSET($BH$3,0,0,'Données projet'!$E$11+1,1))-AVERAGE(OFFSET($H$3,0,0,'Données projet'!$E$11+1,1))</f>
        <v>475.01366239340246</v>
      </c>
      <c r="BJ35" s="59">
        <f t="shared" si="38"/>
        <v>322.81767004794284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8.356883334987268</v>
      </c>
      <c r="BQ35" s="21">
        <f>EXP(-LN(2)/25)*BQ34+(1-EXP(-LN(2)/25))/(LN(2)/25)*Calculateur!BL35*Calculateur!BN35*VLOOKUP('Données projet'!$B$11,Paramètres!$A$1:$I$89,3,0)*0.475*44/12</f>
        <v>10.539879202174257</v>
      </c>
      <c r="BR35" s="21">
        <f>EXP(-LN(2)/2)*BR34+(1-EXP(-LN(2)/2))/(LN(2)/2)*BL35*BO35*VLOOKUP('Données projet'!$B$11,Paramètres!$A$1:$I$89,3,0)*0.475*44/12</f>
        <v>5.0767538677957038</v>
      </c>
      <c r="BS35" s="22">
        <f t="shared" si="9"/>
        <v>23.97351640495723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8</v>
      </c>
      <c r="BY35" s="12">
        <f>IF('Données projet'!$A$114&gt;35,BY34+BX35-CG34,IF(A35&lt;'Données projet'!$A$114,$BV$205^A35,IF(A35='Données projet'!$A$114,'Données projet'!$B$114,BY34+BX35-CG34)))</f>
        <v>92</v>
      </c>
      <c r="BZ35" s="13">
        <f>BY35*VLOOKUP('Données projet'!$B$12,Paramètres!$A$1:$I$89,3,0)*VLOOKUP('Données projet'!$B$12,Paramètres!$A$1:$I$89,5,0)</f>
        <v>61.713600000000007</v>
      </c>
      <c r="CA35" s="13">
        <f t="shared" si="39"/>
        <v>17.600808249116106</v>
      </c>
      <c r="CB35" s="20">
        <f t="shared" si="10"/>
        <v>138.13926103387723</v>
      </c>
      <c r="CC35" s="59">
        <f t="shared" si="11"/>
        <v>431.47259436721055</v>
      </c>
      <c r="CD35" s="59">
        <f ca="1">AVERAGE(OFFSET($CC$3,0,0,'Données projet'!$E$12+1,1))-AVERAGE(OFFSET($H$3,0,0,'Données projet'!$E$12+1,1))</f>
        <v>254.8851926268614</v>
      </c>
      <c r="CE35" s="59">
        <f t="shared" si="40"/>
        <v>182.11500693273973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2.9273107536365166</v>
      </c>
      <c r="CL35" s="21">
        <f>EXP(-LN(2)/25)*CL34+(1-EXP(-LN(2)/25))/(LN(2)/25)*Calculateur!CG35*Calculateur!CI35*VLOOKUP('Données projet'!$B$12,Paramètres!$A$1:$I$89,3,0)*0.475*44/12</f>
        <v>3.6268596419428083</v>
      </c>
      <c r="CM35" s="21">
        <f>EXP(-LN(2)/2)*CM34+(1-EXP(-LN(2)/2))/(LN(2)/2)*CG35*CJ35*VLOOKUP('Données projet'!$B$12,Paramètres!$A$1:$I$89,3,0)*0.475*44/12</f>
        <v>2.2622155451325563</v>
      </c>
      <c r="CN35" s="22">
        <f t="shared" si="12"/>
        <v>8.8163859407118821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8.7179487179487154</v>
      </c>
      <c r="N36" s="13">
        <f>IF('Données projet'!$A$36&gt;35,N35+M36-V35,IF(A36&lt;'Données projet'!$A$36,$K$205^A36,IF(A36='Données projet'!$A$36,'Données projet'!$B$36,N35+M36-V35)))</f>
        <v>124.87179487179488</v>
      </c>
      <c r="O36" s="13">
        <f>N36*VLOOKUP('Données projet'!$B$9,Paramètres!$A$1:$I$89,3,0)*VLOOKUP('Données projet'!$B$9,Paramètres!$A$1:$I$89,5,0)</f>
        <v>130.51600000000002</v>
      </c>
      <c r="P36" s="13">
        <f t="shared" si="33"/>
        <v>34.115564279019615</v>
      </c>
      <c r="Q36" s="20">
        <f t="shared" si="53"/>
        <v>286.7333077859592</v>
      </c>
      <c r="R36" s="59">
        <f t="shared" si="0"/>
        <v>580.06664111929251</v>
      </c>
      <c r="S36" s="59">
        <f ca="1">AVERAGE(OFFSET($R$3,0,0,'Données projet'!$E$9+1,1))-AVERAGE(OFFSET($H$3,0,0,'Données projet'!$E$9+1,1))</f>
        <v>241.84492910369795</v>
      </c>
      <c r="T36" s="59">
        <f t="shared" si="34"/>
        <v>338.04336767245667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5.7056195171180537</v>
      </c>
      <c r="AA36" s="21">
        <f>EXP(-LN(2)/25)*AA35+(1-EXP(-LN(2)/25))/(LN(2)/25)*Calculateur!V36*Calculateur!X36*VLOOKUP('Données projet'!$B$9,Paramètres!$A$1:$I$89,3,0)*0.475*44/12</f>
        <v>12.786470295951068</v>
      </c>
      <c r="AB36" s="21">
        <f>EXP(-LN(2)/2)*AB35+(1-EXP(-LN(2)/2))/(LN(2)/2)*V36*Y36*VLOOKUP('Données projet'!$B$9,Paramètres!$A$1:$I$89,3,0)*0.475*44/12</f>
        <v>3.0567728731652144</v>
      </c>
      <c r="AC36" s="22">
        <f t="shared" si="3"/>
        <v>21.548862686234337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14.6</v>
      </c>
      <c r="AI36" s="13">
        <f>IF('Données projet'!$A$62&gt;35,AI35+AH36-AQ35,IF(A36&lt;'Données projet'!$A$62,$AF$205^A36,IF(A36='Données projet'!$A$62,'Données projet'!$B$62,AI35+AH36-AQ35)))</f>
        <v>203.80000000000004</v>
      </c>
      <c r="AJ36" s="13">
        <f>AI36*VLOOKUP('Données projet'!$B$10,Paramètres!$A$1:$I$89,3,0)*VLOOKUP('Données projet'!$B$10,Paramètres!$A$1:$I$89,5,0)</f>
        <v>121.87240000000003</v>
      </c>
      <c r="AK36" s="13">
        <f t="shared" si="35"/>
        <v>32.111311550408985</v>
      </c>
      <c r="AL36" s="20">
        <f t="shared" si="4"/>
        <v>268.1882976169623</v>
      </c>
      <c r="AM36" s="59">
        <f t="shared" si="5"/>
        <v>561.52163095029562</v>
      </c>
      <c r="AN36" s="59">
        <f ca="1">AVERAGE(OFFSET($AM$3,0,0,'Données projet'!$E$10+1,1))-AVERAGE(OFFSET($H$3,0,0,'Données projet'!$E$10+1,1))</f>
        <v>370.12772664814923</v>
      </c>
      <c r="AO36" s="59">
        <f t="shared" si="36"/>
        <v>292.26503163353146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7.047421644782335</v>
      </c>
      <c r="AV36" s="21">
        <f>EXP(-LN(2)/25)*AV35+(1-EXP(-LN(2)/25))/(LN(2)/25)*Calculateur!AQ36*Calculateur!AS36*VLOOKUP('Données projet'!$B$10,Paramètres!$A$1:$I$89,3,0)*0.475*44/12</f>
        <v>6.1130169859896242</v>
      </c>
      <c r="AW36" s="21">
        <f>EXP(-LN(2)/2)*AW35+(1-EXP(-LN(2)/2))/(LN(2)/2)*AQ36*AT36*VLOOKUP('Données projet'!$B$10,Paramètres!$A$1:$I$89,3,0)*0.475*44/12</f>
        <v>2.8011446490377225</v>
      </c>
      <c r="AX36" s="21">
        <f t="shared" si="6"/>
        <v>15.961583279809682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10.8</v>
      </c>
      <c r="BD36" s="12">
        <f>IF('Données projet'!$A$88&gt;35,BD35+BC36-BL35,IF(A36&lt;'Données projet'!$A$88,$BA$205^A36,IF(A36='Données projet'!$A$88,'Données projet'!$B$88,BD35+BC36-BL35)))</f>
        <v>125.40000000000003</v>
      </c>
      <c r="BE36" s="13">
        <f>BD36*VLOOKUP('Données projet'!$B$11,Paramètres!$A$1:$I$89,3,0)*VLOOKUP('Données projet'!$B$11,Paramètres!$A$1:$I$89,5,0)</f>
        <v>134.98056000000003</v>
      </c>
      <c r="BF36" s="13">
        <f t="shared" si="37"/>
        <v>35.144690234680603</v>
      </c>
      <c r="BG36" s="20">
        <f t="shared" si="7"/>
        <v>296.30147749206873</v>
      </c>
      <c r="BH36" s="59">
        <f t="shared" si="8"/>
        <v>589.63481082540204</v>
      </c>
      <c r="BI36" s="59">
        <f ca="1">AVERAGE(OFFSET($BH$3,0,0,'Données projet'!$E$11+1,1))-AVERAGE(OFFSET($H$3,0,0,'Données projet'!$E$11+1,1))</f>
        <v>475.01366239340246</v>
      </c>
      <c r="BJ36" s="59">
        <f t="shared" si="38"/>
        <v>322.81767004794284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8.1930099499836953</v>
      </c>
      <c r="BQ36" s="21">
        <f>EXP(-LN(2)/25)*BQ35+(1-EXP(-LN(2)/25))/(LN(2)/25)*Calculateur!BL36*Calculateur!BN36*VLOOKUP('Données projet'!$B$11,Paramètres!$A$1:$I$89,3,0)*0.475*44/12</f>
        <v>10.251665651122643</v>
      </c>
      <c r="BR36" s="21">
        <f>EXP(-LN(2)/2)*BR35+(1-EXP(-LN(2)/2))/(LN(2)/2)*BL36*BO36*VLOOKUP('Données projet'!$B$11,Paramètres!$A$1:$I$89,3,0)*0.475*44/12</f>
        <v>3.589807086333376</v>
      </c>
      <c r="BS36" s="22">
        <f t="shared" si="9"/>
        <v>22.034482687439716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8</v>
      </c>
      <c r="BY36" s="12">
        <f>IF('Données projet'!$A$114&gt;35,BY35+BX36-CG35,IF(A36&lt;'Données projet'!$A$114,$BV$205^A36,IF(A36='Données projet'!$A$114,'Données projet'!$B$114,BY35+BX36-CG35)))</f>
        <v>100</v>
      </c>
      <c r="BZ36" s="13">
        <f>BY36*VLOOKUP('Données projet'!$B$12,Paramètres!$A$1:$I$89,3,0)*VLOOKUP('Données projet'!$B$12,Paramètres!$A$1:$I$89,5,0)</f>
        <v>67.08</v>
      </c>
      <c r="CA36" s="13">
        <f t="shared" si="39"/>
        <v>18.946530238513894</v>
      </c>
      <c r="CB36" s="20">
        <f t="shared" si="10"/>
        <v>149.82954016541169</v>
      </c>
      <c r="CC36" s="59">
        <f t="shared" si="11"/>
        <v>443.162873498745</v>
      </c>
      <c r="CD36" s="59">
        <f ca="1">AVERAGE(OFFSET($CC$3,0,0,'Données projet'!$E$12+1,1))-AVERAGE(OFFSET($H$3,0,0,'Données projet'!$E$12+1,1))</f>
        <v>254.8851926268614</v>
      </c>
      <c r="CE36" s="59">
        <f t="shared" si="40"/>
        <v>182.11500693273973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2.8699079752409622</v>
      </c>
      <c r="CL36" s="21">
        <f>EXP(-LN(2)/25)*CL35+(1-EXP(-LN(2)/25))/(LN(2)/25)*Calculateur!CG36*Calculateur!CI36*VLOOKUP('Données projet'!$B$12,Paramètres!$A$1:$I$89,3,0)*0.475*44/12</f>
        <v>3.5276829743056228</v>
      </c>
      <c r="CM36" s="21">
        <f>EXP(-LN(2)/2)*CM35+(1-EXP(-LN(2)/2))/(LN(2)/2)*CG36*CJ36*VLOOKUP('Données projet'!$B$12,Paramètres!$A$1:$I$89,3,0)*0.475*44/12</f>
        <v>1.5996279524688528</v>
      </c>
      <c r="CN36" s="22">
        <f t="shared" si="12"/>
        <v>7.9972189020154376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8.7179487179487154</v>
      </c>
      <c r="N37" s="13">
        <f>IF('Données projet'!$A$36&gt;35,N36+M37-V36,IF(A37&lt;'Données projet'!$A$36,$K$205^A37,IF(A37='Données projet'!$A$36,'Données projet'!$B$36,N36+M37-V36)))</f>
        <v>133.58974358974359</v>
      </c>
      <c r="O37" s="13">
        <f>N37*VLOOKUP('Données projet'!$B$9,Paramètres!$A$1:$I$89,3,0)*VLOOKUP('Données projet'!$B$9,Paramètres!$A$1:$I$89,5,0)</f>
        <v>139.62800000000001</v>
      </c>
      <c r="P37" s="13">
        <f t="shared" si="33"/>
        <v>36.211772326849783</v>
      </c>
      <c r="Q37" s="20">
        <f t="shared" si="53"/>
        <v>306.25427013593008</v>
      </c>
      <c r="R37" s="59">
        <f t="shared" si="0"/>
        <v>599.5876034692634</v>
      </c>
      <c r="S37" s="59">
        <f ca="1">AVERAGE(OFFSET($R$3,0,0,'Données projet'!$E$9+1,1))-AVERAGE(OFFSET($H$3,0,0,'Données projet'!$E$9+1,1))</f>
        <v>241.84492910369795</v>
      </c>
      <c r="T37" s="59">
        <f t="shared" si="34"/>
        <v>338.04336767245667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5.593735798471644</v>
      </c>
      <c r="AA37" s="21">
        <f>EXP(-LN(2)/25)*AA36+(1-EXP(-LN(2)/25))/(LN(2)/25)*Calculateur!V37*Calculateur!X37*VLOOKUP('Données projet'!$B$9,Paramètres!$A$1:$I$89,3,0)*0.475*44/12</f>
        <v>12.436823593297037</v>
      </c>
      <c r="AB37" s="21">
        <f>EXP(-LN(2)/2)*AB36+(1-EXP(-LN(2)/2))/(LN(2)/2)*V37*Y37*VLOOKUP('Données projet'!$B$9,Paramètres!$A$1:$I$89,3,0)*0.475*44/12</f>
        <v>2.1614648271622094</v>
      </c>
      <c r="AC37" s="22">
        <f t="shared" si="3"/>
        <v>20.192024218930889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14.6</v>
      </c>
      <c r="AI37" s="13">
        <f>IF('Données projet'!$A$62&gt;35,AI36+AH37-AQ36,IF(A37&lt;'Données projet'!$A$62,$AF$205^A37,IF(A37='Données projet'!$A$62,'Données projet'!$B$62,AI36+AH37-AQ36)))</f>
        <v>218.40000000000003</v>
      </c>
      <c r="AJ37" s="13">
        <f>AI37*VLOOKUP('Données projet'!$B$10,Paramètres!$A$1:$I$89,3,0)*VLOOKUP('Données projet'!$B$10,Paramètres!$A$1:$I$89,5,0)</f>
        <v>130.60320000000004</v>
      </c>
      <c r="AK37" s="13">
        <f t="shared" si="35"/>
        <v>34.135703567016428</v>
      </c>
      <c r="AL37" s="20">
        <f t="shared" si="4"/>
        <v>286.92025704588701</v>
      </c>
      <c r="AM37" s="59">
        <f t="shared" si="5"/>
        <v>580.25359037922033</v>
      </c>
      <c r="AN37" s="59">
        <f ca="1">AVERAGE(OFFSET($AM$3,0,0,'Données projet'!$E$10+1,1))-AVERAGE(OFFSET($H$3,0,0,'Données projet'!$E$10+1,1))</f>
        <v>370.12772664814923</v>
      </c>
      <c r="AO37" s="59">
        <f t="shared" si="36"/>
        <v>292.26503163353146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6.9092260048309146</v>
      </c>
      <c r="AV37" s="21">
        <f>EXP(-LN(2)/25)*AV36+(1-EXP(-LN(2)/25))/(LN(2)/25)*Calculateur!AQ37*Calculateur!AS37*VLOOKUP('Données projet'!$B$10,Paramètres!$A$1:$I$89,3,0)*0.475*44/12</f>
        <v>5.9458562150381464</v>
      </c>
      <c r="AW37" s="21">
        <f>EXP(-LN(2)/2)*AW36+(1-EXP(-LN(2)/2))/(LN(2)/2)*AQ37*AT37*VLOOKUP('Données projet'!$B$10,Paramètres!$A$1:$I$89,3,0)*0.475*44/12</f>
        <v>1.9807083764189855</v>
      </c>
      <c r="AX37" s="21">
        <f t="shared" si="6"/>
        <v>14.835790596288046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10.8</v>
      </c>
      <c r="BD37" s="12">
        <f>IF('Données projet'!$A$88&gt;35,BD36+BC37-BL36,IF(A37&lt;'Données projet'!$A$88,$BA$205^A37,IF(A37='Données projet'!$A$88,'Données projet'!$B$88,BD36+BC37-BL36)))</f>
        <v>136.20000000000005</v>
      </c>
      <c r="BE37" s="13">
        <f>BD37*VLOOKUP('Données projet'!$B$11,Paramètres!$A$1:$I$89,3,0)*VLOOKUP('Données projet'!$B$11,Paramètres!$A$1:$I$89,5,0)</f>
        <v>146.60568000000004</v>
      </c>
      <c r="BF37" s="13">
        <f t="shared" si="37"/>
        <v>37.806189668967654</v>
      </c>
      <c r="BG37" s="20">
        <f t="shared" si="7"/>
        <v>321.18400634011869</v>
      </c>
      <c r="BH37" s="59">
        <f t="shared" si="8"/>
        <v>614.51733967345194</v>
      </c>
      <c r="BI37" s="59">
        <f ca="1">AVERAGE(OFFSET($BH$3,0,0,'Données projet'!$E$11+1,1))-AVERAGE(OFFSET($H$3,0,0,'Données projet'!$E$11+1,1))</f>
        <v>475.01366239340246</v>
      </c>
      <c r="BJ37" s="59">
        <f t="shared" si="38"/>
        <v>322.81767004794284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8.0323500221071473</v>
      </c>
      <c r="BQ37" s="21">
        <f>EXP(-LN(2)/25)*BQ36+(1-EXP(-LN(2)/25))/(LN(2)/25)*Calculateur!BL37*Calculateur!BN37*VLOOKUP('Données projet'!$B$11,Paramètres!$A$1:$I$89,3,0)*0.475*44/12</f>
        <v>9.9713333147810275</v>
      </c>
      <c r="BR37" s="21">
        <f>EXP(-LN(2)/2)*BR36+(1-EXP(-LN(2)/2))/(LN(2)/2)*BL37*BO37*VLOOKUP('Données projet'!$B$11,Paramètres!$A$1:$I$89,3,0)*0.475*44/12</f>
        <v>2.5383769338978523</v>
      </c>
      <c r="BS37" s="22">
        <f t="shared" si="9"/>
        <v>20.542060270786024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8</v>
      </c>
      <c r="BY37" s="12">
        <f>IF('Données projet'!$A$114&gt;35,BY36+BX37-CG36,IF(A37&lt;'Données projet'!$A$114,$BV$205^A37,IF(A37='Données projet'!$A$114,'Données projet'!$B$114,BY36+BX37-CG36)))</f>
        <v>108</v>
      </c>
      <c r="BZ37" s="13">
        <f>BY37*VLOOKUP('Données projet'!$B$12,Paramètres!$A$1:$I$89,3,0)*VLOOKUP('Données projet'!$B$12,Paramètres!$A$1:$I$89,5,0)</f>
        <v>72.446399999999997</v>
      </c>
      <c r="CA37" s="13">
        <f t="shared" si="39"/>
        <v>20.279764978841872</v>
      </c>
      <c r="CB37" s="20">
        <f t="shared" si="10"/>
        <v>161.49807067148291</v>
      </c>
      <c r="CC37" s="59">
        <f t="shared" si="11"/>
        <v>454.83140400481625</v>
      </c>
      <c r="CD37" s="59">
        <f ca="1">AVERAGE(OFFSET($CC$3,0,0,'Données projet'!$E$12+1,1))-AVERAGE(OFFSET($H$3,0,0,'Données projet'!$E$12+1,1))</f>
        <v>254.8851926268614</v>
      </c>
      <c r="CE37" s="59">
        <f t="shared" si="40"/>
        <v>182.11500693273973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2.813630830317507</v>
      </c>
      <c r="CL37" s="21">
        <f>EXP(-LN(2)/25)*CL36+(1-EXP(-LN(2)/25))/(LN(2)/25)*Calculateur!CG37*Calculateur!CI37*VLOOKUP('Données projet'!$B$12,Paramètres!$A$1:$I$89,3,0)*0.475*44/12</f>
        <v>3.4312182978604504</v>
      </c>
      <c r="CM37" s="21">
        <f>EXP(-LN(2)/2)*CM36+(1-EXP(-LN(2)/2))/(LN(2)/2)*CG37*CJ37*VLOOKUP('Données projet'!$B$12,Paramètres!$A$1:$I$89,3,0)*0.475*44/12</f>
        <v>1.1311077725662781</v>
      </c>
      <c r="CN37" s="22">
        <f t="shared" si="12"/>
        <v>7.3759569007442352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142.30769230769229</v>
      </c>
      <c r="L38" s="12">
        <f>VLOOKUP(A38,'Données projet'!$A$35:$I$55,9,0)</f>
        <v>8.7179487179487154</v>
      </c>
      <c r="M38" s="12">
        <f t="array" ref="M38">INDEX(L:L,MIN(IF(ISNUMBER(L38:L234),ROW(L38:L234),"")))</f>
        <v>8.7179487179487154</v>
      </c>
      <c r="N38" s="13">
        <f>IF('Données projet'!$A$36&gt;35,N37+M38-V37,IF(A38&lt;'Données projet'!$A$36,$K$205^A38,IF(A38='Données projet'!$A$36,'Données projet'!$B$36,N37+M38-V37)))</f>
        <v>142.30769230769232</v>
      </c>
      <c r="O38" s="13">
        <f>N38*VLOOKUP('Données projet'!$B$9,Paramètres!$A$1:$I$89,3,0)*VLOOKUP('Données projet'!$B$9,Paramètres!$A$1:$I$89,5,0)</f>
        <v>148.74</v>
      </c>
      <c r="P38" s="13">
        <f t="shared" si="33"/>
        <v>38.292105674310911</v>
      </c>
      <c r="Q38" s="20">
        <f t="shared" si="53"/>
        <v>325.74758404942486</v>
      </c>
      <c r="R38" s="59">
        <f t="shared" si="0"/>
        <v>619.08091738275812</v>
      </c>
      <c r="S38" s="59">
        <f ca="1">AVERAGE(OFFSET($R$3,0,0,'Données projet'!$E$9+1,1))-AVERAGE(OFFSET($H$3,0,0,'Données projet'!$E$9+1,1))</f>
        <v>241.84492910369795</v>
      </c>
      <c r="T38" s="59">
        <f t="shared" si="34"/>
        <v>338.04336767245667</v>
      </c>
      <c r="U38" s="15">
        <f>IF(ISNA(VLOOKUP(A38,'Données projet'!$A$35:$I$55,3,0)),0,VLOOKUP(A38,'Données projet'!$A$35:$I$55,3,0))</f>
        <v>5</v>
      </c>
      <c r="V38" s="15">
        <f>IF(ISNA(VLOOKUP(A38,'Données projet'!$A$35:$I$55,4,0)),0,VLOOKUP(A38,'Données projet'!$A$35:$I$55,4,0))</f>
        <v>31.410256410256409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5.4840460513055609</v>
      </c>
      <c r="AA38" s="21">
        <f>EXP(-LN(2)/25)*AA37+(1-EXP(-LN(2)/25))/(LN(2)/25)*Calculateur!V38*Calculateur!X38*VLOOKUP('Données projet'!$B$9,Paramètres!$A$1:$I$89,3,0)*0.475*44/12</f>
        <v>12.096737998114202</v>
      </c>
      <c r="AB38" s="21">
        <f>EXP(-LN(2)/2)*AB37+(1-EXP(-LN(2)/2))/(LN(2)/2)*V38*Y38*VLOOKUP('Données projet'!$B$9,Paramètres!$A$1:$I$89,3,0)*0.475*44/12</f>
        <v>1.5283864365826072</v>
      </c>
      <c r="AC38" s="22">
        <f t="shared" si="3"/>
        <v>19.10917048600237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233</v>
      </c>
      <c r="AG38" s="12">
        <f>VLOOKUP(A38,'Données projet'!$A$61:$I$81,9,0)</f>
        <v>14.6</v>
      </c>
      <c r="AH38" s="12">
        <f t="array" ref="AH38">INDEX(AG:AG,MIN(IF(ISNUMBER(AG38:AG234),ROW(AG38:AG234),"")))</f>
        <v>14.6</v>
      </c>
      <c r="AI38" s="13">
        <f>IF('Données projet'!$A$62&gt;35,AI37+AH38-AQ37,IF(A38&lt;'Données projet'!$A$62,$AF$205^A38,IF(A38='Données projet'!$A$62,'Données projet'!$B$62,AI37+AH38-AQ37)))</f>
        <v>233.00000000000003</v>
      </c>
      <c r="AJ38" s="13">
        <f>AI38*VLOOKUP('Données projet'!$B$10,Paramètres!$A$1:$I$89,3,0)*VLOOKUP('Données projet'!$B$10,Paramètres!$A$1:$I$89,5,0)</f>
        <v>139.33400000000003</v>
      </c>
      <c r="AK38" s="13">
        <f t="shared" si="35"/>
        <v>36.144391930570897</v>
      </c>
      <c r="AL38" s="20">
        <f t="shared" si="4"/>
        <v>305.62486594574438</v>
      </c>
      <c r="AM38" s="59">
        <f t="shared" si="5"/>
        <v>598.95819927907769</v>
      </c>
      <c r="AN38" s="59">
        <f ca="1">AVERAGE(OFFSET($AM$3,0,0,'Données projet'!$E$10+1,1))-AVERAGE(OFFSET($H$3,0,0,'Données projet'!$E$10+1,1))</f>
        <v>370.12772664814923</v>
      </c>
      <c r="AO38" s="59">
        <f t="shared" si="36"/>
        <v>292.26503163353146</v>
      </c>
      <c r="AP38" s="15">
        <f>IF(ISNA(VLOOKUP(A38,'Données projet'!$A$61:$I$81,3,0)),0,VLOOKUP(A38,'Données projet'!$A$61:$I$81,3,0))</f>
        <v>4</v>
      </c>
      <c r="AQ38" s="15">
        <f>IF(ISNA(VLOOKUP(A38,'Données projet'!$A$61:$I$81,4,0)),0,VLOOKUP(A38,'Données projet'!$A$61:$I$81,4,0))</f>
        <v>41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6.7737402970879241</v>
      </c>
      <c r="AV38" s="21">
        <f>EXP(-LN(2)/25)*AV37+(1-EXP(-LN(2)/25))/(LN(2)/25)*Calculateur!AQ38*Calculateur!AS38*VLOOKUP('Données projet'!$B$10,Paramètres!$A$1:$I$89,3,0)*0.475*44/12</f>
        <v>5.7832664641589391</v>
      </c>
      <c r="AW38" s="21">
        <f>EXP(-LN(2)/2)*AW37+(1-EXP(-LN(2)/2))/(LN(2)/2)*AQ38*AT38*VLOOKUP('Données projet'!$B$10,Paramètres!$A$1:$I$89,3,0)*0.475*44/12</f>
        <v>1.4005723245188615</v>
      </c>
      <c r="AX38" s="21">
        <f t="shared" si="6"/>
        <v>13.957579085765726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147</v>
      </c>
      <c r="BB38" s="12">
        <f>VLOOKUP(A38,'Données projet'!$A$87:$I$107,9,0)</f>
        <v>10.8</v>
      </c>
      <c r="BC38" s="12">
        <f t="array" ref="BC38">INDEX(BB:BB,MIN(IF(ISNUMBER(BB38:BB234),ROW(BB38:BB234),"")))</f>
        <v>10.8</v>
      </c>
      <c r="BD38" s="12">
        <f>IF('Données projet'!$A$88&gt;35,BD37+BC38-BL37,IF(A38&lt;'Données projet'!$A$88,$BA$205^A38,IF(A38='Données projet'!$A$88,'Données projet'!$B$88,BD37+BC38-BL37)))</f>
        <v>147.00000000000006</v>
      </c>
      <c r="BE38" s="13">
        <f>BD38*VLOOKUP('Données projet'!$B$11,Paramètres!$A$1:$I$89,3,0)*VLOOKUP('Données projet'!$B$11,Paramètres!$A$1:$I$89,5,0)</f>
        <v>158.23080000000007</v>
      </c>
      <c r="BF38" s="13">
        <f t="shared" si="37"/>
        <v>40.443209539379019</v>
      </c>
      <c r="BG38" s="20">
        <f t="shared" si="7"/>
        <v>346.02389994775189</v>
      </c>
      <c r="BH38" s="59">
        <f t="shared" si="8"/>
        <v>639.3572332810852</v>
      </c>
      <c r="BI38" s="59">
        <f ca="1">AVERAGE(OFFSET($BH$3,0,0,'Données projet'!$E$11+1,1))-AVERAGE(OFFSET($H$3,0,0,'Données projet'!$E$11+1,1))</f>
        <v>475.01366239340246</v>
      </c>
      <c r="BJ38" s="59">
        <f t="shared" si="38"/>
        <v>322.81767004794284</v>
      </c>
      <c r="BK38" s="15">
        <f>IF(ISNA(VLOOKUP(A38,'Données projet'!$A$87:$I$107,3,0)),0,VLOOKUP(A38,'Données projet'!$A$87:$I$107,3,0))</f>
        <v>4</v>
      </c>
      <c r="BL38" s="15">
        <f>IF(ISNA(VLOOKUP(A38,'Données projet'!$A$87:$I$107,4,0)),0,VLOOKUP(A38,'Données projet'!$A$87:$I$107,4,0))</f>
        <v>28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7.8748405374233785</v>
      </c>
      <c r="BQ38" s="21">
        <f>EXP(-LN(2)/25)*BQ37+(1-EXP(-LN(2)/25))/(LN(2)/25)*Calculateur!BL38*Calculateur!BN38*VLOOKUP('Données projet'!$B$11,Paramètres!$A$1:$I$89,3,0)*0.475*44/12</f>
        <v>9.698666680918711</v>
      </c>
      <c r="BR38" s="21">
        <f>EXP(-LN(2)/2)*BR37+(1-EXP(-LN(2)/2))/(LN(2)/2)*BL38*BO38*VLOOKUP('Données projet'!$B$11,Paramètres!$A$1:$I$89,3,0)*0.475*44/12</f>
        <v>1.7949035431666882</v>
      </c>
      <c r="BS38" s="22">
        <f t="shared" si="9"/>
        <v>19.368410761508777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116</v>
      </c>
      <c r="BW38" s="12">
        <f>VLOOKUP(A38,'Données projet'!$A$113:$I$133,9,0)</f>
        <v>8</v>
      </c>
      <c r="BX38" s="12">
        <f t="array" ref="BX38">INDEX(BW:BW,MIN(IF(ISNUMBER(BW38:BW234),ROW(BW38:BW234),"")))</f>
        <v>8</v>
      </c>
      <c r="BY38" s="12">
        <f>IF('Données projet'!$A$114&gt;35,BY37+BX38-CG37,IF(A38&lt;'Données projet'!$A$114,$BV$205^A38,IF(A38='Données projet'!$A$114,'Données projet'!$B$114,BY37+BX38-CG37)))</f>
        <v>116</v>
      </c>
      <c r="BZ38" s="13">
        <f>BY38*VLOOKUP('Données projet'!$B$12,Paramètres!$A$1:$I$89,3,0)*VLOOKUP('Données projet'!$B$12,Paramètres!$A$1:$I$89,5,0)</f>
        <v>77.81280000000001</v>
      </c>
      <c r="CA38" s="13">
        <f t="shared" si="39"/>
        <v>21.601542634761511</v>
      </c>
      <c r="CB38" s="20">
        <f t="shared" si="10"/>
        <v>173.14664675554297</v>
      </c>
      <c r="CC38" s="59">
        <f t="shared" si="11"/>
        <v>466.47998008887629</v>
      </c>
      <c r="CD38" s="59">
        <f ca="1">AVERAGE(OFFSET($CC$3,0,0,'Données projet'!$E$12+1,1))-AVERAGE(OFFSET($H$3,0,0,'Données projet'!$E$12+1,1))</f>
        <v>254.8851926268614</v>
      </c>
      <c r="CE38" s="59">
        <f t="shared" si="40"/>
        <v>182.11500693273973</v>
      </c>
      <c r="CF38" s="15">
        <f>IF(ISNA(VLOOKUP(A38,'Données projet'!$A$113:$I$133,3,0)),0,VLOOKUP(A38,'Données projet'!$A$113:$I$133,3,0))</f>
        <v>3</v>
      </c>
      <c r="CG38" s="15">
        <f>IF(ISNA(VLOOKUP(A38,'Données projet'!$A$113:$I$133,4,0)),0,VLOOKUP(A38,'Données projet'!$A$113:$I$133,4,0))</f>
        <v>21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2.758457245880332</v>
      </c>
      <c r="CL38" s="21">
        <f>EXP(-LN(2)/25)*CL37+(1-EXP(-LN(2)/25))/(LN(2)/25)*Calculateur!CG38*Calculateur!CI38*VLOOKUP('Données projet'!$B$12,Paramètres!$A$1:$I$89,3,0)*0.475*44/12</f>
        <v>3.3373914530655284</v>
      </c>
      <c r="CM38" s="21">
        <f>EXP(-LN(2)/2)*CM37+(1-EXP(-LN(2)/2))/(LN(2)/2)*CG38*CJ38*VLOOKUP('Données projet'!$B$12,Paramètres!$A$1:$I$89,3,0)*0.475*44/12</f>
        <v>0.7998139762344264</v>
      </c>
      <c r="CN38" s="22">
        <f t="shared" si="12"/>
        <v>6.8956626751802865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7.9487179487179507</v>
      </c>
      <c r="N39" s="13">
        <f>IF('Données projet'!$A$36&gt;35,N38+M39-V38,IF(A39&lt;'Données projet'!$A$36,$K$205^A39,IF(A39='Données projet'!$A$36,'Données projet'!$B$36,N38+M39-V38)))</f>
        <v>118.84615384615387</v>
      </c>
      <c r="O39" s="13">
        <f>N39*VLOOKUP('Données projet'!$B$9,Paramètres!$A$1:$I$89,3,0)*VLOOKUP('Données projet'!$B$9,Paramètres!$A$1:$I$89,5,0)</f>
        <v>124.21800000000003</v>
      </c>
      <c r="P39" s="13">
        <f t="shared" si="33"/>
        <v>32.656791825983653</v>
      </c>
      <c r="Q39" s="20">
        <f t="shared" si="53"/>
        <v>273.22359576358821</v>
      </c>
      <c r="R39" s="59">
        <f t="shared" si="0"/>
        <v>566.55692909692152</v>
      </c>
      <c r="S39" s="59">
        <f ca="1">AVERAGE(OFFSET($R$3,0,0,'Données projet'!$E$9+1,1))-AVERAGE(OFFSET($H$3,0,0,'Données projet'!$E$9+1,1))</f>
        <v>241.84492910369795</v>
      </c>
      <c r="T39" s="59">
        <f t="shared" si="34"/>
        <v>338.04336767245667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5.3765072531772651</v>
      </c>
      <c r="AA39" s="21">
        <f>EXP(-LN(2)/25)*AA38+(1-EXP(-LN(2)/25))/(LN(2)/25)*Calculateur!V39*Calculateur!X39*VLOOKUP('Données projet'!$B$9,Paramètres!$A$1:$I$89,3,0)*0.475*44/12</f>
        <v>11.765952061415966</v>
      </c>
      <c r="AB39" s="21">
        <f>EXP(-LN(2)/2)*AB38+(1-EXP(-LN(2)/2))/(LN(2)/2)*V39*Y39*VLOOKUP('Données projet'!$B$9,Paramètres!$A$1:$I$89,3,0)*0.475*44/12</f>
        <v>1.0807324135811047</v>
      </c>
      <c r="AC39" s="22">
        <f t="shared" si="3"/>
        <v>18.223191728174335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14.4</v>
      </c>
      <c r="AI39" s="13">
        <f>IF('Données projet'!$A$62&gt;35,AI38+AH39-AQ38,IF(A39&lt;'Données projet'!$A$62,$AF$205^A39,IF(A39='Données projet'!$A$62,'Données projet'!$B$62,AI38+AH39-AQ38)))</f>
        <v>206.40000000000003</v>
      </c>
      <c r="AJ39" s="13">
        <f>AI39*VLOOKUP('Données projet'!$B$10,Paramètres!$A$1:$I$89,3,0)*VLOOKUP('Données projet'!$B$10,Paramètres!$A$1:$I$89,5,0)</f>
        <v>123.42720000000003</v>
      </c>
      <c r="AK39" s="13">
        <f t="shared" si="35"/>
        <v>32.473022671122074</v>
      </c>
      <c r="AL39" s="20">
        <f t="shared" si="4"/>
        <v>271.5262211522043</v>
      </c>
      <c r="AM39" s="59">
        <f t="shared" si="5"/>
        <v>564.85955448553761</v>
      </c>
      <c r="AN39" s="59">
        <f ca="1">AVERAGE(OFFSET($AM$3,0,0,'Données projet'!$E$10+1,1))-AVERAGE(OFFSET($H$3,0,0,'Données projet'!$E$10+1,1))</f>
        <v>370.12772664814923</v>
      </c>
      <c r="AO39" s="59">
        <f t="shared" si="36"/>
        <v>292.26503163353146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6.640911381435652</v>
      </c>
      <c r="AV39" s="21">
        <f>EXP(-LN(2)/25)*AV38+(1-EXP(-LN(2)/25))/(LN(2)/25)*Calculateur!AQ39*Calculateur!AS39*VLOOKUP('Données projet'!$B$10,Paramètres!$A$1:$I$89,3,0)*0.475*44/12</f>
        <v>5.6251227385677476</v>
      </c>
      <c r="AW39" s="21">
        <f>EXP(-LN(2)/2)*AW38+(1-EXP(-LN(2)/2))/(LN(2)/2)*AQ39*AT39*VLOOKUP('Données projet'!$B$10,Paramètres!$A$1:$I$89,3,0)*0.475*44/12</f>
        <v>0.99035418820949284</v>
      </c>
      <c r="AX39" s="21">
        <f t="shared" si="6"/>
        <v>13.256388308212893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11.2</v>
      </c>
      <c r="BD39" s="12">
        <f>IF('Données projet'!$A$88&gt;35,BD38+BC39-BL38,IF(A39&lt;'Données projet'!$A$88,$BA$205^A39,IF(A39='Données projet'!$A$88,'Données projet'!$B$88,BD38+BC39-BL38)))</f>
        <v>130.20000000000005</v>
      </c>
      <c r="BE39" s="13">
        <f>BD39*VLOOKUP('Données projet'!$B$11,Paramètres!$A$1:$I$89,3,0)*VLOOKUP('Données projet'!$B$11,Paramètres!$A$1:$I$89,5,0)</f>
        <v>140.14728000000005</v>
      </c>
      <c r="BF39" s="13">
        <f t="shared" si="37"/>
        <v>36.330743209877284</v>
      </c>
      <c r="BG39" s="20">
        <f t="shared" si="7"/>
        <v>307.36589042386964</v>
      </c>
      <c r="BH39" s="59">
        <f t="shared" si="8"/>
        <v>600.69922375720296</v>
      </c>
      <c r="BI39" s="59">
        <f ca="1">AVERAGE(OFFSET($BH$3,0,0,'Données projet'!$E$11+1,1))-AVERAGE(OFFSET($H$3,0,0,'Données projet'!$E$11+1,1))</f>
        <v>475.01366239340246</v>
      </c>
      <c r="BJ39" s="59">
        <f t="shared" si="38"/>
        <v>322.81767004794284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7.720419717662959</v>
      </c>
      <c r="BQ39" s="21">
        <f>EXP(-LN(2)/25)*BQ38+(1-EXP(-LN(2)/25))/(LN(2)/25)*Calculateur!BL39*Calculateur!BN39*VLOOKUP('Données projet'!$B$11,Paramètres!$A$1:$I$89,3,0)*0.475*44/12</f>
        <v>9.4334561304982749</v>
      </c>
      <c r="BR39" s="21">
        <f>EXP(-LN(2)/2)*BR38+(1-EXP(-LN(2)/2))/(LN(2)/2)*BL39*BO39*VLOOKUP('Données projet'!$B$11,Paramètres!$A$1:$I$89,3,0)*0.475*44/12</f>
        <v>1.2691884669489264</v>
      </c>
      <c r="BS39" s="22">
        <f t="shared" si="9"/>
        <v>18.42306431511016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8.4</v>
      </c>
      <c r="BY39" s="12">
        <f>IF('Données projet'!$A$114&gt;35,BY38+BX39-CG38,IF(A39&lt;'Données projet'!$A$114,$BV$205^A39,IF(A39='Données projet'!$A$114,'Données projet'!$B$114,BY38+BX39-CG38)))</f>
        <v>103.4</v>
      </c>
      <c r="BZ39" s="13">
        <f>BY39*VLOOKUP('Données projet'!$B$12,Paramètres!$A$1:$I$89,3,0)*VLOOKUP('Données projet'!$B$12,Paramètres!$A$1:$I$89,5,0)</f>
        <v>69.360720000000001</v>
      </c>
      <c r="CA39" s="13">
        <f t="shared" si="39"/>
        <v>19.514617146984691</v>
      </c>
      <c r="CB39" s="20">
        <f t="shared" si="10"/>
        <v>154.791212197665</v>
      </c>
      <c r="CC39" s="59">
        <f t="shared" si="11"/>
        <v>448.12454553099832</v>
      </c>
      <c r="CD39" s="59">
        <f ca="1">AVERAGE(OFFSET($CC$3,0,0,'Données projet'!$E$12+1,1))-AVERAGE(OFFSET($H$3,0,0,'Données projet'!$E$12+1,1))</f>
        <v>254.8851926268614</v>
      </c>
      <c r="CE39" s="59">
        <f t="shared" si="40"/>
        <v>182.11500693273973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2.7043655817814063</v>
      </c>
      <c r="CL39" s="21">
        <f>EXP(-LN(2)/25)*CL38+(1-EXP(-LN(2)/25))/(LN(2)/25)*Calculateur!CG39*Calculateur!CI39*VLOOKUP('Données projet'!$B$12,Paramètres!$A$1:$I$89,3,0)*0.475*44/12</f>
        <v>3.2461303082756627</v>
      </c>
      <c r="CM39" s="21">
        <f>EXP(-LN(2)/2)*CM38+(1-EXP(-LN(2)/2))/(LN(2)/2)*CG39*CJ39*VLOOKUP('Données projet'!$B$12,Paramètres!$A$1:$I$89,3,0)*0.475*44/12</f>
        <v>0.56555388628313907</v>
      </c>
      <c r="CN39" s="22">
        <f t="shared" si="12"/>
        <v>6.5160497763402079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7.9487179487179507</v>
      </c>
      <c r="N40" s="13">
        <f>IF('Données projet'!$A$36&gt;35,N39+M40-V39,IF(A40&lt;'Données projet'!$A$36,$K$205^A40,IF(A40='Données projet'!$A$36,'Données projet'!$B$36,N39+M40-V39)))</f>
        <v>126.79487179487182</v>
      </c>
      <c r="O40" s="13">
        <f>N40*VLOOKUP('Données projet'!$B$9,Paramètres!$A$1:$I$89,3,0)*VLOOKUP('Données projet'!$B$9,Paramètres!$A$1:$I$89,5,0)</f>
        <v>132.52600000000004</v>
      </c>
      <c r="P40" s="13">
        <f t="shared" si="33"/>
        <v>34.579388419886754</v>
      </c>
      <c r="Q40" s="20">
        <f t="shared" si="53"/>
        <v>291.04188483130281</v>
      </c>
      <c r="R40" s="59">
        <f t="shared" si="0"/>
        <v>584.37521816463618</v>
      </c>
      <c r="S40" s="59">
        <f ca="1">AVERAGE(OFFSET($R$3,0,0,'Données projet'!$E$9+1,1))-AVERAGE(OFFSET($H$3,0,0,'Données projet'!$E$9+1,1))</f>
        <v>241.84492910369795</v>
      </c>
      <c r="T40" s="59">
        <f t="shared" si="34"/>
        <v>338.04336767245667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5.2710772252880744</v>
      </c>
      <c r="AA40" s="21">
        <f>EXP(-LN(2)/25)*AA39+(1-EXP(-LN(2)/25))/(LN(2)/25)*Calculateur!V40*Calculateur!X40*VLOOKUP('Données projet'!$B$9,Paramètres!$A$1:$I$89,3,0)*0.475*44/12</f>
        <v>11.444211483552019</v>
      </c>
      <c r="AB40" s="21">
        <f>EXP(-LN(2)/2)*AB39+(1-EXP(-LN(2)/2))/(LN(2)/2)*V40*Y40*VLOOKUP('Données projet'!$B$9,Paramètres!$A$1:$I$89,3,0)*0.475*44/12</f>
        <v>0.7641932182913036</v>
      </c>
      <c r="AC40" s="22">
        <f t="shared" si="3"/>
        <v>17.479481927131395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14.4</v>
      </c>
      <c r="AI40" s="13">
        <f>IF('Données projet'!$A$62&gt;35,AI39+AH40-AQ39,IF(A40&lt;'Données projet'!$A$62,$AF$205^A40,IF(A40='Données projet'!$A$62,'Données projet'!$B$62,AI39+AH40-AQ39)))</f>
        <v>220.80000000000004</v>
      </c>
      <c r="AJ40" s="13">
        <f>AI40*VLOOKUP('Données projet'!$B$10,Paramètres!$A$1:$I$89,3,0)*VLOOKUP('Données projet'!$B$10,Paramètres!$A$1:$I$89,5,0)</f>
        <v>132.03840000000005</v>
      </c>
      <c r="AK40" s="13">
        <f t="shared" si="35"/>
        <v>34.466946374534373</v>
      </c>
      <c r="AL40" s="20">
        <f t="shared" si="4"/>
        <v>289.99681160231415</v>
      </c>
      <c r="AM40" s="59">
        <f t="shared" si="5"/>
        <v>583.33014493564747</v>
      </c>
      <c r="AN40" s="59">
        <f ca="1">AVERAGE(OFFSET($AM$3,0,0,'Données projet'!$E$10+1,1))-AVERAGE(OFFSET($H$3,0,0,'Données projet'!$E$10+1,1))</f>
        <v>370.12772664814923</v>
      </c>
      <c r="AO40" s="59">
        <f t="shared" si="36"/>
        <v>292.26503163353146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6.510687159801682</v>
      </c>
      <c r="AV40" s="21">
        <f>EXP(-LN(2)/25)*AV39+(1-EXP(-LN(2)/25))/(LN(2)/25)*Calculateur!AQ40*Calculateur!AS40*VLOOKUP('Données projet'!$B$10,Paramètres!$A$1:$I$89,3,0)*0.475*44/12</f>
        <v>5.4713034614692644</v>
      </c>
      <c r="AW40" s="21">
        <f>EXP(-LN(2)/2)*AW39+(1-EXP(-LN(2)/2))/(LN(2)/2)*AQ40*AT40*VLOOKUP('Données projet'!$B$10,Paramètres!$A$1:$I$89,3,0)*0.475*44/12</f>
        <v>0.70028616225943086</v>
      </c>
      <c r="AX40" s="21">
        <f t="shared" si="6"/>
        <v>12.682276783530376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11.2</v>
      </c>
      <c r="BD40" s="12">
        <f>IF('Données projet'!$A$88&gt;35,BD39+BC40-BL39,IF(A40&lt;'Données projet'!$A$88,$BA$205^A40,IF(A40='Données projet'!$A$88,'Données projet'!$B$88,BD39+BC40-BL39)))</f>
        <v>141.40000000000003</v>
      </c>
      <c r="BE40" s="13">
        <f>BD40*VLOOKUP('Données projet'!$B$11,Paramètres!$A$1:$I$89,3,0)*VLOOKUP('Données projet'!$B$11,Paramètres!$A$1:$I$89,5,0)</f>
        <v>152.20296000000002</v>
      </c>
      <c r="BF40" s="13">
        <f t="shared" si="37"/>
        <v>39.078790593326843</v>
      </c>
      <c r="BG40" s="20">
        <f t="shared" si="7"/>
        <v>333.14904895004429</v>
      </c>
      <c r="BH40" s="59">
        <f t="shared" si="8"/>
        <v>626.48238228337755</v>
      </c>
      <c r="BI40" s="59">
        <f ca="1">AVERAGE(OFFSET($BH$3,0,0,'Données projet'!$E$11+1,1))-AVERAGE(OFFSET($H$3,0,0,'Données projet'!$E$11+1,1))</f>
        <v>475.01366239340246</v>
      </c>
      <c r="BJ40" s="59">
        <f t="shared" si="38"/>
        <v>322.81767004794284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7.569026995990642</v>
      </c>
      <c r="BQ40" s="21">
        <f>EXP(-LN(2)/25)*BQ39+(1-EXP(-LN(2)/25))/(LN(2)/25)*Calculateur!BL40*Calculateur!BN40*VLOOKUP('Données projet'!$B$11,Paramètres!$A$1:$I$89,3,0)*0.475*44/12</f>
        <v>9.1754977765259014</v>
      </c>
      <c r="BR40" s="21">
        <f>EXP(-LN(2)/2)*BR39+(1-EXP(-LN(2)/2))/(LN(2)/2)*BL40*BO40*VLOOKUP('Données projet'!$B$11,Paramètres!$A$1:$I$89,3,0)*0.475*44/12</f>
        <v>0.89745177158334422</v>
      </c>
      <c r="BS40" s="22">
        <f t="shared" si="9"/>
        <v>17.641976544099887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8.4</v>
      </c>
      <c r="BY40" s="12">
        <f>IF('Données projet'!$A$114&gt;35,BY39+BX40-CG39,IF(A40&lt;'Données projet'!$A$114,$BV$205^A40,IF(A40='Données projet'!$A$114,'Données projet'!$B$114,BY39+BX40-CG39)))</f>
        <v>111.80000000000001</v>
      </c>
      <c r="BZ40" s="13">
        <f>BY40*VLOOKUP('Données projet'!$B$12,Paramètres!$A$1:$I$89,3,0)*VLOOKUP('Données projet'!$B$12,Paramètres!$A$1:$I$89,5,0)</f>
        <v>74.995440000000016</v>
      </c>
      <c r="CA40" s="13">
        <f t="shared" si="39"/>
        <v>20.908980854017098</v>
      </c>
      <c r="CB40" s="20">
        <f t="shared" si="10"/>
        <v>167.03353298741314</v>
      </c>
      <c r="CC40" s="59">
        <f t="shared" si="11"/>
        <v>460.36686632074645</v>
      </c>
      <c r="CD40" s="59">
        <f ca="1">AVERAGE(OFFSET($CC$3,0,0,'Données projet'!$E$12+1,1))-AVERAGE(OFFSET($H$3,0,0,'Données projet'!$E$12+1,1))</f>
        <v>254.8851926268614</v>
      </c>
      <c r="CE40" s="59">
        <f t="shared" si="40"/>
        <v>182.11500693273973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2.6513346222228034</v>
      </c>
      <c r="CL40" s="21">
        <f>EXP(-LN(2)/25)*CL39+(1-EXP(-LN(2)/25))/(LN(2)/25)*Calculateur!CG40*Calculateur!CI40*VLOOKUP('Données projet'!$B$12,Paramètres!$A$1:$I$89,3,0)*0.475*44/12</f>
        <v>3.1573647042892912</v>
      </c>
      <c r="CM40" s="21">
        <f>EXP(-LN(2)/2)*CM39+(1-EXP(-LN(2)/2))/(LN(2)/2)*CG40*CJ40*VLOOKUP('Données projet'!$B$12,Paramètres!$A$1:$I$89,3,0)*0.475*44/12</f>
        <v>0.3999069881172132</v>
      </c>
      <c r="CN40" s="22">
        <f t="shared" si="12"/>
        <v>6.208606314629308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7.9487179487179507</v>
      </c>
      <c r="N41" s="13">
        <f>IF('Données projet'!$A$36&gt;35,N40+M41-V40,IF(A41&lt;'Données projet'!$A$36,$K$205^A41,IF(A41='Données projet'!$A$36,'Données projet'!$B$36,N40+M41-V40)))</f>
        <v>134.74358974358978</v>
      </c>
      <c r="O41" s="13">
        <f>N41*VLOOKUP('Données projet'!$B$9,Paramètres!$A$1:$I$89,3,0)*VLOOKUP('Données projet'!$B$9,Paramètres!$A$1:$I$89,5,0)</f>
        <v>140.83400000000006</v>
      </c>
      <c r="P41" s="13">
        <f t="shared" si="33"/>
        <v>36.48799708918758</v>
      </c>
      <c r="Q41" s="20">
        <f t="shared" si="53"/>
        <v>308.83581159700185</v>
      </c>
      <c r="R41" s="59">
        <f t="shared" si="0"/>
        <v>602.16914493033516</v>
      </c>
      <c r="S41" s="59">
        <f ca="1">AVERAGE(OFFSET($R$3,0,0,'Données projet'!$E$9+1,1))-AVERAGE(OFFSET($H$3,0,0,'Données projet'!$E$9+1,1))</f>
        <v>241.84492910369795</v>
      </c>
      <c r="T41" s="59">
        <f t="shared" si="34"/>
        <v>338.04336767245667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5.1677146159398237</v>
      </c>
      <c r="AA41" s="21">
        <f>EXP(-LN(2)/25)*AA40+(1-EXP(-LN(2)/25))/(LN(2)/25)*Calculateur!V41*Calculateur!X41*VLOOKUP('Données projet'!$B$9,Paramètres!$A$1:$I$89,3,0)*0.475*44/12</f>
        <v>11.131268918709363</v>
      </c>
      <c r="AB41" s="21">
        <f>EXP(-LN(2)/2)*AB40+(1-EXP(-LN(2)/2))/(LN(2)/2)*V41*Y41*VLOOKUP('Données projet'!$B$9,Paramètres!$A$1:$I$89,3,0)*0.475*44/12</f>
        <v>0.54036620679055236</v>
      </c>
      <c r="AC41" s="22">
        <f t="shared" si="3"/>
        <v>16.83934974143974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14.4</v>
      </c>
      <c r="AI41" s="13">
        <f>IF('Données projet'!$A$62&gt;35,AI40+AH41-AQ40,IF(A41&lt;'Données projet'!$A$62,$AF$205^A41,IF(A41='Données projet'!$A$62,'Données projet'!$B$62,AI40+AH41-AQ40)))</f>
        <v>235.20000000000005</v>
      </c>
      <c r="AJ41" s="13">
        <f>AI41*VLOOKUP('Données projet'!$B$10,Paramètres!$A$1:$I$89,3,0)*VLOOKUP('Données projet'!$B$10,Paramètres!$A$1:$I$89,5,0)</f>
        <v>140.64960000000002</v>
      </c>
      <c r="AK41" s="13">
        <f t="shared" si="35"/>
        <v>36.445779615258601</v>
      </c>
      <c r="AL41" s="20">
        <f t="shared" si="4"/>
        <v>308.44111949657542</v>
      </c>
      <c r="AM41" s="59">
        <f t="shared" si="5"/>
        <v>601.7744528299088</v>
      </c>
      <c r="AN41" s="59">
        <f ca="1">AVERAGE(OFFSET($AM$3,0,0,'Données projet'!$E$10+1,1))-AVERAGE(OFFSET($H$3,0,0,'Données projet'!$E$10+1,1))</f>
        <v>370.12772664814923</v>
      </c>
      <c r="AO41" s="59">
        <f t="shared" si="36"/>
        <v>292.26503163353146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6.383016555725022</v>
      </c>
      <c r="AV41" s="21">
        <f>EXP(-LN(2)/25)*AV40+(1-EXP(-LN(2)/25))/(LN(2)/25)*Calculateur!AQ41*Calculateur!AS41*VLOOKUP('Données projet'!$B$10,Paramètres!$A$1:$I$89,3,0)*0.475*44/12</f>
        <v>5.3216903805920435</v>
      </c>
      <c r="AW41" s="21">
        <f>EXP(-LN(2)/2)*AW40+(1-EXP(-LN(2)/2))/(LN(2)/2)*AQ41*AT41*VLOOKUP('Données projet'!$B$10,Paramètres!$A$1:$I$89,3,0)*0.475*44/12</f>
        <v>0.49517709410474653</v>
      </c>
      <c r="AX41" s="21">
        <f t="shared" si="6"/>
        <v>12.199884030421813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11.2</v>
      </c>
      <c r="BD41" s="12">
        <f>IF('Données projet'!$A$88&gt;35,BD40+BC41-BL40,IF(A41&lt;'Données projet'!$A$88,$BA$205^A41,IF(A41='Données projet'!$A$88,'Données projet'!$B$88,BD40+BC41-BL40)))</f>
        <v>152.60000000000002</v>
      </c>
      <c r="BE41" s="13">
        <f>BD41*VLOOKUP('Données projet'!$B$11,Paramètres!$A$1:$I$89,3,0)*VLOOKUP('Données projet'!$B$11,Paramètres!$A$1:$I$89,5,0)</f>
        <v>164.25864000000001</v>
      </c>
      <c r="BF41" s="13">
        <f t="shared" si="37"/>
        <v>41.80159011374478</v>
      </c>
      <c r="BG41" s="20">
        <f t="shared" si="7"/>
        <v>358.88823411477216</v>
      </c>
      <c r="BH41" s="59">
        <f t="shared" si="8"/>
        <v>652.22156744810547</v>
      </c>
      <c r="BI41" s="59">
        <f ca="1">AVERAGE(OFFSET($BH$3,0,0,'Données projet'!$E$11+1,1))-AVERAGE(OFFSET($H$3,0,0,'Données projet'!$E$11+1,1))</f>
        <v>475.01366239340246</v>
      </c>
      <c r="BJ41" s="59">
        <f t="shared" si="38"/>
        <v>322.81767004794284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7.4206029932498767</v>
      </c>
      <c r="BQ41" s="21">
        <f>EXP(-LN(2)/25)*BQ40+(1-EXP(-LN(2)/25))/(LN(2)/25)*Calculateur!BL41*Calculateur!BN41*VLOOKUP('Données projet'!$B$11,Paramètres!$A$1:$I$89,3,0)*0.475*44/12</f>
        <v>8.9245933073083439</v>
      </c>
      <c r="BR41" s="21">
        <f>EXP(-LN(2)/2)*BR40+(1-EXP(-LN(2)/2))/(LN(2)/2)*BL41*BO41*VLOOKUP('Données projet'!$B$11,Paramètres!$A$1:$I$89,3,0)*0.475*44/12</f>
        <v>0.6345942334744632</v>
      </c>
      <c r="BS41" s="22">
        <f t="shared" si="9"/>
        <v>16.979790534032684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8.4</v>
      </c>
      <c r="BY41" s="12">
        <f>IF('Données projet'!$A$114&gt;35,BY40+BX41-CG40,IF(A41&lt;'Données projet'!$A$114,$BV$205^A41,IF(A41='Données projet'!$A$114,'Données projet'!$B$114,BY40+BX41-CG40)))</f>
        <v>120.20000000000002</v>
      </c>
      <c r="BZ41" s="13">
        <f>BY41*VLOOKUP('Données projet'!$B$12,Paramètres!$A$1:$I$89,3,0)*VLOOKUP('Données projet'!$B$12,Paramètres!$A$1:$I$89,5,0)</f>
        <v>80.630160000000018</v>
      </c>
      <c r="CA41" s="13">
        <f t="shared" si="39"/>
        <v>22.291191095412266</v>
      </c>
      <c r="CB41" s="20">
        <f t="shared" si="10"/>
        <v>179.25468649117639</v>
      </c>
      <c r="CC41" s="59">
        <f t="shared" si="11"/>
        <v>472.58801982450973</v>
      </c>
      <c r="CD41" s="59">
        <f ca="1">AVERAGE(OFFSET($CC$3,0,0,'Données projet'!$E$12+1,1))-AVERAGE(OFFSET($H$3,0,0,'Données projet'!$E$12+1,1))</f>
        <v>254.8851926268614</v>
      </c>
      <c r="CE41" s="59">
        <f t="shared" si="40"/>
        <v>182.11500693273973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2.599343567435453</v>
      </c>
      <c r="CL41" s="21">
        <f>EXP(-LN(2)/25)*CL40+(1-EXP(-LN(2)/25))/(LN(2)/25)*Calculateur!CG41*Calculateur!CI41*VLOOKUP('Données projet'!$B$12,Paramètres!$A$1:$I$89,3,0)*0.475*44/12</f>
        <v>3.071026400411907</v>
      </c>
      <c r="CM41" s="21">
        <f>EXP(-LN(2)/2)*CM40+(1-EXP(-LN(2)/2))/(LN(2)/2)*CG41*CJ41*VLOOKUP('Données projet'!$B$12,Paramètres!$A$1:$I$89,3,0)*0.475*44/12</f>
        <v>0.28277694314156954</v>
      </c>
      <c r="CN41" s="22">
        <f t="shared" si="12"/>
        <v>5.9531469109889299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7.9487179487179507</v>
      </c>
      <c r="N42" s="13">
        <f>IF('Données projet'!$A$36&gt;35,N41+M42-V41,IF(A42&lt;'Données projet'!$A$36,$K$205^A42,IF(A42='Données projet'!$A$36,'Données projet'!$B$36,N41+M42-V41)))</f>
        <v>142.69230769230774</v>
      </c>
      <c r="O42" s="13">
        <f>N42*VLOOKUP('Données projet'!$B$9,Paramètres!$A$1:$I$89,3,0)*VLOOKUP('Données projet'!$B$9,Paramètres!$A$1:$I$89,5,0)</f>
        <v>149.14200000000005</v>
      </c>
      <c r="P42" s="13">
        <f t="shared" si="33"/>
        <v>38.383536992635136</v>
      </c>
      <c r="Q42" s="20">
        <f t="shared" si="53"/>
        <v>326.60697692883957</v>
      </c>
      <c r="R42" s="59">
        <f t="shared" si="0"/>
        <v>619.94031026217294</v>
      </c>
      <c r="S42" s="59">
        <f ca="1">AVERAGE(OFFSET($R$3,0,0,'Données projet'!$E$9+1,1))-AVERAGE(OFFSET($H$3,0,0,'Données projet'!$E$9+1,1))</f>
        <v>241.84492910369795</v>
      </c>
      <c r="T42" s="59">
        <f t="shared" si="34"/>
        <v>338.04336767245667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5.0663788843159256</v>
      </c>
      <c r="AA42" s="21">
        <f>EXP(-LN(2)/25)*AA41+(1-EXP(-LN(2)/25))/(LN(2)/25)*Calculateur!V42*Calculateur!X42*VLOOKUP('Données projet'!$B$9,Paramètres!$A$1:$I$89,3,0)*0.475*44/12</f>
        <v>10.826883784759264</v>
      </c>
      <c r="AB42" s="21">
        <f>EXP(-LN(2)/2)*AB41+(1-EXP(-LN(2)/2))/(LN(2)/2)*V42*Y42*VLOOKUP('Données projet'!$B$9,Paramètres!$A$1:$I$89,3,0)*0.475*44/12</f>
        <v>0.3820966091456518</v>
      </c>
      <c r="AC42" s="22">
        <f t="shared" si="3"/>
        <v>16.27535927822084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14.4</v>
      </c>
      <c r="AI42" s="13">
        <f>IF('Données projet'!$A$62&gt;35,AI41+AH42-AQ41,IF(A42&lt;'Données projet'!$A$62,$AF$205^A42,IF(A42='Données projet'!$A$62,'Données projet'!$B$62,AI41+AH42-AQ41)))</f>
        <v>249.60000000000005</v>
      </c>
      <c r="AJ42" s="13">
        <f>AI42*VLOOKUP('Données projet'!$B$10,Paramètres!$A$1:$I$89,3,0)*VLOOKUP('Données projet'!$B$10,Paramètres!$A$1:$I$89,5,0)</f>
        <v>149.26080000000005</v>
      </c>
      <c r="AK42" s="13">
        <f t="shared" si="35"/>
        <v>38.410551499792909</v>
      </c>
      <c r="AL42" s="20">
        <f t="shared" si="4"/>
        <v>326.86093719547273</v>
      </c>
      <c r="AM42" s="59">
        <f t="shared" si="5"/>
        <v>620.1942705288061</v>
      </c>
      <c r="AN42" s="59">
        <f ca="1">AVERAGE(OFFSET($AM$3,0,0,'Données projet'!$E$10+1,1))-AVERAGE(OFFSET($H$3,0,0,'Données projet'!$E$10+1,1))</f>
        <v>370.12772664814923</v>
      </c>
      <c r="AO42" s="59">
        <f t="shared" si="36"/>
        <v>292.26503163353146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6.2578494943229259</v>
      </c>
      <c r="AV42" s="21">
        <f>EXP(-LN(2)/25)*AV41+(1-EXP(-LN(2)/25))/(LN(2)/25)*Calculateur!AQ42*Calculateur!AS42*VLOOKUP('Données projet'!$B$10,Paramètres!$A$1:$I$89,3,0)*0.475*44/12</f>
        <v>5.1761684772792202</v>
      </c>
      <c r="AW42" s="21">
        <f>EXP(-LN(2)/2)*AW41+(1-EXP(-LN(2)/2))/(LN(2)/2)*AQ42*AT42*VLOOKUP('Données projet'!$B$10,Paramètres!$A$1:$I$89,3,0)*0.475*44/12</f>
        <v>0.35014308112971548</v>
      </c>
      <c r="AX42" s="21">
        <f t="shared" si="6"/>
        <v>11.784161052731861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11.2</v>
      </c>
      <c r="BD42" s="12">
        <f>IF('Données projet'!$A$88&gt;35,BD41+BC42-BL41,IF(A42&lt;'Données projet'!$A$88,$BA$205^A42,IF(A42='Données projet'!$A$88,'Données projet'!$B$88,BD41+BC42-BL41)))</f>
        <v>163.80000000000001</v>
      </c>
      <c r="BE42" s="13">
        <f>BD42*VLOOKUP('Données projet'!$B$11,Paramètres!$A$1:$I$89,3,0)*VLOOKUP('Données projet'!$B$11,Paramètres!$A$1:$I$89,5,0)</f>
        <v>176.31432000000001</v>
      </c>
      <c r="BF42" s="13">
        <f t="shared" si="37"/>
        <v>44.501205551735517</v>
      </c>
      <c r="BG42" s="20">
        <f t="shared" si="7"/>
        <v>384.58704033593932</v>
      </c>
      <c r="BH42" s="59">
        <f t="shared" si="8"/>
        <v>677.92037366927264</v>
      </c>
      <c r="BI42" s="59">
        <f ca="1">AVERAGE(OFFSET($BH$3,0,0,'Données projet'!$E$11+1,1))-AVERAGE(OFFSET($H$3,0,0,'Données projet'!$E$11+1,1))</f>
        <v>475.01366239340246</v>
      </c>
      <c r="BJ42" s="59">
        <f t="shared" si="38"/>
        <v>322.81767004794284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7.2750894946731552</v>
      </c>
      <c r="BQ42" s="21">
        <f>EXP(-LN(2)/25)*BQ41+(1-EXP(-LN(2)/25))/(LN(2)/25)*Calculateur!BL42*Calculateur!BN42*VLOOKUP('Données projet'!$B$11,Paramètres!$A$1:$I$89,3,0)*0.475*44/12</f>
        <v>8.6805498339960323</v>
      </c>
      <c r="BR42" s="21">
        <f>EXP(-LN(2)/2)*BR41+(1-EXP(-LN(2)/2))/(LN(2)/2)*BL42*BO42*VLOOKUP('Données projet'!$B$11,Paramètres!$A$1:$I$89,3,0)*0.475*44/12</f>
        <v>0.44872588579167211</v>
      </c>
      <c r="BS42" s="22">
        <f t="shared" si="9"/>
        <v>16.40436521446086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8.4</v>
      </c>
      <c r="BY42" s="12">
        <f>IF('Données projet'!$A$114&gt;35,BY41+BX42-CG41,IF(A42&lt;'Données projet'!$A$114,$BV$205^A42,IF(A42='Données projet'!$A$114,'Données projet'!$B$114,BY41+BX42-CG41)))</f>
        <v>128.60000000000002</v>
      </c>
      <c r="BZ42" s="13">
        <f>BY42*VLOOKUP('Données projet'!$B$12,Paramètres!$A$1:$I$89,3,0)*VLOOKUP('Données projet'!$B$12,Paramètres!$A$1:$I$89,5,0)</f>
        <v>86.264880000000019</v>
      </c>
      <c r="CA42" s="13">
        <f t="shared" si="39"/>
        <v>23.662193807539584</v>
      </c>
      <c r="CB42" s="20">
        <f t="shared" si="10"/>
        <v>191.45632021479813</v>
      </c>
      <c r="CC42" s="59">
        <f t="shared" si="11"/>
        <v>484.78965354813147</v>
      </c>
      <c r="CD42" s="59">
        <f ca="1">AVERAGE(OFFSET($CC$3,0,0,'Données projet'!$E$12+1,1))-AVERAGE(OFFSET($H$3,0,0,'Données projet'!$E$12+1,1))</f>
        <v>254.8851926268614</v>
      </c>
      <c r="CE42" s="59">
        <f t="shared" si="40"/>
        <v>182.11500693273973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2.5483720255210702</v>
      </c>
      <c r="CL42" s="21">
        <f>EXP(-LN(2)/25)*CL41+(1-EXP(-LN(2)/25))/(LN(2)/25)*Calculateur!CG42*Calculateur!CI42*VLOOKUP('Données projet'!$B$12,Paramètres!$A$1:$I$89,3,0)*0.475*44/12</f>
        <v>2.9870490219943839</v>
      </c>
      <c r="CM42" s="21">
        <f>EXP(-LN(2)/2)*CM41+(1-EXP(-LN(2)/2))/(LN(2)/2)*CG42*CJ42*VLOOKUP('Données projet'!$B$12,Paramètres!$A$1:$I$89,3,0)*0.475*44/12</f>
        <v>0.1999534940586066</v>
      </c>
      <c r="CN42" s="22">
        <f t="shared" si="12"/>
        <v>5.7353745415740605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150.64102564102564</v>
      </c>
      <c r="L43" s="12">
        <f>VLOOKUP(A43,'Données projet'!$A$35:$I$55,9,0)</f>
        <v>7.9487179487179507</v>
      </c>
      <c r="M43" s="12">
        <f t="array" ref="M43">INDEX(L:L,MIN(IF(ISNUMBER(L43:L239),ROW(L43:L239),"")))</f>
        <v>7.9487179487179507</v>
      </c>
      <c r="N43" s="13">
        <f>IF('Données projet'!$A$36&gt;35,N42+M43-V42,IF(A43&lt;'Données projet'!$A$36,$K$205^A43,IF(A43='Données projet'!$A$36,'Données projet'!$B$36,N42+M43-V42)))</f>
        <v>150.64102564102569</v>
      </c>
      <c r="O43" s="13">
        <f>N43*VLOOKUP('Données projet'!$B$9,Paramètres!$A$1:$I$89,3,0)*VLOOKUP('Données projet'!$B$9,Paramètres!$A$1:$I$89,5,0)</f>
        <v>157.45000000000007</v>
      </c>
      <c r="P43" s="13">
        <f t="shared" si="33"/>
        <v>40.266819101252011</v>
      </c>
      <c r="Q43" s="20">
        <f t="shared" si="53"/>
        <v>344.35679326801409</v>
      </c>
      <c r="R43" s="59">
        <f t="shared" si="0"/>
        <v>637.6901266013474</v>
      </c>
      <c r="S43" s="59">
        <f ca="1">AVERAGE(OFFSET($R$3,0,0,'Données projet'!$E$9+1,1))-AVERAGE(OFFSET($H$3,0,0,'Données projet'!$E$9+1,1))</f>
        <v>241.84492910369795</v>
      </c>
      <c r="T43" s="59">
        <f t="shared" si="34"/>
        <v>338.04336767245667</v>
      </c>
      <c r="U43" s="15">
        <f>IF(ISNA(VLOOKUP(A43,'Données projet'!$A$35:$I$55,3,0)),0,VLOOKUP(A43,'Données projet'!$A$35:$I$55,3,0))</f>
        <v>6</v>
      </c>
      <c r="V43" s="15">
        <f>IF(ISNA(VLOOKUP(A43,'Données projet'!$A$35:$I$55,4,0)),0,VLOOKUP(A43,'Données projet'!$A$35:$I$55,4,0))</f>
        <v>28.846153846153847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4.9670302845804795</v>
      </c>
      <c r="AA43" s="21">
        <f>EXP(-LN(2)/25)*AA42+(1-EXP(-LN(2)/25))/(LN(2)/25)*Calculateur!V43*Calculateur!X43*VLOOKUP('Données projet'!$B$9,Paramètres!$A$1:$I$89,3,0)*0.475*44/12</f>
        <v>10.530822078303949</v>
      </c>
      <c r="AB43" s="21">
        <f>EXP(-LN(2)/2)*AB42+(1-EXP(-LN(2)/2))/(LN(2)/2)*V43*Y43*VLOOKUP('Données projet'!$B$9,Paramètres!$A$1:$I$89,3,0)*0.475*44/12</f>
        <v>0.27018310339527618</v>
      </c>
      <c r="AC43" s="22">
        <f t="shared" si="3"/>
        <v>15.768035466279704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264</v>
      </c>
      <c r="AG43" s="12">
        <f>VLOOKUP(A43,'Données projet'!$A$61:$I$81,9,0)</f>
        <v>14.4</v>
      </c>
      <c r="AH43" s="12">
        <f t="array" ref="AH43">INDEX(AG:AG,MIN(IF(ISNUMBER(AG43:AG239),ROW(AG43:AG239),"")))</f>
        <v>14.4</v>
      </c>
      <c r="AI43" s="13">
        <f>IF('Données projet'!$A$62&gt;35,AI42+AH43-AQ42,IF(A43&lt;'Données projet'!$A$62,$AF$205^A43,IF(A43='Données projet'!$A$62,'Données projet'!$B$62,AI42+AH43-AQ42)))</f>
        <v>264.00000000000006</v>
      </c>
      <c r="AJ43" s="13">
        <f>AI43*VLOOKUP('Données projet'!$B$10,Paramètres!$A$1:$I$89,3,0)*VLOOKUP('Données projet'!$B$10,Paramètres!$A$1:$I$89,5,0)</f>
        <v>157.87200000000004</v>
      </c>
      <c r="AK43" s="13">
        <f t="shared" si="35"/>
        <v>40.362165684361159</v>
      </c>
      <c r="AL43" s="20">
        <f t="shared" si="4"/>
        <v>345.25783856692902</v>
      </c>
      <c r="AM43" s="59">
        <f t="shared" si="5"/>
        <v>638.59117190026234</v>
      </c>
      <c r="AN43" s="59">
        <f ca="1">AVERAGE(OFFSET($AM$3,0,0,'Données projet'!$E$10+1,1))-AVERAGE(OFFSET($H$3,0,0,'Données projet'!$E$10+1,1))</f>
        <v>370.12772664814923</v>
      </c>
      <c r="AO43" s="59">
        <f t="shared" si="36"/>
        <v>292.26503163353146</v>
      </c>
      <c r="AP43" s="15">
        <f>IF(ISNA(VLOOKUP(A43,'Données projet'!$A$61:$I$81,3,0)),0,VLOOKUP(A43,'Données projet'!$A$61:$I$81,3,0))</f>
        <v>5</v>
      </c>
      <c r="AQ43" s="15">
        <f>IF(ISNA(VLOOKUP(A43,'Données projet'!$A$61:$I$81,4,0)),0,VLOOKUP(A43,'Données projet'!$A$61:$I$81,4,0))</f>
        <v>41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6.1351368826505563</v>
      </c>
      <c r="AV43" s="21">
        <f>EXP(-LN(2)/25)*AV42+(1-EXP(-LN(2)/25))/(LN(2)/25)*Calculateur!AQ43*Calculateur!AS43*VLOOKUP('Données projet'!$B$10,Paramètres!$A$1:$I$89,3,0)*0.475*44/12</f>
        <v>5.0346258780651496</v>
      </c>
      <c r="AW43" s="21">
        <f>EXP(-LN(2)/2)*AW42+(1-EXP(-LN(2)/2))/(LN(2)/2)*AQ43*AT43*VLOOKUP('Données projet'!$B$10,Paramètres!$A$1:$I$89,3,0)*0.475*44/12</f>
        <v>0.24758854705237329</v>
      </c>
      <c r="AX43" s="21">
        <f t="shared" si="6"/>
        <v>11.417351307768079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175</v>
      </c>
      <c r="BB43" s="12">
        <f>VLOOKUP(A43,'Données projet'!$A$87:$I$107,9,0)</f>
        <v>11.2</v>
      </c>
      <c r="BC43" s="12">
        <f t="array" ref="BC43">INDEX(BB:BB,MIN(IF(ISNUMBER(BB43:BB239),ROW(BB43:BB239),"")))</f>
        <v>11.2</v>
      </c>
      <c r="BD43" s="12">
        <f>IF('Données projet'!$A$88&gt;35,BD42+BC43-BL42,IF(A43&lt;'Données projet'!$A$88,$BA$205^A43,IF(A43='Données projet'!$A$88,'Données projet'!$B$88,BD42+BC43-BL42)))</f>
        <v>175</v>
      </c>
      <c r="BE43" s="13">
        <f>BD43*VLOOKUP('Données projet'!$B$11,Paramètres!$A$1:$I$89,3,0)*VLOOKUP('Données projet'!$B$11,Paramètres!$A$1:$I$89,5,0)</f>
        <v>188.36999999999998</v>
      </c>
      <c r="BF43" s="13">
        <f t="shared" si="37"/>
        <v>47.179402486491298</v>
      </c>
      <c r="BG43" s="20">
        <f t="shared" si="7"/>
        <v>410.24854266397227</v>
      </c>
      <c r="BH43" s="59">
        <f t="shared" si="8"/>
        <v>703.58187599730559</v>
      </c>
      <c r="BI43" s="59">
        <f ca="1">AVERAGE(OFFSET($BH$3,0,0,'Données projet'!$E$11+1,1))-AVERAGE(OFFSET($H$3,0,0,'Données projet'!$E$11+1,1))</f>
        <v>475.01366239340246</v>
      </c>
      <c r="BJ43" s="59">
        <f t="shared" si="38"/>
        <v>322.81767004794284</v>
      </c>
      <c r="BK43" s="15">
        <f>IF(ISNA(VLOOKUP(A43,'Données projet'!$A$87:$I$107,3,0)),0,VLOOKUP(A43,'Données projet'!$A$87:$I$107,3,0))</f>
        <v>5</v>
      </c>
      <c r="BL43" s="15">
        <f>IF(ISNA(VLOOKUP(A43,'Données projet'!$A$87:$I$107,4,0)),0,VLOOKUP(A43,'Données projet'!$A$87:$I$107,4,0))</f>
        <v>28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7.1324294270490531</v>
      </c>
      <c r="BQ43" s="21">
        <f>EXP(-LN(2)/25)*BQ42+(1-EXP(-LN(2)/25))/(LN(2)/25)*Calculateur!BL43*Calculateur!BN43*VLOOKUP('Données projet'!$B$11,Paramètres!$A$1:$I$89,3,0)*0.475*44/12</f>
        <v>8.4431797422951345</v>
      </c>
      <c r="BR43" s="21">
        <f>EXP(-LN(2)/2)*BR42+(1-EXP(-LN(2)/2))/(LN(2)/2)*BL43*BO43*VLOOKUP('Données projet'!$B$11,Paramètres!$A$1:$I$89,3,0)*0.475*44/12</f>
        <v>0.3172971167372316</v>
      </c>
      <c r="BS43" s="22">
        <f t="shared" si="9"/>
        <v>15.892906286081418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137</v>
      </c>
      <c r="BW43" s="12">
        <f>VLOOKUP(A43,'Données projet'!$A$113:$I$133,9,0)</f>
        <v>8.4</v>
      </c>
      <c r="BX43" s="12">
        <f t="array" ref="BX43">INDEX(BW:BW,MIN(IF(ISNUMBER(BW43:BW239),ROW(BW43:BW239),"")))</f>
        <v>8.4</v>
      </c>
      <c r="BY43" s="12">
        <f>IF('Données projet'!$A$114&gt;35,BY42+BX43-CG42,IF(A43&lt;'Données projet'!$A$114,$BV$205^A43,IF(A43='Données projet'!$A$114,'Données projet'!$B$114,BY42+BX43-CG42)))</f>
        <v>137.00000000000003</v>
      </c>
      <c r="BZ43" s="13">
        <f>BY43*VLOOKUP('Données projet'!$B$12,Paramètres!$A$1:$I$89,3,0)*VLOOKUP('Données projet'!$B$12,Paramètres!$A$1:$I$89,5,0)</f>
        <v>91.899600000000021</v>
      </c>
      <c r="CA43" s="13">
        <f t="shared" si="39"/>
        <v>25.022804363156492</v>
      </c>
      <c r="CB43" s="20">
        <f t="shared" si="10"/>
        <v>203.63985426583091</v>
      </c>
      <c r="CC43" s="59">
        <f t="shared" si="11"/>
        <v>496.97318759916425</v>
      </c>
      <c r="CD43" s="59">
        <f ca="1">AVERAGE(OFFSET($CC$3,0,0,'Données projet'!$E$12+1,1))-AVERAGE(OFFSET($H$3,0,0,'Données projet'!$E$12+1,1))</f>
        <v>254.8851926268614</v>
      </c>
      <c r="CE43" s="59">
        <f t="shared" si="40"/>
        <v>182.11500693273973</v>
      </c>
      <c r="CF43" s="15">
        <f>IF(ISNA(VLOOKUP(A43,'Données projet'!$A$113:$I$133,3,0)),0,VLOOKUP(A43,'Données projet'!$A$113:$I$133,3,0))</f>
        <v>4</v>
      </c>
      <c r="CG43" s="15">
        <f>IF(ISNA(VLOOKUP(A43,'Données projet'!$A$113:$I$133,4,0)),0,VLOOKUP(A43,'Données projet'!$A$113:$I$133,4,0))</f>
        <v>21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2.4984000044540577</v>
      </c>
      <c r="CL43" s="21">
        <f>EXP(-LN(2)/25)*CL42+(1-EXP(-LN(2)/25))/(LN(2)/25)*Calculateur!CG43*Calculateur!CI43*VLOOKUP('Données projet'!$B$12,Paramètres!$A$1:$I$89,3,0)*0.475*44/12</f>
        <v>2.9053680094058665</v>
      </c>
      <c r="CM43" s="21">
        <f>EXP(-LN(2)/2)*CM42+(1-EXP(-LN(2)/2))/(LN(2)/2)*CG43*CJ43*VLOOKUP('Données projet'!$B$12,Paramètres!$A$1:$I$89,3,0)*0.475*44/12</f>
        <v>0.14138847157078477</v>
      </c>
      <c r="CN43" s="22">
        <f t="shared" si="12"/>
        <v>5.5451564854307094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7.0512820512820493</v>
      </c>
      <c r="N44" s="13">
        <f>IF('Données projet'!$A$36&gt;35,N43+M44-V43,IF(A44&lt;'Données projet'!$A$36,$K$205^A44,IF(A44='Données projet'!$A$36,'Données projet'!$B$36,N43+M44-V43)))</f>
        <v>128.8461538461539</v>
      </c>
      <c r="O44" s="13">
        <f>N44*VLOOKUP('Données projet'!$B$9,Paramètres!$A$1:$I$89,3,0)*VLOOKUP('Données projet'!$B$9,Paramètres!$A$1:$I$89,5,0)</f>
        <v>134.67000000000007</v>
      </c>
      <c r="P44" s="13">
        <f t="shared" si="33"/>
        <v>35.073232717947938</v>
      </c>
      <c r="Q44" s="20">
        <f t="shared" si="53"/>
        <v>295.63613031709275</v>
      </c>
      <c r="R44" s="59">
        <f t="shared" si="0"/>
        <v>588.96946365042606</v>
      </c>
      <c r="S44" s="59">
        <f ca="1">AVERAGE(OFFSET($R$3,0,0,'Données projet'!$E$9+1,1))-AVERAGE(OFFSET($H$3,0,0,'Données projet'!$E$9+1,1))</f>
        <v>241.84492910369795</v>
      </c>
      <c r="T44" s="59">
        <f t="shared" si="34"/>
        <v>338.04336767245667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4.8696298502891828</v>
      </c>
      <c r="AA44" s="21">
        <f>EXP(-LN(2)/25)*AA43+(1-EXP(-LN(2)/25))/(LN(2)/25)*Calculateur!V44*Calculateur!X44*VLOOKUP('Données projet'!$B$9,Paramètres!$A$1:$I$89,3,0)*0.475*44/12</f>
        <v>10.242856194780863</v>
      </c>
      <c r="AB44" s="21">
        <f>EXP(-LN(2)/2)*AB43+(1-EXP(-LN(2)/2))/(LN(2)/2)*V44*Y44*VLOOKUP('Données projet'!$B$9,Paramètres!$A$1:$I$89,3,0)*0.475*44/12</f>
        <v>0.1910483045728259</v>
      </c>
      <c r="AC44" s="22">
        <f t="shared" si="3"/>
        <v>15.303534349642872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19</v>
      </c>
      <c r="AI44" s="13">
        <f>IF('Données projet'!$A$62&gt;35,AI43+AH44-AQ43,IF(A44&lt;'Données projet'!$A$62,$AF$205^A44,IF(A44='Données projet'!$A$62,'Données projet'!$B$62,AI43+AH44-AQ43)))</f>
        <v>242.00000000000006</v>
      </c>
      <c r="AJ44" s="13">
        <f>AI44*VLOOKUP('Données projet'!$B$10,Paramètres!$A$1:$I$89,3,0)*VLOOKUP('Données projet'!$B$10,Paramètres!$A$1:$I$89,5,0)</f>
        <v>144.71600000000007</v>
      </c>
      <c r="AK44" s="13">
        <f t="shared" si="35"/>
        <v>37.375282885096105</v>
      </c>
      <c r="AL44" s="20">
        <f t="shared" si="4"/>
        <v>317.14231769154247</v>
      </c>
      <c r="AM44" s="59">
        <f t="shared" si="5"/>
        <v>610.47565102487579</v>
      </c>
      <c r="AN44" s="59">
        <f ca="1">AVERAGE(OFFSET($AM$3,0,0,'Données projet'!$E$10+1,1))-AVERAGE(OFFSET($H$3,0,0,'Données projet'!$E$10+1,1))</f>
        <v>370.12772664814923</v>
      </c>
      <c r="AO44" s="59">
        <f t="shared" si="36"/>
        <v>292.26503163353146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6.0148305904457793</v>
      </c>
      <c r="AV44" s="21">
        <f>EXP(-LN(2)/25)*AV43+(1-EXP(-LN(2)/25))/(LN(2)/25)*Calculateur!AQ44*Calculateur!AS44*VLOOKUP('Données projet'!$B$10,Paramètres!$A$1:$I$89,3,0)*0.475*44/12</f>
        <v>4.8969537686699898</v>
      </c>
      <c r="AW44" s="21">
        <f>EXP(-LN(2)/2)*AW43+(1-EXP(-LN(2)/2))/(LN(2)/2)*AQ44*AT44*VLOOKUP('Données projet'!$B$10,Paramètres!$A$1:$I$89,3,0)*0.475*44/12</f>
        <v>0.17507154056485777</v>
      </c>
      <c r="AX44" s="21">
        <f t="shared" si="6"/>
        <v>11.086855899680627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11.4</v>
      </c>
      <c r="BD44" s="12">
        <f>IF('Données projet'!$A$88&gt;35,BD43+BC44-BL43,IF(A44&lt;'Données projet'!$A$88,$BA$205^A44,IF(A44='Données projet'!$A$88,'Données projet'!$B$88,BD43+BC44-BL43)))</f>
        <v>158.4</v>
      </c>
      <c r="BE44" s="13">
        <f>BD44*VLOOKUP('Données projet'!$B$11,Paramètres!$A$1:$I$89,3,0)*VLOOKUP('Données projet'!$B$11,Paramètres!$A$1:$I$89,5,0)</f>
        <v>170.50175999999999</v>
      </c>
      <c r="BF44" s="13">
        <f t="shared" si="37"/>
        <v>43.202381851006642</v>
      </c>
      <c r="BG44" s="20">
        <f t="shared" si="7"/>
        <v>372.20138039050318</v>
      </c>
      <c r="BH44" s="59">
        <f t="shared" si="8"/>
        <v>665.53471372383649</v>
      </c>
      <c r="BI44" s="59">
        <f ca="1">AVERAGE(OFFSET($BH$3,0,0,'Données projet'!$E$11+1,1))-AVERAGE(OFFSET($H$3,0,0,'Données projet'!$E$11+1,1))</f>
        <v>475.01366239340246</v>
      </c>
      <c r="BJ44" s="59">
        <f t="shared" si="38"/>
        <v>322.81767004794284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6.9925668363370104</v>
      </c>
      <c r="BQ44" s="21">
        <f>EXP(-LN(2)/25)*BQ43+(1-EXP(-LN(2)/25))/(LN(2)/25)*Calculateur!BL44*Calculateur!BN44*VLOOKUP('Données projet'!$B$11,Paramètres!$A$1:$I$89,3,0)*0.475*44/12</f>
        <v>8.2123005482345484</v>
      </c>
      <c r="BR44" s="21">
        <f>EXP(-LN(2)/2)*BR43+(1-EXP(-LN(2)/2))/(LN(2)/2)*BL44*BO44*VLOOKUP('Données projet'!$B$11,Paramètres!$A$1:$I$89,3,0)*0.475*44/12</f>
        <v>0.22436294289583605</v>
      </c>
      <c r="BS44" s="22">
        <f t="shared" si="9"/>
        <v>15.429230327467394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8.4</v>
      </c>
      <c r="BY44" s="12">
        <f>IF('Données projet'!$A$114&gt;35,BY43+BX44-CG43,IF(A44&lt;'Données projet'!$A$114,$BV$205^A44,IF(A44='Données projet'!$A$114,'Données projet'!$B$114,BY43+BX44-CG43)))</f>
        <v>124.40000000000003</v>
      </c>
      <c r="BZ44" s="13">
        <f>BY44*VLOOKUP('Données projet'!$B$12,Paramètres!$A$1:$I$89,3,0)*VLOOKUP('Données projet'!$B$12,Paramètres!$A$1:$I$89,5,0)</f>
        <v>83.447520000000026</v>
      </c>
      <c r="CA44" s="13">
        <f t="shared" si="39"/>
        <v>22.978039697763734</v>
      </c>
      <c r="CB44" s="20">
        <f t="shared" si="10"/>
        <v>185.3578498069385</v>
      </c>
      <c r="CC44" s="59">
        <f t="shared" si="11"/>
        <v>478.69118314027185</v>
      </c>
      <c r="CD44" s="59">
        <f ca="1">AVERAGE(OFFSET($CC$3,0,0,'Données projet'!$E$12+1,1))-AVERAGE(OFFSET($H$3,0,0,'Données projet'!$E$12+1,1))</f>
        <v>254.8851926268614</v>
      </c>
      <c r="CE44" s="59">
        <f t="shared" si="40"/>
        <v>182.11500693273973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2.4494079042402466</v>
      </c>
      <c r="CL44" s="21">
        <f>EXP(-LN(2)/25)*CL43+(1-EXP(-LN(2)/25))/(LN(2)/25)*Calculateur!CG44*Calculateur!CI44*VLOOKUP('Données projet'!$B$12,Paramètres!$A$1:$I$89,3,0)*0.475*44/12</f>
        <v>2.8259205684019997</v>
      </c>
      <c r="CM44" s="21">
        <f>EXP(-LN(2)/2)*CM43+(1-EXP(-LN(2)/2))/(LN(2)/2)*CG44*CJ44*VLOOKUP('Données projet'!$B$12,Paramètres!$A$1:$I$89,3,0)*0.475*44/12</f>
        <v>9.9976747029303301E-2</v>
      </c>
      <c r="CN44" s="22">
        <f t="shared" si="12"/>
        <v>5.3753052196715494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7.0512820512820493</v>
      </c>
      <c r="N45" s="13">
        <f>IF('Données projet'!$A$36&gt;35,N44+M45-V44,IF(A45&lt;'Données projet'!$A$36,$K$205^A45,IF(A45='Données projet'!$A$36,'Données projet'!$B$36,N44+M45-V44)))</f>
        <v>135.89743589743594</v>
      </c>
      <c r="O45" s="13">
        <f>N45*VLOOKUP('Données projet'!$B$9,Paramètres!$A$1:$I$89,3,0)*VLOOKUP('Données projet'!$B$9,Paramètres!$A$1:$I$89,5,0)</f>
        <v>142.04000000000005</v>
      </c>
      <c r="P45" s="13">
        <f t="shared" si="33"/>
        <v>36.763946653971331</v>
      </c>
      <c r="Q45" s="20">
        <f t="shared" si="53"/>
        <v>311.41687375566681</v>
      </c>
      <c r="R45" s="59">
        <f t="shared" si="0"/>
        <v>604.75020708900013</v>
      </c>
      <c r="S45" s="59">
        <f ca="1">AVERAGE(OFFSET($R$3,0,0,'Données projet'!$E$9+1,1))-AVERAGE(OFFSET($H$3,0,0,'Données projet'!$E$9+1,1))</f>
        <v>241.84492910369795</v>
      </c>
      <c r="T45" s="59">
        <f t="shared" si="34"/>
        <v>338.04336767245667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4.7741393791059394</v>
      </c>
      <c r="AA45" s="21">
        <f>EXP(-LN(2)/25)*AA44+(1-EXP(-LN(2)/25))/(LN(2)/25)*Calculateur!V45*Calculateur!X45*VLOOKUP('Données projet'!$B$9,Paramètres!$A$1:$I$89,3,0)*0.475*44/12</f>
        <v>9.9627647534861836</v>
      </c>
      <c r="AB45" s="21">
        <f>EXP(-LN(2)/2)*AB44+(1-EXP(-LN(2)/2))/(LN(2)/2)*V45*Y45*VLOOKUP('Données projet'!$B$9,Paramètres!$A$1:$I$89,3,0)*0.475*44/12</f>
        <v>0.13509155169763809</v>
      </c>
      <c r="AC45" s="22">
        <f t="shared" si="3"/>
        <v>14.871995684289761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19</v>
      </c>
      <c r="AI45" s="13">
        <f>IF('Données projet'!$A$62&gt;35,AI44+AH45-AQ44,IF(A45&lt;'Données projet'!$A$62,$AF$205^A45,IF(A45='Données projet'!$A$62,'Données projet'!$B$62,AI44+AH45-AQ44)))</f>
        <v>261.00000000000006</v>
      </c>
      <c r="AJ45" s="13">
        <f>AI45*VLOOKUP('Données projet'!$B$10,Paramètres!$A$1:$I$89,3,0)*VLOOKUP('Données projet'!$B$10,Paramètres!$A$1:$I$89,5,0)</f>
        <v>156.07800000000003</v>
      </c>
      <c r="AK45" s="13">
        <f t="shared" si="35"/>
        <v>39.956623674978466</v>
      </c>
      <c r="AL45" s="20">
        <f t="shared" si="4"/>
        <v>341.42696956725422</v>
      </c>
      <c r="AM45" s="59">
        <f t="shared" si="5"/>
        <v>634.76030290058748</v>
      </c>
      <c r="AN45" s="59">
        <f ca="1">AVERAGE(OFFSET($AM$3,0,0,'Données projet'!$E$10+1,1))-AVERAGE(OFFSET($H$3,0,0,'Données projet'!$E$10+1,1))</f>
        <v>370.12772664814923</v>
      </c>
      <c r="AO45" s="59">
        <f t="shared" si="36"/>
        <v>292.26503163353146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5.8968834312515455</v>
      </c>
      <c r="AV45" s="21">
        <f>EXP(-LN(2)/25)*AV44+(1-EXP(-LN(2)/25))/(LN(2)/25)*Calculateur!AQ45*Calculateur!AS45*VLOOKUP('Données projet'!$B$10,Paramètres!$A$1:$I$89,3,0)*0.475*44/12</f>
        <v>4.7630463103461027</v>
      </c>
      <c r="AW45" s="21">
        <f>EXP(-LN(2)/2)*AW44+(1-EXP(-LN(2)/2))/(LN(2)/2)*AQ45*AT45*VLOOKUP('Données projet'!$B$10,Paramètres!$A$1:$I$89,3,0)*0.475*44/12</f>
        <v>0.12379427352618667</v>
      </c>
      <c r="AX45" s="21">
        <f t="shared" si="6"/>
        <v>10.783724015123834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11.4</v>
      </c>
      <c r="BD45" s="12">
        <f>IF('Données projet'!$A$88&gt;35,BD44+BC45-BL44,IF(A45&lt;'Données projet'!$A$88,$BA$205^A45,IF(A45='Données projet'!$A$88,'Données projet'!$B$88,BD44+BC45-BL44)))</f>
        <v>169.8</v>
      </c>
      <c r="BE45" s="13">
        <f>BD45*VLOOKUP('Données projet'!$B$11,Paramètres!$A$1:$I$89,3,0)*VLOOKUP('Données projet'!$B$11,Paramètres!$A$1:$I$89,5,0)</f>
        <v>182.77271999999999</v>
      </c>
      <c r="BF45" s="13">
        <f t="shared" si="37"/>
        <v>45.938515386827795</v>
      </c>
      <c r="BG45" s="20">
        <f t="shared" si="7"/>
        <v>398.33873496539172</v>
      </c>
      <c r="BH45" s="59">
        <f t="shared" si="8"/>
        <v>691.67206829872498</v>
      </c>
      <c r="BI45" s="59">
        <f ca="1">AVERAGE(OFFSET($BH$3,0,0,'Données projet'!$E$11+1,1))-AVERAGE(OFFSET($H$3,0,0,'Données projet'!$E$11+1,1))</f>
        <v>475.01366239340246</v>
      </c>
      <c r="BJ45" s="59">
        <f t="shared" si="38"/>
        <v>322.81767004794284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6.8554468657210732</v>
      </c>
      <c r="BQ45" s="21">
        <f>EXP(-LN(2)/25)*BQ44+(1-EXP(-LN(2)/25))/(LN(2)/25)*Calculateur!BL45*Calculateur!BN45*VLOOKUP('Données projet'!$B$11,Paramètres!$A$1:$I$89,3,0)*0.475*44/12</f>
        <v>7.9877347578769582</v>
      </c>
      <c r="BR45" s="21">
        <f>EXP(-LN(2)/2)*BR44+(1-EXP(-LN(2)/2))/(LN(2)/2)*BL45*BO45*VLOOKUP('Données projet'!$B$11,Paramètres!$A$1:$I$89,3,0)*0.475*44/12</f>
        <v>0.1586485583686158</v>
      </c>
      <c r="BS45" s="22">
        <f t="shared" si="9"/>
        <v>15.001830181966648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8.4</v>
      </c>
      <c r="BY45" s="12">
        <f>IF('Données projet'!$A$114&gt;35,BY44+BX45-CG44,IF(A45&lt;'Données projet'!$A$114,$BV$205^A45,IF(A45='Données projet'!$A$114,'Données projet'!$B$114,BY44+BX45-CG44)))</f>
        <v>132.80000000000004</v>
      </c>
      <c r="BZ45" s="13">
        <f>BY45*VLOOKUP('Données projet'!$B$12,Paramètres!$A$1:$I$89,3,0)*VLOOKUP('Données projet'!$B$12,Paramètres!$A$1:$I$89,5,0)</f>
        <v>89.082240000000027</v>
      </c>
      <c r="CA45" s="13">
        <f t="shared" si="39"/>
        <v>24.343751517442186</v>
      </c>
      <c r="CB45" s="20">
        <f t="shared" si="10"/>
        <v>197.5502685595452</v>
      </c>
      <c r="CC45" s="59">
        <f t="shared" si="11"/>
        <v>490.88360189287852</v>
      </c>
      <c r="CD45" s="59">
        <f ca="1">AVERAGE(OFFSET($CC$3,0,0,'Données projet'!$E$12+1,1))-AVERAGE(OFFSET($H$3,0,0,'Données projet'!$E$12+1,1))</f>
        <v>254.8851926268614</v>
      </c>
      <c r="CE45" s="59">
        <f t="shared" si="40"/>
        <v>182.11500693273973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2.4013765092293977</v>
      </c>
      <c r="CL45" s="21">
        <f>EXP(-LN(2)/25)*CL44+(1-EXP(-LN(2)/25))/(LN(2)/25)*Calculateur!CG45*Calculateur!CI45*VLOOKUP('Données projet'!$B$12,Paramètres!$A$1:$I$89,3,0)*0.475*44/12</f>
        <v>2.748645621850343</v>
      </c>
      <c r="CM45" s="21">
        <f>EXP(-LN(2)/2)*CM44+(1-EXP(-LN(2)/2))/(LN(2)/2)*CG45*CJ45*VLOOKUP('Données projet'!$B$12,Paramètres!$A$1:$I$89,3,0)*0.475*44/12</f>
        <v>7.0694235785392384E-2</v>
      </c>
      <c r="CN45" s="22">
        <f t="shared" si="12"/>
        <v>5.2207163668651333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7.0512820512820493</v>
      </c>
      <c r="N46" s="13">
        <f>IF('Données projet'!$A$36&gt;35,N45+M46-V45,IF(A46&lt;'Données projet'!$A$36,$K$205^A46,IF(A46='Données projet'!$A$36,'Données projet'!$B$36,N45+M46-V45)))</f>
        <v>142.94871794871798</v>
      </c>
      <c r="O46" s="13">
        <f>N46*VLOOKUP('Données projet'!$B$9,Paramètres!$A$1:$I$89,3,0)*VLOOKUP('Données projet'!$B$9,Paramètres!$A$1:$I$89,5,0)</f>
        <v>149.41000000000005</v>
      </c>
      <c r="P46" s="13">
        <f t="shared" si="33"/>
        <v>38.444475265192452</v>
      </c>
      <c r="Q46" s="20">
        <f t="shared" si="53"/>
        <v>327.17987775354362</v>
      </c>
      <c r="R46" s="59">
        <f t="shared" si="0"/>
        <v>620.51321108687694</v>
      </c>
      <c r="S46" s="59">
        <f ca="1">AVERAGE(OFFSET($R$3,0,0,'Données projet'!$E$9+1,1))-AVERAGE(OFFSET($H$3,0,0,'Données projet'!$E$9+1,1))</f>
        <v>241.84492910369795</v>
      </c>
      <c r="T46" s="59">
        <f t="shared" si="34"/>
        <v>338.04336767245667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4.680521417819163</v>
      </c>
      <c r="AA46" s="21">
        <f>EXP(-LN(2)/25)*AA45+(1-EXP(-LN(2)/25))/(LN(2)/25)*Calculateur!V46*Calculateur!X46*VLOOKUP('Données projet'!$B$9,Paramètres!$A$1:$I$89,3,0)*0.475*44/12</f>
        <v>9.6903324273830762</v>
      </c>
      <c r="AB46" s="21">
        <f>EXP(-LN(2)/2)*AB45+(1-EXP(-LN(2)/2))/(LN(2)/2)*V46*Y46*VLOOKUP('Données projet'!$B$9,Paramètres!$A$1:$I$89,3,0)*0.475*44/12</f>
        <v>9.552415228641295E-2</v>
      </c>
      <c r="AC46" s="22">
        <f t="shared" si="3"/>
        <v>14.466377997488651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19</v>
      </c>
      <c r="AI46" s="13">
        <f>IF('Données projet'!$A$62&gt;35,AI45+AH46-AQ45,IF(A46&lt;'Données projet'!$A$62,$AF$205^A46,IF(A46='Données projet'!$A$62,'Données projet'!$B$62,AI45+AH46-AQ45)))</f>
        <v>280.00000000000006</v>
      </c>
      <c r="AJ46" s="13">
        <f>AI46*VLOOKUP('Données projet'!$B$10,Paramètres!$A$1:$I$89,3,0)*VLOOKUP('Données projet'!$B$10,Paramètres!$A$1:$I$89,5,0)</f>
        <v>167.44000000000005</v>
      </c>
      <c r="AK46" s="13">
        <f t="shared" si="35"/>
        <v>42.516163405082935</v>
      </c>
      <c r="AL46" s="20">
        <f t="shared" si="4"/>
        <v>365.67365126385283</v>
      </c>
      <c r="AM46" s="59">
        <f t="shared" si="5"/>
        <v>659.00698459718615</v>
      </c>
      <c r="AN46" s="59">
        <f ca="1">AVERAGE(OFFSET($AM$3,0,0,'Données projet'!$E$10+1,1))-AVERAGE(OFFSET($H$3,0,0,'Données projet'!$E$10+1,1))</f>
        <v>370.12772664814923</v>
      </c>
      <c r="AO46" s="59">
        <f t="shared" si="36"/>
        <v>292.26503163353146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5.7812491439084468</v>
      </c>
      <c r="AV46" s="21">
        <f>EXP(-LN(2)/25)*AV45+(1-EXP(-LN(2)/25))/(LN(2)/25)*Calculateur!AQ46*Calculateur!AS46*VLOOKUP('Données projet'!$B$10,Paramètres!$A$1:$I$89,3,0)*0.475*44/12</f>
        <v>4.6328005585119696</v>
      </c>
      <c r="AW46" s="21">
        <f>EXP(-LN(2)/2)*AW45+(1-EXP(-LN(2)/2))/(LN(2)/2)*AQ46*AT46*VLOOKUP('Données projet'!$B$10,Paramètres!$A$1:$I$89,3,0)*0.475*44/12</f>
        <v>8.7535770282428899E-2</v>
      </c>
      <c r="AX46" s="21">
        <f t="shared" si="6"/>
        <v>10.501585472702846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11.4</v>
      </c>
      <c r="BD46" s="12">
        <f>IF('Données projet'!$A$88&gt;35,BD45+BC46-BL45,IF(A46&lt;'Données projet'!$A$88,$BA$205^A46,IF(A46='Données projet'!$A$88,'Données projet'!$B$88,BD45+BC46-BL45)))</f>
        <v>181.20000000000002</v>
      </c>
      <c r="BE46" s="13">
        <f>BD46*VLOOKUP('Données projet'!$B$11,Paramètres!$A$1:$I$89,3,0)*VLOOKUP('Données projet'!$B$11,Paramètres!$A$1:$I$89,5,0)</f>
        <v>195.04368000000002</v>
      </c>
      <c r="BF46" s="13">
        <f t="shared" si="37"/>
        <v>48.65333290919024</v>
      </c>
      <c r="BG46" s="20">
        <f t="shared" si="7"/>
        <v>424.43896415017304</v>
      </c>
      <c r="BH46" s="59">
        <f t="shared" si="8"/>
        <v>717.77229748350635</v>
      </c>
      <c r="BI46" s="59">
        <f ca="1">AVERAGE(OFFSET($BH$3,0,0,'Données projet'!$E$11+1,1))-AVERAGE(OFFSET($H$3,0,0,'Données projet'!$E$11+1,1))</f>
        <v>475.01366239340246</v>
      </c>
      <c r="BJ46" s="59">
        <f t="shared" si="38"/>
        <v>322.81767004794284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6.7210157340939913</v>
      </c>
      <c r="BQ46" s="21">
        <f>EXP(-LN(2)/25)*BQ45+(1-EXP(-LN(2)/25))/(LN(2)/25)*Calculateur!BL46*Calculateur!BN46*VLOOKUP('Données projet'!$B$11,Paramètres!$A$1:$I$89,3,0)*0.475*44/12</f>
        <v>7.7693097308660981</v>
      </c>
      <c r="BR46" s="21">
        <f>EXP(-LN(2)/2)*BR45+(1-EXP(-LN(2)/2))/(LN(2)/2)*BL46*BO46*VLOOKUP('Données projet'!$B$11,Paramètres!$A$1:$I$89,3,0)*0.475*44/12</f>
        <v>0.11218147144791803</v>
      </c>
      <c r="BS46" s="22">
        <f t="shared" si="9"/>
        <v>14.602506936408009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8.4</v>
      </c>
      <c r="BY46" s="12">
        <f>IF('Données projet'!$A$114&gt;35,BY45+BX46-CG45,IF(A46&lt;'Données projet'!$A$114,$BV$205^A46,IF(A46='Données projet'!$A$114,'Données projet'!$B$114,BY45+BX46-CG45)))</f>
        <v>141.20000000000005</v>
      </c>
      <c r="BZ46" s="13">
        <f>BY46*VLOOKUP('Données projet'!$B$12,Paramètres!$A$1:$I$89,3,0)*VLOOKUP('Données projet'!$B$12,Paramètres!$A$1:$I$89,5,0)</f>
        <v>94.716960000000029</v>
      </c>
      <c r="CA46" s="13">
        <f t="shared" si="39"/>
        <v>25.69943794908513</v>
      </c>
      <c r="CB46" s="20">
        <f t="shared" si="10"/>
        <v>209.72522642799001</v>
      </c>
      <c r="CC46" s="59">
        <f t="shared" si="11"/>
        <v>503.05855976132329</v>
      </c>
      <c r="CD46" s="59">
        <f ca="1">AVERAGE(OFFSET($CC$3,0,0,'Données projet'!$E$12+1,1))-AVERAGE(OFFSET($H$3,0,0,'Données projet'!$E$12+1,1))</f>
        <v>254.8851926268614</v>
      </c>
      <c r="CE46" s="59">
        <f t="shared" si="40"/>
        <v>182.11500693273973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2.3542869805784532</v>
      </c>
      <c r="CL46" s="21">
        <f>EXP(-LN(2)/25)*CL45+(1-EXP(-LN(2)/25))/(LN(2)/25)*Calculateur!CG46*Calculateur!CI46*VLOOKUP('Données projet'!$B$12,Paramètres!$A$1:$I$89,3,0)*0.475*44/12</f>
        <v>2.6734837627758541</v>
      </c>
      <c r="CM46" s="21">
        <f>EXP(-LN(2)/2)*CM45+(1-EXP(-LN(2)/2))/(LN(2)/2)*CG46*CJ46*VLOOKUP('Données projet'!$B$12,Paramètres!$A$1:$I$89,3,0)*0.475*44/12</f>
        <v>4.998837351465165E-2</v>
      </c>
      <c r="CN46" s="22">
        <f t="shared" si="12"/>
        <v>5.0777591168689593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7.0512820512820493</v>
      </c>
      <c r="N47" s="13">
        <f>IF('Données projet'!$A$36&gt;35,N46+M47-V46,IF(A47&lt;'Données projet'!$A$36,$K$205^A47,IF(A47='Données projet'!$A$36,'Données projet'!$B$36,N46+M47-V46)))</f>
        <v>150.00000000000003</v>
      </c>
      <c r="O47" s="13">
        <f>N47*VLOOKUP('Données projet'!$B$9,Paramètres!$A$1:$I$89,3,0)*VLOOKUP('Données projet'!$B$9,Paramètres!$A$1:$I$89,5,0)</f>
        <v>156.78000000000006</v>
      </c>
      <c r="P47" s="13">
        <f t="shared" si="33"/>
        <v>40.115378305457973</v>
      </c>
      <c r="Q47" s="20">
        <f t="shared" si="53"/>
        <v>342.92611721533939</v>
      </c>
      <c r="R47" s="59">
        <f t="shared" si="0"/>
        <v>636.2594505486727</v>
      </c>
      <c r="S47" s="59">
        <f ca="1">AVERAGE(OFFSET($R$3,0,0,'Données projet'!$E$9+1,1))-AVERAGE(OFFSET($H$3,0,0,'Données projet'!$E$9+1,1))</f>
        <v>241.84492910369795</v>
      </c>
      <c r="T47" s="59">
        <f t="shared" si="34"/>
        <v>338.04336767245667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4.588739247651902</v>
      </c>
      <c r="AA47" s="21">
        <f>EXP(-LN(2)/25)*AA46+(1-EXP(-LN(2)/25))/(LN(2)/25)*Calculateur!V47*Calculateur!X47*VLOOKUP('Données projet'!$B$9,Paramètres!$A$1:$I$89,3,0)*0.475*44/12</f>
        <v>9.4253497775638504</v>
      </c>
      <c r="AB47" s="21">
        <f>EXP(-LN(2)/2)*AB46+(1-EXP(-LN(2)/2))/(LN(2)/2)*V47*Y47*VLOOKUP('Données projet'!$B$9,Paramètres!$A$1:$I$89,3,0)*0.475*44/12</f>
        <v>6.7545775848819045E-2</v>
      </c>
      <c r="AC47" s="22">
        <f t="shared" si="3"/>
        <v>14.081634801064572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19</v>
      </c>
      <c r="AI47" s="13">
        <f>IF('Données projet'!$A$62&gt;35,AI46+AH47-AQ46,IF(A47&lt;'Données projet'!$A$62,$AF$205^A47,IF(A47='Données projet'!$A$62,'Données projet'!$B$62,AI46+AH47-AQ46)))</f>
        <v>299.00000000000006</v>
      </c>
      <c r="AJ47" s="13">
        <f>AI47*VLOOKUP('Données projet'!$B$10,Paramètres!$A$1:$I$89,3,0)*VLOOKUP('Données projet'!$B$10,Paramètres!$A$1:$I$89,5,0)</f>
        <v>178.80200000000002</v>
      </c>
      <c r="AK47" s="13">
        <f t="shared" si="35"/>
        <v>45.055549739375941</v>
      </c>
      <c r="AL47" s="20">
        <f t="shared" si="4"/>
        <v>389.88523246274644</v>
      </c>
      <c r="AM47" s="59">
        <f t="shared" si="5"/>
        <v>683.2185657960797</v>
      </c>
      <c r="AN47" s="59">
        <f ca="1">AVERAGE(OFFSET($AM$3,0,0,'Données projet'!$E$10+1,1))-AVERAGE(OFFSET($H$3,0,0,'Données projet'!$E$10+1,1))</f>
        <v>370.12772664814923</v>
      </c>
      <c r="AO47" s="59">
        <f t="shared" si="36"/>
        <v>292.26503163353146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5.6678823744101949</v>
      </c>
      <c r="AV47" s="21">
        <f>EXP(-LN(2)/25)*AV46+(1-EXP(-LN(2)/25))/(LN(2)/25)*Calculateur!AQ47*Calculateur!AS47*VLOOKUP('Données projet'!$B$10,Paramètres!$A$1:$I$89,3,0)*0.475*44/12</f>
        <v>4.5061163836110669</v>
      </c>
      <c r="AW47" s="21">
        <f>EXP(-LN(2)/2)*AW46+(1-EXP(-LN(2)/2))/(LN(2)/2)*AQ47*AT47*VLOOKUP('Données projet'!$B$10,Paramètres!$A$1:$I$89,3,0)*0.475*44/12</f>
        <v>6.1897136763093344E-2</v>
      </c>
      <c r="AX47" s="21">
        <f t="shared" si="6"/>
        <v>10.235895894784356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11.4</v>
      </c>
      <c r="BD47" s="12">
        <f>IF('Données projet'!$A$88&gt;35,BD46+BC47-BL46,IF(A47&lt;'Données projet'!$A$88,$BA$205^A47,IF(A47='Données projet'!$A$88,'Données projet'!$B$88,BD46+BC47-BL46)))</f>
        <v>192.60000000000002</v>
      </c>
      <c r="BE47" s="13">
        <f>BD47*VLOOKUP('Données projet'!$B$11,Paramètres!$A$1:$I$89,3,0)*VLOOKUP('Données projet'!$B$11,Paramètres!$A$1:$I$89,5,0)</f>
        <v>207.31464000000003</v>
      </c>
      <c r="BF47" s="13">
        <f t="shared" si="37"/>
        <v>51.348328156106163</v>
      </c>
      <c r="BG47" s="20">
        <f t="shared" si="7"/>
        <v>450.50466953855158</v>
      </c>
      <c r="BH47" s="59">
        <f t="shared" si="8"/>
        <v>743.8380028718849</v>
      </c>
      <c r="BI47" s="59">
        <f ca="1">AVERAGE(OFFSET($BH$3,0,0,'Données projet'!$E$11+1,1))-AVERAGE(OFFSET($H$3,0,0,'Données projet'!$E$11+1,1))</f>
        <v>475.01366239340246</v>
      </c>
      <c r="BJ47" s="59">
        <f t="shared" si="38"/>
        <v>322.81767004794284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6.589220714963222</v>
      </c>
      <c r="BQ47" s="21">
        <f>EXP(-LN(2)/25)*BQ46+(1-EXP(-LN(2)/25))/(LN(2)/25)*Calculateur!BL47*Calculateur!BN47*VLOOKUP('Données projet'!$B$11,Paramètres!$A$1:$I$89,3,0)*0.475*44/12</f>
        <v>7.5568575477053228</v>
      </c>
      <c r="BR47" s="21">
        <f>EXP(-LN(2)/2)*BR46+(1-EXP(-LN(2)/2))/(LN(2)/2)*BL47*BO47*VLOOKUP('Données projet'!$B$11,Paramètres!$A$1:$I$89,3,0)*0.475*44/12</f>
        <v>7.93242791843079E-2</v>
      </c>
      <c r="BS47" s="22">
        <f t="shared" si="9"/>
        <v>14.225402541852853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8.4</v>
      </c>
      <c r="BY47" s="12">
        <f>IF('Données projet'!$A$114&gt;35,BY46+BX47-CG46,IF(A47&lt;'Données projet'!$A$114,$BV$205^A47,IF(A47='Données projet'!$A$114,'Données projet'!$B$114,BY46+BX47-CG46)))</f>
        <v>149.60000000000005</v>
      </c>
      <c r="BZ47" s="13">
        <f>BY47*VLOOKUP('Données projet'!$B$12,Paramètres!$A$1:$I$89,3,0)*VLOOKUP('Données projet'!$B$12,Paramètres!$A$1:$I$89,5,0)</f>
        <v>100.35168000000003</v>
      </c>
      <c r="CA47" s="13">
        <f t="shared" si="39"/>
        <v>27.045763332704858</v>
      </c>
      <c r="CB47" s="20">
        <f t="shared" si="10"/>
        <v>221.88388047112767</v>
      </c>
      <c r="CC47" s="59">
        <f t="shared" si="11"/>
        <v>515.21721380446093</v>
      </c>
      <c r="CD47" s="59">
        <f ca="1">AVERAGE(OFFSET($CC$3,0,0,'Données projet'!$E$12+1,1))-AVERAGE(OFFSET($H$3,0,0,'Données projet'!$E$12+1,1))</f>
        <v>254.8851926268614</v>
      </c>
      <c r="CE47" s="59">
        <f t="shared" si="40"/>
        <v>182.11500693273973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2.3081208488625773</v>
      </c>
      <c r="CL47" s="21">
        <f>EXP(-LN(2)/25)*CL46+(1-EXP(-LN(2)/25))/(LN(2)/25)*Calculateur!CG47*Calculateur!CI47*VLOOKUP('Données projet'!$B$12,Paramètres!$A$1:$I$89,3,0)*0.475*44/12</f>
        <v>2.6003772086903476</v>
      </c>
      <c r="CM47" s="21">
        <f>EXP(-LN(2)/2)*CM46+(1-EXP(-LN(2)/2))/(LN(2)/2)*CG47*CJ47*VLOOKUP('Données projet'!$B$12,Paramètres!$A$1:$I$89,3,0)*0.475*44/12</f>
        <v>3.5347117892696192E-2</v>
      </c>
      <c r="CN47" s="22">
        <f t="shared" si="12"/>
        <v>4.9438451754456212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157.05128205128204</v>
      </c>
      <c r="L48" s="12">
        <f>VLOOKUP(A48,'Données projet'!$A$35:$I$55,9,0)</f>
        <v>7.0512820512820493</v>
      </c>
      <c r="M48" s="12">
        <f t="array" ref="M48">INDEX(L:L,MIN(IF(ISNUMBER(L48:L244),ROW(L48:L244),"")))</f>
        <v>7.0512820512820493</v>
      </c>
      <c r="N48" s="13">
        <f>IF('Données projet'!$A$36&gt;35,N47+M48-V47,IF(A48&lt;'Données projet'!$A$36,$K$205^A48,IF(A48='Données projet'!$A$36,'Données projet'!$B$36,N47+M48-V47)))</f>
        <v>157.05128205128207</v>
      </c>
      <c r="O48" s="13">
        <f>N48*VLOOKUP('Données projet'!$B$9,Paramètres!$A$1:$I$89,3,0)*VLOOKUP('Données projet'!$B$9,Paramètres!$A$1:$I$89,5,0)</f>
        <v>164.15000000000003</v>
      </c>
      <c r="P48" s="13">
        <f t="shared" si="33"/>
        <v>41.777159928218509</v>
      </c>
      <c r="Q48" s="20">
        <f t="shared" si="53"/>
        <v>358.65647020831398</v>
      </c>
      <c r="R48" s="59">
        <f t="shared" si="0"/>
        <v>651.98980354164723</v>
      </c>
      <c r="S48" s="59">
        <f ca="1">AVERAGE(OFFSET($R$3,0,0,'Données projet'!$E$9+1,1))-AVERAGE(OFFSET($H$3,0,0,'Données projet'!$E$9+1,1))</f>
        <v>241.84492910369795</v>
      </c>
      <c r="T48" s="59">
        <f t="shared" si="34"/>
        <v>338.04336767245667</v>
      </c>
      <c r="U48" s="15">
        <f>IF(ISNA(VLOOKUP(A48,'Données projet'!$A$35:$I$55,3,0)),0,VLOOKUP(A48,'Données projet'!$A$35:$I$55,3,0))</f>
        <v>7</v>
      </c>
      <c r="V48" s="15">
        <f>IF(ISNA(VLOOKUP(A48,'Données projet'!$A$35:$I$55,4,0)),0,VLOOKUP(A48,'Données projet'!$A$35:$I$55,4,0))</f>
        <v>26.282051282051281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4.4987568698600251</v>
      </c>
      <c r="AA48" s="21">
        <f>EXP(-LN(2)/25)*AA47+(1-EXP(-LN(2)/25))/(LN(2)/25)*Calculateur!V48*Calculateur!X48*VLOOKUP('Données projet'!$B$9,Paramètres!$A$1:$I$89,3,0)*0.475*44/12</f>
        <v>9.1676130922387635</v>
      </c>
      <c r="AB48" s="21">
        <f>EXP(-LN(2)/2)*AB47+(1-EXP(-LN(2)/2))/(LN(2)/2)*V48*Y48*VLOOKUP('Données projet'!$B$9,Paramètres!$A$1:$I$89,3,0)*0.475*44/12</f>
        <v>4.7762076143206475E-2</v>
      </c>
      <c r="AC48" s="22">
        <f t="shared" si="3"/>
        <v>13.714132038241994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318</v>
      </c>
      <c r="AG48" s="12">
        <f>VLOOKUP(A48,'Données projet'!$A$61:$I$81,9,0)</f>
        <v>19</v>
      </c>
      <c r="AH48" s="12">
        <f t="array" ref="AH48">INDEX(AG:AG,MIN(IF(ISNUMBER(AG48:AG244),ROW(AG48:AG244),"")))</f>
        <v>19</v>
      </c>
      <c r="AI48" s="13">
        <f>IF('Données projet'!$A$62&gt;35,AI47+AH48-AQ47,IF(A48&lt;'Données projet'!$A$62,$AF$205^A48,IF(A48='Données projet'!$A$62,'Données projet'!$B$62,AI47+AH48-AQ47)))</f>
        <v>318.00000000000006</v>
      </c>
      <c r="AJ48" s="13">
        <f>AI48*VLOOKUP('Données projet'!$B$10,Paramètres!$A$1:$I$89,3,0)*VLOOKUP('Données projet'!$B$10,Paramètres!$A$1:$I$89,5,0)</f>
        <v>190.16400000000004</v>
      </c>
      <c r="AK48" s="13">
        <f t="shared" si="35"/>
        <v>47.576209101852911</v>
      </c>
      <c r="AL48" s="20">
        <f t="shared" si="4"/>
        <v>414.06419751906054</v>
      </c>
      <c r="AM48" s="59">
        <f t="shared" si="5"/>
        <v>707.39753085239386</v>
      </c>
      <c r="AN48" s="59">
        <f ca="1">AVERAGE(OFFSET($AM$3,0,0,'Données projet'!$E$10+1,1))-AVERAGE(OFFSET($H$3,0,0,'Données projet'!$E$10+1,1))</f>
        <v>370.12772664814923</v>
      </c>
      <c r="AO48" s="59">
        <f t="shared" si="36"/>
        <v>292.26503163353146</v>
      </c>
      <c r="AP48" s="15">
        <f>IF(ISNA(VLOOKUP(A48,'Données projet'!$A$61:$I$81,3,0)),0,VLOOKUP(A48,'Données projet'!$A$61:$I$81,3,0))</f>
        <v>6</v>
      </c>
      <c r="AQ48" s="15">
        <f>IF(ISNA(VLOOKUP(A48,'Données projet'!$A$61:$I$81,4,0)),0,VLOOKUP(A48,'Données projet'!$A$61:$I$81,4,0))</f>
        <v>53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5.5567386581149023</v>
      </c>
      <c r="AV48" s="21">
        <f>EXP(-LN(2)/25)*AV47+(1-EXP(-LN(2)/25))/(LN(2)/25)*Calculateur!AQ48*Calculateur!AS48*VLOOKUP('Données projet'!$B$10,Paramètres!$A$1:$I$89,3,0)*0.475*44/12</f>
        <v>4.3828963941348604</v>
      </c>
      <c r="AW48" s="21">
        <f>EXP(-LN(2)/2)*AW47+(1-EXP(-LN(2)/2))/(LN(2)/2)*AQ48*AT48*VLOOKUP('Données projet'!$B$10,Paramètres!$A$1:$I$89,3,0)*0.475*44/12</f>
        <v>4.3767885141214456E-2</v>
      </c>
      <c r="AX48" s="21">
        <f t="shared" si="6"/>
        <v>9.9834029373909772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204</v>
      </c>
      <c r="BB48" s="12">
        <f>VLOOKUP(A48,'Données projet'!$A$87:$I$107,9,0)</f>
        <v>11.4</v>
      </c>
      <c r="BC48" s="12">
        <f t="array" ref="BC48">INDEX(BB:BB,MIN(IF(ISNUMBER(BB48:BB244),ROW(BB48:BB244),"")))</f>
        <v>11.4</v>
      </c>
      <c r="BD48" s="12">
        <f>IF('Données projet'!$A$88&gt;35,BD47+BC48-BL47,IF(A48&lt;'Données projet'!$A$88,$BA$205^A48,IF(A48='Données projet'!$A$88,'Données projet'!$B$88,BD47+BC48-BL47)))</f>
        <v>204.00000000000003</v>
      </c>
      <c r="BE48" s="13">
        <f>BD48*VLOOKUP('Données projet'!$B$11,Paramètres!$A$1:$I$89,3,0)*VLOOKUP('Données projet'!$B$11,Paramètres!$A$1:$I$89,5,0)</f>
        <v>219.58560000000003</v>
      </c>
      <c r="BF48" s="13">
        <f t="shared" si="37"/>
        <v>54.024808047218549</v>
      </c>
      <c r="BG48" s="20">
        <f t="shared" si="7"/>
        <v>476.53812734890562</v>
      </c>
      <c r="BH48" s="59">
        <f t="shared" si="8"/>
        <v>769.87146068223888</v>
      </c>
      <c r="BI48" s="59">
        <f ca="1">AVERAGE(OFFSET($BH$3,0,0,'Données projet'!$E$11+1,1))-AVERAGE(OFFSET($H$3,0,0,'Données projet'!$E$11+1,1))</f>
        <v>475.01366239340246</v>
      </c>
      <c r="BJ48" s="59">
        <f t="shared" si="38"/>
        <v>322.81767004794284</v>
      </c>
      <c r="BK48" s="15">
        <f>IF(ISNA(VLOOKUP(A48,'Données projet'!$A$87:$I$107,3,0)),0,VLOOKUP(A48,'Données projet'!$A$87:$I$107,3,0))</f>
        <v>6</v>
      </c>
      <c r="BL48" s="15">
        <f>IF(ISNA(VLOOKUP(A48,'Données projet'!$A$87:$I$107,4,0)),0,VLOOKUP(A48,'Données projet'!$A$87:$I$107,4,0))</f>
        <v>28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6.4600101157705829</v>
      </c>
      <c r="BQ48" s="21">
        <f>EXP(-LN(2)/25)*BQ47+(1-EXP(-LN(2)/25))/(LN(2)/25)*Calculateur!BL48*Calculateur!BN48*VLOOKUP('Données projet'!$B$11,Paramètres!$A$1:$I$89,3,0)*0.475*44/12</f>
        <v>7.3502148806654537</v>
      </c>
      <c r="BR48" s="21">
        <f>EXP(-LN(2)/2)*BR47+(1-EXP(-LN(2)/2))/(LN(2)/2)*BL48*BO48*VLOOKUP('Données projet'!$B$11,Paramètres!$A$1:$I$89,3,0)*0.475*44/12</f>
        <v>5.6090735723959013E-2</v>
      </c>
      <c r="BS48" s="22">
        <f t="shared" si="9"/>
        <v>13.866315732159997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158</v>
      </c>
      <c r="BW48" s="12">
        <f>VLOOKUP(A48,'Données projet'!$A$113:$I$133,9,0)</f>
        <v>8.4</v>
      </c>
      <c r="BX48" s="12">
        <f t="array" ref="BX48">INDEX(BW:BW,MIN(IF(ISNUMBER(BW48:BW244),ROW(BW48:BW244),"")))</f>
        <v>8.4</v>
      </c>
      <c r="BY48" s="12">
        <f>IF('Données projet'!$A$114&gt;35,BY47+BX48-CG47,IF(A48&lt;'Données projet'!$A$114,$BV$205^A48,IF(A48='Données projet'!$A$114,'Données projet'!$B$114,BY47+BX48-CG47)))</f>
        <v>158.00000000000006</v>
      </c>
      <c r="BZ48" s="13">
        <f>BY48*VLOOKUP('Données projet'!$B$12,Paramètres!$A$1:$I$89,3,0)*VLOOKUP('Données projet'!$B$12,Paramètres!$A$1:$I$89,5,0)</f>
        <v>105.98640000000005</v>
      </c>
      <c r="CA48" s="13">
        <f t="shared" si="39"/>
        <v>28.383313189586875</v>
      </c>
      <c r="CB48" s="20">
        <f t="shared" si="10"/>
        <v>234.02725047186388</v>
      </c>
      <c r="CC48" s="59">
        <f t="shared" si="11"/>
        <v>527.36058380519717</v>
      </c>
      <c r="CD48" s="59">
        <f ca="1">AVERAGE(OFFSET($CC$3,0,0,'Données projet'!$E$12+1,1))-AVERAGE(OFFSET($H$3,0,0,'Données projet'!$E$12+1,1))</f>
        <v>254.8851926268614</v>
      </c>
      <c r="CE48" s="59">
        <f t="shared" si="40"/>
        <v>182.11500693273973</v>
      </c>
      <c r="CF48" s="15">
        <f>IF(ISNA(VLOOKUP(A48,'Données projet'!$A$113:$I$133,3,0)),0,VLOOKUP(A48,'Données projet'!$A$113:$I$133,3,0))</f>
        <v>5</v>
      </c>
      <c r="CG48" s="15">
        <f>IF(ISNA(VLOOKUP(A48,'Données projet'!$A$113:$I$133,4,0)),0,VLOOKUP(A48,'Données projet'!$A$113:$I$133,4,0))</f>
        <v>21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2.2628600068310898</v>
      </c>
      <c r="CL48" s="21">
        <f>EXP(-LN(2)/25)*CL47+(1-EXP(-LN(2)/25))/(LN(2)/25)*Calculateur!CG48*Calculateur!CI48*VLOOKUP('Données projet'!$B$12,Paramètres!$A$1:$I$89,3,0)*0.475*44/12</f>
        <v>2.529269757170816</v>
      </c>
      <c r="CM48" s="21">
        <f>EXP(-LN(2)/2)*CM47+(1-EXP(-LN(2)/2))/(LN(2)/2)*CG48*CJ48*VLOOKUP('Données projet'!$B$12,Paramètres!$A$1:$I$89,3,0)*0.475*44/12</f>
        <v>2.4994186757325825E-2</v>
      </c>
      <c r="CN48" s="22">
        <f t="shared" si="12"/>
        <v>4.8171239507592318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6.1538461538461489</v>
      </c>
      <c r="N49" s="13">
        <f>IF('Données projet'!$A$36&gt;35,N48+M49-V48,IF(A49&lt;'Données projet'!$A$36,$K$205^A49,IF(A49='Données projet'!$A$36,'Données projet'!$B$36,N48+M49-V48)))</f>
        <v>136.92307692307696</v>
      </c>
      <c r="O49" s="13">
        <f>N49*VLOOKUP('Données projet'!$B$9,Paramètres!$A$1:$I$89,3,0)*VLOOKUP('Données projet'!$B$9,Paramètres!$A$1:$I$89,5,0)</f>
        <v>143.11200000000005</v>
      </c>
      <c r="P49" s="13">
        <f t="shared" si="33"/>
        <v>37.009006234809753</v>
      </c>
      <c r="Q49" s="20">
        <f t="shared" si="53"/>
        <v>313.71075252562707</v>
      </c>
      <c r="R49" s="59">
        <f t="shared" si="0"/>
        <v>607.04408585896044</v>
      </c>
      <c r="S49" s="59">
        <f ca="1">AVERAGE(OFFSET($R$3,0,0,'Données projet'!$E$9+1,1))-AVERAGE(OFFSET($H$3,0,0,'Données projet'!$E$9+1,1))</f>
        <v>241.84492910369795</v>
      </c>
      <c r="T49" s="59">
        <f t="shared" si="34"/>
        <v>338.04336767245667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4.4105389916128157</v>
      </c>
      <c r="AA49" s="21">
        <f>EXP(-LN(2)/25)*AA48+(1-EXP(-LN(2)/25))/(LN(2)/25)*Calculateur!V49*Calculateur!X49*VLOOKUP('Données projet'!$B$9,Paramètres!$A$1:$I$89,3,0)*0.475*44/12</f>
        <v>8.916924230127675</v>
      </c>
      <c r="AB49" s="21">
        <f>EXP(-LN(2)/2)*AB48+(1-EXP(-LN(2)/2))/(LN(2)/2)*V49*Y49*VLOOKUP('Données projet'!$B$9,Paramètres!$A$1:$I$89,3,0)*0.475*44/12</f>
        <v>3.3772887924409523E-2</v>
      </c>
      <c r="AC49" s="22">
        <f t="shared" si="3"/>
        <v>13.361236109664901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17.399999999999999</v>
      </c>
      <c r="AI49" s="13">
        <f>IF('Données projet'!$A$62&gt;35,AI48+AH49-AQ48,IF(A49&lt;'Données projet'!$A$62,$AF$205^A49,IF(A49='Données projet'!$A$62,'Données projet'!$B$62,AI48+AH49-AQ48)))</f>
        <v>282.40000000000003</v>
      </c>
      <c r="AJ49" s="13">
        <f>AI49*VLOOKUP('Données projet'!$B$10,Paramètres!$A$1:$I$89,3,0)*VLOOKUP('Données projet'!$B$10,Paramètres!$A$1:$I$89,5,0)</f>
        <v>168.87520000000004</v>
      </c>
      <c r="AK49" s="13">
        <f t="shared" si="35"/>
        <v>42.838008554673955</v>
      </c>
      <c r="AL49" s="20">
        <f t="shared" si="4"/>
        <v>368.73383823272388</v>
      </c>
      <c r="AM49" s="59">
        <f t="shared" si="5"/>
        <v>662.06717156605714</v>
      </c>
      <c r="AN49" s="59">
        <f ca="1">AVERAGE(OFFSET($AM$3,0,0,'Données projet'!$E$10+1,1))-AVERAGE(OFFSET($H$3,0,0,'Données projet'!$E$10+1,1))</f>
        <v>370.12772664814923</v>
      </c>
      <c r="AO49" s="59">
        <f t="shared" si="36"/>
        <v>292.26503163353146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5.4477744023051873</v>
      </c>
      <c r="AV49" s="21">
        <f>EXP(-LN(2)/25)*AV48+(1-EXP(-LN(2)/25))/(LN(2)/25)*Calculateur!AQ49*Calculateur!AS49*VLOOKUP('Données projet'!$B$10,Paramètres!$A$1:$I$89,3,0)*0.475*44/12</f>
        <v>4.2630458617507383</v>
      </c>
      <c r="AW49" s="21">
        <f>EXP(-LN(2)/2)*AW48+(1-EXP(-LN(2)/2))/(LN(2)/2)*AQ49*AT49*VLOOKUP('Données projet'!$B$10,Paramètres!$A$1:$I$89,3,0)*0.475*44/12</f>
        <v>3.0948568381546679E-2</v>
      </c>
      <c r="AX49" s="21">
        <f t="shared" si="6"/>
        <v>9.7417688324374723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11</v>
      </c>
      <c r="BD49" s="12">
        <f>IF('Données projet'!$A$88&gt;35,BD48+BC49-BL48,IF(A49&lt;'Données projet'!$A$88,$BA$205^A49,IF(A49='Données projet'!$A$88,'Données projet'!$B$88,BD48+BC49-BL48)))</f>
        <v>187.00000000000003</v>
      </c>
      <c r="BE49" s="13">
        <f>BD49*VLOOKUP('Données projet'!$B$11,Paramètres!$A$1:$I$89,3,0)*VLOOKUP('Données projet'!$B$11,Paramètres!$A$1:$I$89,5,0)</f>
        <v>201.2868</v>
      </c>
      <c r="BF49" s="13">
        <f t="shared" si="37"/>
        <v>50.026861773677616</v>
      </c>
      <c r="BG49" s="20">
        <f t="shared" si="7"/>
        <v>437.70462758915511</v>
      </c>
      <c r="BH49" s="59">
        <f t="shared" si="8"/>
        <v>731.03796092248842</v>
      </c>
      <c r="BI49" s="59">
        <f ca="1">AVERAGE(OFFSET($BH$3,0,0,'Données projet'!$E$11+1,1))-AVERAGE(OFFSET($H$3,0,0,'Données projet'!$E$11+1,1))</f>
        <v>475.01366239340246</v>
      </c>
      <c r="BJ49" s="59">
        <f t="shared" si="38"/>
        <v>322.81767004794284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6.3333332576174284</v>
      </c>
      <c r="BQ49" s="21">
        <f>EXP(-LN(2)/25)*BQ48+(1-EXP(-LN(2)/25))/(LN(2)/25)*Calculateur!BL49*Calculateur!BN49*VLOOKUP('Données projet'!$B$11,Paramètres!$A$1:$I$89,3,0)*0.475*44/12</f>
        <v>7.1492228682226555</v>
      </c>
      <c r="BR49" s="21">
        <f>EXP(-LN(2)/2)*BR48+(1-EXP(-LN(2)/2))/(LN(2)/2)*BL49*BO49*VLOOKUP('Données projet'!$B$11,Paramètres!$A$1:$I$89,3,0)*0.475*44/12</f>
        <v>3.966213959215395E-2</v>
      </c>
      <c r="BS49" s="22">
        <f t="shared" si="9"/>
        <v>13.522218265432238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8.1999999999999993</v>
      </c>
      <c r="BY49" s="12">
        <f>IF('Données projet'!$A$114&gt;35,BY48+BX49-CG48,IF(A49&lt;'Données projet'!$A$114,$BV$205^A49,IF(A49='Données projet'!$A$114,'Données projet'!$B$114,BY48+BX49-CG48)))</f>
        <v>145.20000000000005</v>
      </c>
      <c r="BZ49" s="13">
        <f>BY49*VLOOKUP('Données projet'!$B$12,Paramètres!$A$1:$I$89,3,0)*VLOOKUP('Données projet'!$B$12,Paramètres!$A$1:$I$89,5,0)</f>
        <v>97.400160000000042</v>
      </c>
      <c r="CA49" s="13">
        <f t="shared" si="39"/>
        <v>26.34167514323763</v>
      </c>
      <c r="CB49" s="20">
        <f t="shared" si="10"/>
        <v>215.5170295411389</v>
      </c>
      <c r="CC49" s="59">
        <f t="shared" si="11"/>
        <v>508.85036287447224</v>
      </c>
      <c r="CD49" s="59">
        <f ca="1">AVERAGE(OFFSET($CC$3,0,0,'Données projet'!$E$12+1,1))-AVERAGE(OFFSET($H$3,0,0,'Données projet'!$E$12+1,1))</f>
        <v>254.8851926268614</v>
      </c>
      <c r="CE49" s="59">
        <f t="shared" si="40"/>
        <v>182.11500693273973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2.218486702305452</v>
      </c>
      <c r="CL49" s="21">
        <f>EXP(-LN(2)/25)*CL48+(1-EXP(-LN(2)/25))/(LN(2)/25)*Calculateur!CG49*Calculateur!CI49*VLOOKUP('Données projet'!$B$12,Paramètres!$A$1:$I$89,3,0)*0.475*44/12</f>
        <v>2.4601067426524641</v>
      </c>
      <c r="CM49" s="21">
        <f>EXP(-LN(2)/2)*CM48+(1-EXP(-LN(2)/2))/(LN(2)/2)*CG49*CJ49*VLOOKUP('Données projet'!$B$12,Paramètres!$A$1:$I$89,3,0)*0.475*44/12</f>
        <v>1.7673558946348096E-2</v>
      </c>
      <c r="CN49" s="22">
        <f t="shared" si="12"/>
        <v>4.6962670039042642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6.1538461538461489</v>
      </c>
      <c r="N50" s="13">
        <f>IF('Données projet'!$A$36&gt;35,N49+M50-V49,IF(A50&lt;'Données projet'!$A$36,$K$205^A50,IF(A50='Données projet'!$A$36,'Données projet'!$B$36,N49+M50-V49)))</f>
        <v>143.07692307692312</v>
      </c>
      <c r="O50" s="13">
        <f>N50*VLOOKUP('Données projet'!$B$9,Paramètres!$A$1:$I$89,3,0)*VLOOKUP('Données projet'!$B$9,Paramètres!$A$1:$I$89,5,0)</f>
        <v>149.54400000000007</v>
      </c>
      <c r="P50" s="13">
        <f t="shared" si="33"/>
        <v>38.474939629154214</v>
      </c>
      <c r="Q50" s="20">
        <f t="shared" si="53"/>
        <v>327.46631985411034</v>
      </c>
      <c r="R50" s="59">
        <f t="shared" si="0"/>
        <v>620.79965318744371</v>
      </c>
      <c r="S50" s="59">
        <f ca="1">AVERAGE(OFFSET($R$3,0,0,'Données projet'!$E$9+1,1))-AVERAGE(OFFSET($H$3,0,0,'Données projet'!$E$9+1,1))</f>
        <v>241.84492910369795</v>
      </c>
      <c r="T50" s="59">
        <f t="shared" si="34"/>
        <v>338.04336767245667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4.3240510121504414</v>
      </c>
      <c r="AA50" s="21">
        <f>EXP(-LN(2)/25)*AA49+(1-EXP(-LN(2)/25))/(LN(2)/25)*Calculateur!V50*Calculateur!X50*VLOOKUP('Données projet'!$B$9,Paramètres!$A$1:$I$89,3,0)*0.475*44/12</f>
        <v>8.6730904681341681</v>
      </c>
      <c r="AB50" s="21">
        <f>EXP(-LN(2)/2)*AB49+(1-EXP(-LN(2)/2))/(LN(2)/2)*V50*Y50*VLOOKUP('Données projet'!$B$9,Paramètres!$A$1:$I$89,3,0)*0.475*44/12</f>
        <v>2.3881038071603237E-2</v>
      </c>
      <c r="AC50" s="22">
        <f t="shared" si="3"/>
        <v>13.021022518356213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17.399999999999999</v>
      </c>
      <c r="AI50" s="13">
        <f>IF('Données projet'!$A$62&gt;35,AI49+AH50-AQ49,IF(A50&lt;'Données projet'!$A$62,$AF$205^A50,IF(A50='Données projet'!$A$62,'Données projet'!$B$62,AI49+AH50-AQ49)))</f>
        <v>299.8</v>
      </c>
      <c r="AJ50" s="13">
        <f>AI50*VLOOKUP('Données projet'!$B$10,Paramètres!$A$1:$I$89,3,0)*VLOOKUP('Données projet'!$B$10,Paramètres!$A$1:$I$89,5,0)</f>
        <v>179.28040000000001</v>
      </c>
      <c r="AK50" s="13">
        <f t="shared" si="35"/>
        <v>45.162051118824294</v>
      </c>
      <c r="AL50" s="20">
        <f t="shared" si="4"/>
        <v>390.90393569861902</v>
      </c>
      <c r="AM50" s="59">
        <f t="shared" si="5"/>
        <v>684.23726903195234</v>
      </c>
      <c r="AN50" s="59">
        <f ca="1">AVERAGE(OFFSET($AM$3,0,0,'Données projet'!$E$10+1,1))-AVERAGE(OFFSET($H$3,0,0,'Données projet'!$E$10+1,1))</f>
        <v>370.12772664814923</v>
      </c>
      <c r="AO50" s="59">
        <f t="shared" si="36"/>
        <v>292.26503163353146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5.3409468690902671</v>
      </c>
      <c r="AV50" s="21">
        <f>EXP(-LN(2)/25)*AV49+(1-EXP(-LN(2)/25))/(LN(2)/25)*Calculateur!AQ50*Calculateur!AS50*VLOOKUP('Données projet'!$B$10,Paramètres!$A$1:$I$89,3,0)*0.475*44/12</f>
        <v>4.1464726484773262</v>
      </c>
      <c r="AW50" s="21">
        <f>EXP(-LN(2)/2)*AW49+(1-EXP(-LN(2)/2))/(LN(2)/2)*AQ50*AT50*VLOOKUP('Données projet'!$B$10,Paramètres!$A$1:$I$89,3,0)*0.475*44/12</f>
        <v>2.1883942570607232E-2</v>
      </c>
      <c r="AX50" s="21">
        <f t="shared" si="6"/>
        <v>9.5093034601382005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11</v>
      </c>
      <c r="BD50" s="12">
        <f>IF('Données projet'!$A$88&gt;35,BD49+BC50-BL49,IF(A50&lt;'Données projet'!$A$88,$BA$205^A50,IF(A50='Données projet'!$A$88,'Données projet'!$B$88,BD49+BC50-BL49)))</f>
        <v>198.00000000000003</v>
      </c>
      <c r="BE50" s="13">
        <f>BD50*VLOOKUP('Données projet'!$B$11,Paramètres!$A$1:$I$89,3,0)*VLOOKUP('Données projet'!$B$11,Paramètres!$A$1:$I$89,5,0)</f>
        <v>213.12720000000002</v>
      </c>
      <c r="BF50" s="13">
        <f t="shared" si="37"/>
        <v>52.618368568459893</v>
      </c>
      <c r="BG50" s="20">
        <f t="shared" si="7"/>
        <v>462.8401985900677</v>
      </c>
      <c r="BH50" s="59">
        <f t="shared" si="8"/>
        <v>756.17353192340101</v>
      </c>
      <c r="BI50" s="59">
        <f ca="1">AVERAGE(OFFSET($BH$3,0,0,'Données projet'!$E$11+1,1))-AVERAGE(OFFSET($H$3,0,0,'Données projet'!$E$11+1,1))</f>
        <v>475.01366239340246</v>
      </c>
      <c r="BJ50" s="59">
        <f t="shared" si="38"/>
        <v>322.81767004794284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6.209140455387403</v>
      </c>
      <c r="BQ50" s="21">
        <f>EXP(-LN(2)/25)*BQ49+(1-EXP(-LN(2)/25))/(LN(2)/25)*Calculateur!BL50*Calculateur!BN50*VLOOKUP('Données projet'!$B$11,Paramètres!$A$1:$I$89,3,0)*0.475*44/12</f>
        <v>6.9537269929298162</v>
      </c>
      <c r="BR50" s="21">
        <f>EXP(-LN(2)/2)*BR49+(1-EXP(-LN(2)/2))/(LN(2)/2)*BL50*BO50*VLOOKUP('Données projet'!$B$11,Paramètres!$A$1:$I$89,3,0)*0.475*44/12</f>
        <v>2.8045367861979507E-2</v>
      </c>
      <c r="BS50" s="22">
        <f t="shared" si="9"/>
        <v>13.190912816179198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8.1999999999999993</v>
      </c>
      <c r="BY50" s="12">
        <f>IF('Données projet'!$A$114&gt;35,BY49+BX50-CG49,IF(A50&lt;'Données projet'!$A$114,$BV$205^A50,IF(A50='Données projet'!$A$114,'Données projet'!$B$114,BY49+BX50-CG49)))</f>
        <v>153.40000000000003</v>
      </c>
      <c r="BZ50" s="13">
        <f>BY50*VLOOKUP('Données projet'!$B$12,Paramètres!$A$1:$I$89,3,0)*VLOOKUP('Données projet'!$B$12,Paramètres!$A$1:$I$89,5,0)</f>
        <v>102.90072000000004</v>
      </c>
      <c r="CA50" s="13">
        <f t="shared" si="39"/>
        <v>27.65189983724564</v>
      </c>
      <c r="CB50" s="20">
        <f t="shared" si="10"/>
        <v>227.37914621653621</v>
      </c>
      <c r="CC50" s="59">
        <f t="shared" si="11"/>
        <v>520.7124795498695</v>
      </c>
      <c r="CD50" s="59">
        <f ca="1">AVERAGE(OFFSET($CC$3,0,0,'Données projet'!$E$12+1,1))-AVERAGE(OFFSET($H$3,0,0,'Données projet'!$E$12+1,1))</f>
        <v>254.8851926268614</v>
      </c>
      <c r="CE50" s="59">
        <f t="shared" si="40"/>
        <v>182.11500693273973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2.1749835312165189</v>
      </c>
      <c r="CL50" s="21">
        <f>EXP(-LN(2)/25)*CL49+(1-EXP(-LN(2)/25))/(LN(2)/25)*Calculateur!CG50*Calculateur!CI50*VLOOKUP('Données projet'!$B$12,Paramètres!$A$1:$I$89,3,0)*0.475*44/12</f>
        <v>2.3928349944032417</v>
      </c>
      <c r="CM50" s="21">
        <f>EXP(-LN(2)/2)*CM49+(1-EXP(-LN(2)/2))/(LN(2)/2)*CG50*CJ50*VLOOKUP('Données projet'!$B$12,Paramètres!$A$1:$I$89,3,0)*0.475*44/12</f>
        <v>1.2497093378662913E-2</v>
      </c>
      <c r="CN50" s="22">
        <f t="shared" si="12"/>
        <v>4.5803156189984229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6.1538461538461489</v>
      </c>
      <c r="N51" s="13">
        <f>IF('Données projet'!$A$36&gt;35,N50+M51-V50,IF(A51&lt;'Données projet'!$A$36,$K$205^A51,IF(A51='Données projet'!$A$36,'Données projet'!$B$36,N50+M51-V50)))</f>
        <v>149.23076923076928</v>
      </c>
      <c r="O51" s="13">
        <f>N51*VLOOKUP('Données projet'!$B$9,Paramètres!$A$1:$I$89,3,0)*VLOOKUP('Données projet'!$B$9,Paramètres!$A$1:$I$89,5,0)</f>
        <v>155.97600000000006</v>
      </c>
      <c r="P51" s="13">
        <f t="shared" si="33"/>
        <v>39.933549855370245</v>
      </c>
      <c r="Q51" s="20">
        <f t="shared" si="53"/>
        <v>341.20913266476992</v>
      </c>
      <c r="R51" s="59">
        <f t="shared" si="0"/>
        <v>634.54246599810324</v>
      </c>
      <c r="S51" s="59">
        <f ca="1">AVERAGE(OFFSET($R$3,0,0,'Données projet'!$E$9+1,1))-AVERAGE(OFFSET($H$3,0,0,'Données projet'!$E$9+1,1))</f>
        <v>241.84492910369795</v>
      </c>
      <c r="T51" s="59">
        <f t="shared" si="34"/>
        <v>338.04336767245667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4.2392590092128657</v>
      </c>
      <c r="AA51" s="21">
        <f>EXP(-LN(2)/25)*AA50+(1-EXP(-LN(2)/25))/(LN(2)/25)*Calculateur!V51*Calculateur!X51*VLOOKUP('Données projet'!$B$9,Paramètres!$A$1:$I$89,3,0)*0.475*44/12</f>
        <v>8.435924353185035</v>
      </c>
      <c r="AB51" s="21">
        <f>EXP(-LN(2)/2)*AB50+(1-EXP(-LN(2)/2))/(LN(2)/2)*V51*Y51*VLOOKUP('Données projet'!$B$9,Paramètres!$A$1:$I$89,3,0)*0.475*44/12</f>
        <v>1.6886443962204761E-2</v>
      </c>
      <c r="AC51" s="22">
        <f t="shared" si="3"/>
        <v>12.692069806360106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17.399999999999999</v>
      </c>
      <c r="AI51" s="13">
        <f>IF('Données projet'!$A$62&gt;35,AI50+AH51-AQ50,IF(A51&lt;'Données projet'!$A$62,$AF$205^A51,IF(A51='Données projet'!$A$62,'Données projet'!$B$62,AI50+AH51-AQ50)))</f>
        <v>317.2</v>
      </c>
      <c r="AJ51" s="13">
        <f>AI51*VLOOKUP('Données projet'!$B$10,Paramètres!$A$1:$I$89,3,0)*VLOOKUP('Données projet'!$B$10,Paramètres!$A$1:$I$89,5,0)</f>
        <v>189.68560000000002</v>
      </c>
      <c r="AK51" s="13">
        <f t="shared" si="35"/>
        <v>47.470436776872745</v>
      </c>
      <c r="AL51" s="20">
        <f t="shared" si="4"/>
        <v>413.04676405305344</v>
      </c>
      <c r="AM51" s="59">
        <f t="shared" si="5"/>
        <v>706.38009738638675</v>
      </c>
      <c r="AN51" s="59">
        <f ca="1">AVERAGE(OFFSET($AM$3,0,0,'Données projet'!$E$10+1,1))-AVERAGE(OFFSET($H$3,0,0,'Données projet'!$E$10+1,1))</f>
        <v>370.12772664814923</v>
      </c>
      <c r="AO51" s="59">
        <f t="shared" si="36"/>
        <v>292.26503163353146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5.23621415864333</v>
      </c>
      <c r="AV51" s="21">
        <f>EXP(-LN(2)/25)*AV50+(1-EXP(-LN(2)/25))/(LN(2)/25)*Calculateur!AQ51*Calculateur!AS51*VLOOKUP('Données projet'!$B$10,Paramètres!$A$1:$I$89,3,0)*0.475*44/12</f>
        <v>4.0330871358511944</v>
      </c>
      <c r="AW51" s="21">
        <f>EXP(-LN(2)/2)*AW50+(1-EXP(-LN(2)/2))/(LN(2)/2)*AQ51*AT51*VLOOKUP('Données projet'!$B$10,Paramètres!$A$1:$I$89,3,0)*0.475*44/12</f>
        <v>1.5474284190773341E-2</v>
      </c>
      <c r="AX51" s="21">
        <f t="shared" si="6"/>
        <v>9.2847755786852986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11</v>
      </c>
      <c r="BD51" s="12">
        <f>IF('Données projet'!$A$88&gt;35,BD50+BC51-BL50,IF(A51&lt;'Données projet'!$A$88,$BA$205^A51,IF(A51='Données projet'!$A$88,'Données projet'!$B$88,BD50+BC51-BL50)))</f>
        <v>209.00000000000003</v>
      </c>
      <c r="BE51" s="13">
        <f>BD51*VLOOKUP('Données projet'!$B$11,Paramètres!$A$1:$I$89,3,0)*VLOOKUP('Données projet'!$B$11,Paramètres!$A$1:$I$89,5,0)</f>
        <v>224.96760000000003</v>
      </c>
      <c r="BF51" s="13">
        <f t="shared" si="37"/>
        <v>55.193161946335238</v>
      </c>
      <c r="BG51" s="20">
        <f t="shared" si="7"/>
        <v>487.94666038986719</v>
      </c>
      <c r="BH51" s="59">
        <f t="shared" si="8"/>
        <v>781.2799937232005</v>
      </c>
      <c r="BI51" s="59">
        <f ca="1">AVERAGE(OFFSET($BH$3,0,0,'Données projet'!$E$11+1,1))-AVERAGE(OFFSET($H$3,0,0,'Données projet'!$E$11+1,1))</f>
        <v>475.01366239340246</v>
      </c>
      <c r="BJ51" s="59">
        <f t="shared" si="38"/>
        <v>322.81767004794284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6.0873829982589784</v>
      </c>
      <c r="BQ51" s="21">
        <f>EXP(-LN(2)/25)*BQ50+(1-EXP(-LN(2)/25))/(LN(2)/25)*Calculateur!BL51*Calculateur!BN51*VLOOKUP('Données projet'!$B$11,Paramètres!$A$1:$I$89,3,0)*0.475*44/12</f>
        <v>6.7635769626275408</v>
      </c>
      <c r="BR51" s="21">
        <f>EXP(-LN(2)/2)*BR50+(1-EXP(-LN(2)/2))/(LN(2)/2)*BL51*BO51*VLOOKUP('Données projet'!$B$11,Paramètres!$A$1:$I$89,3,0)*0.475*44/12</f>
        <v>1.9831069796076975E-2</v>
      </c>
      <c r="BS51" s="22">
        <f t="shared" si="9"/>
        <v>12.870791030682597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8.1999999999999993</v>
      </c>
      <c r="BY51" s="12">
        <f>IF('Données projet'!$A$114&gt;35,BY50+BX51-CG50,IF(A51&lt;'Données projet'!$A$114,$BV$205^A51,IF(A51='Données projet'!$A$114,'Données projet'!$B$114,BY50+BX51-CG50)))</f>
        <v>161.60000000000002</v>
      </c>
      <c r="BZ51" s="13">
        <f>BY51*VLOOKUP('Données projet'!$B$12,Paramètres!$A$1:$I$89,3,0)*VLOOKUP('Données projet'!$B$12,Paramètres!$A$1:$I$89,5,0)</f>
        <v>108.40128000000003</v>
      </c>
      <c r="CA51" s="13">
        <f t="shared" si="39"/>
        <v>28.953993320457293</v>
      </c>
      <c r="CB51" s="20">
        <f t="shared" si="10"/>
        <v>239.2271010331298</v>
      </c>
      <c r="CC51" s="59">
        <f t="shared" si="11"/>
        <v>532.56043436646314</v>
      </c>
      <c r="CD51" s="59">
        <f ca="1">AVERAGE(OFFSET($CC$3,0,0,'Données projet'!$E$12+1,1))-AVERAGE(OFFSET($H$3,0,0,'Données projet'!$E$12+1,1))</f>
        <v>254.8851926268614</v>
      </c>
      <c r="CE51" s="59">
        <f t="shared" si="40"/>
        <v>182.11500693273973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2.132333430778325</v>
      </c>
      <c r="CL51" s="21">
        <f>EXP(-LN(2)/25)*CL50+(1-EXP(-LN(2)/25))/(LN(2)/25)*Calculateur!CG51*Calculateur!CI51*VLOOKUP('Données projet'!$B$12,Paramètres!$A$1:$I$89,3,0)*0.475*44/12</f>
        <v>2.3274027956475614</v>
      </c>
      <c r="CM51" s="21">
        <f>EXP(-LN(2)/2)*CM50+(1-EXP(-LN(2)/2))/(LN(2)/2)*CG51*CJ51*VLOOKUP('Données projet'!$B$12,Paramètres!$A$1:$I$89,3,0)*0.475*44/12</f>
        <v>8.836779473174048E-3</v>
      </c>
      <c r="CN51" s="22">
        <f t="shared" si="12"/>
        <v>4.46857300589906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6.1538461538461489</v>
      </c>
      <c r="N52" s="13">
        <f>IF('Données projet'!$A$36&gt;35,N51+M52-V51,IF(A52&lt;'Données projet'!$A$36,$K$205^A52,IF(A52='Données projet'!$A$36,'Données projet'!$B$36,N51+M52-V51)))</f>
        <v>155.38461538461544</v>
      </c>
      <c r="O52" s="13">
        <f>N52*VLOOKUP('Données projet'!$B$9,Paramètres!$A$1:$I$89,3,0)*VLOOKUP('Données projet'!$B$9,Paramètres!$A$1:$I$89,5,0)</f>
        <v>162.40800000000007</v>
      </c>
      <c r="P52" s="13">
        <f t="shared" si="33"/>
        <v>41.385173437625596</v>
      </c>
      <c r="Q52" s="20">
        <f t="shared" si="53"/>
        <v>354.93977707053136</v>
      </c>
      <c r="R52" s="59">
        <f t="shared" si="0"/>
        <v>648.27311040386462</v>
      </c>
      <c r="S52" s="59">
        <f ca="1">AVERAGE(OFFSET($R$3,0,0,'Données projet'!$E$9+1,1))-AVERAGE(OFFSET($H$3,0,0,'Données projet'!$E$9+1,1))</f>
        <v>241.84492910369795</v>
      </c>
      <c r="T52" s="59">
        <f t="shared" si="34"/>
        <v>338.04336767245667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4.156129725734881</v>
      </c>
      <c r="AA52" s="21">
        <f>EXP(-LN(2)/25)*AA51+(1-EXP(-LN(2)/25))/(LN(2)/25)*Calculateur!V52*Calculateur!X52*VLOOKUP('Données projet'!$B$9,Paramètres!$A$1:$I$89,3,0)*0.475*44/12</f>
        <v>8.2052435581212091</v>
      </c>
      <c r="AB52" s="21">
        <f>EXP(-LN(2)/2)*AB51+(1-EXP(-LN(2)/2))/(LN(2)/2)*V52*Y52*VLOOKUP('Données projet'!$B$9,Paramètres!$A$1:$I$89,3,0)*0.475*44/12</f>
        <v>1.1940519035801619E-2</v>
      </c>
      <c r="AC52" s="22">
        <f t="shared" si="3"/>
        <v>12.373313802891891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17.399999999999999</v>
      </c>
      <c r="AI52" s="13">
        <f>IF('Données projet'!$A$62&gt;35,AI51+AH52-AQ51,IF(A52&lt;'Données projet'!$A$62,$AF$205^A52,IF(A52='Données projet'!$A$62,'Données projet'!$B$62,AI51+AH52-AQ51)))</f>
        <v>334.59999999999997</v>
      </c>
      <c r="AJ52" s="13">
        <f>AI52*VLOOKUP('Données projet'!$B$10,Paramètres!$A$1:$I$89,3,0)*VLOOKUP('Données projet'!$B$10,Paramètres!$A$1:$I$89,5,0)</f>
        <v>200.0908</v>
      </c>
      <c r="AK52" s="13">
        <f t="shared" si="35"/>
        <v>49.764122289960234</v>
      </c>
      <c r="AL52" s="20">
        <f t="shared" si="4"/>
        <v>435.16398965501406</v>
      </c>
      <c r="AM52" s="59">
        <f t="shared" si="5"/>
        <v>728.49732298834738</v>
      </c>
      <c r="AN52" s="59">
        <f ca="1">AVERAGE(OFFSET($AM$3,0,0,'Données projet'!$E$10+1,1))-AVERAGE(OFFSET($H$3,0,0,'Données projet'!$E$10+1,1))</f>
        <v>370.12772664814923</v>
      </c>
      <c r="AO52" s="59">
        <f t="shared" si="36"/>
        <v>292.26503163353146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5.1335351927676118</v>
      </c>
      <c r="AV52" s="21">
        <f>EXP(-LN(2)/25)*AV51+(1-EXP(-LN(2)/25))/(LN(2)/25)*Calculateur!AQ52*Calculateur!AS52*VLOOKUP('Données projet'!$B$10,Paramètres!$A$1:$I$89,3,0)*0.475*44/12</f>
        <v>3.9228021560305089</v>
      </c>
      <c r="AW52" s="21">
        <f>EXP(-LN(2)/2)*AW51+(1-EXP(-LN(2)/2))/(LN(2)/2)*AQ52*AT52*VLOOKUP('Données projet'!$B$10,Paramètres!$A$1:$I$89,3,0)*0.475*44/12</f>
        <v>1.0941971285303618E-2</v>
      </c>
      <c r="AX52" s="21">
        <f t="shared" si="6"/>
        <v>9.0672793200834239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11</v>
      </c>
      <c r="BD52" s="12">
        <f>IF('Données projet'!$A$88&gt;35,BD51+BC52-BL51,IF(A52&lt;'Données projet'!$A$88,$BA$205^A52,IF(A52='Données projet'!$A$88,'Données projet'!$B$88,BD51+BC52-BL51)))</f>
        <v>220.00000000000003</v>
      </c>
      <c r="BE52" s="13">
        <f>BD52*VLOOKUP('Données projet'!$B$11,Paramètres!$A$1:$I$89,3,0)*VLOOKUP('Données projet'!$B$11,Paramètres!$A$1:$I$89,5,0)</f>
        <v>236.80800000000002</v>
      </c>
      <c r="BF52" s="13">
        <f t="shared" si="37"/>
        <v>57.752221878398714</v>
      </c>
      <c r="BG52" s="20">
        <f t="shared" si="7"/>
        <v>513.02571977154446</v>
      </c>
      <c r="BH52" s="59">
        <f t="shared" si="8"/>
        <v>806.35905310487783</v>
      </c>
      <c r="BI52" s="59">
        <f ca="1">AVERAGE(OFFSET($BH$3,0,0,'Données projet'!$E$11+1,1))-AVERAGE(OFFSET($H$3,0,0,'Données projet'!$E$11+1,1))</f>
        <v>475.01366239340246</v>
      </c>
      <c r="BJ52" s="59">
        <f t="shared" si="38"/>
        <v>322.81767004794284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5.9680131306001272</v>
      </c>
      <c r="BQ52" s="21">
        <f>EXP(-LN(2)/25)*BQ51+(1-EXP(-LN(2)/25))/(LN(2)/25)*Calculateur!BL52*Calculateur!BN52*VLOOKUP('Données projet'!$B$11,Paramètres!$A$1:$I$89,3,0)*0.475*44/12</f>
        <v>6.5786265949034366</v>
      </c>
      <c r="BR52" s="21">
        <f>EXP(-LN(2)/2)*BR51+(1-EXP(-LN(2)/2))/(LN(2)/2)*BL52*BO52*VLOOKUP('Données projet'!$B$11,Paramètres!$A$1:$I$89,3,0)*0.475*44/12</f>
        <v>1.4022683930989753E-2</v>
      </c>
      <c r="BS52" s="22">
        <f t="shared" si="9"/>
        <v>12.560662409434553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8.1999999999999993</v>
      </c>
      <c r="BY52" s="12">
        <f>IF('Données projet'!$A$114&gt;35,BY51+BX52-CG51,IF(A52&lt;'Données projet'!$A$114,$BV$205^A52,IF(A52='Données projet'!$A$114,'Données projet'!$B$114,BY51+BX52-CG51)))</f>
        <v>169.8</v>
      </c>
      <c r="BZ52" s="13">
        <f>BY52*VLOOKUP('Données projet'!$B$12,Paramètres!$A$1:$I$89,3,0)*VLOOKUP('Données projet'!$B$12,Paramètres!$A$1:$I$89,5,0)</f>
        <v>113.90184000000002</v>
      </c>
      <c r="CA52" s="13">
        <f t="shared" si="39"/>
        <v>30.248415264444404</v>
      </c>
      <c r="CB52" s="20">
        <f t="shared" si="10"/>
        <v>251.06169458557397</v>
      </c>
      <c r="CC52" s="59">
        <f t="shared" si="11"/>
        <v>544.39502791890732</v>
      </c>
      <c r="CD52" s="59">
        <f ca="1">AVERAGE(OFFSET($CC$3,0,0,'Données projet'!$E$12+1,1))-AVERAGE(OFFSET($H$3,0,0,'Données projet'!$E$12+1,1))</f>
        <v>254.8851926268614</v>
      </c>
      <c r="CE52" s="59">
        <f t="shared" si="40"/>
        <v>182.11500693273973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2.0905196727957316</v>
      </c>
      <c r="CL52" s="21">
        <f>EXP(-LN(2)/25)*CL51+(1-EXP(-LN(2)/25))/(LN(2)/25)*Calculateur!CG52*Calculateur!CI52*VLOOKUP('Données projet'!$B$12,Paramètres!$A$1:$I$89,3,0)*0.475*44/12</f>
        <v>2.2637598438077853</v>
      </c>
      <c r="CM52" s="21">
        <f>EXP(-LN(2)/2)*CM51+(1-EXP(-LN(2)/2))/(LN(2)/2)*CG52*CJ52*VLOOKUP('Données projet'!$B$12,Paramètres!$A$1:$I$89,3,0)*0.475*44/12</f>
        <v>6.2485466893314563E-3</v>
      </c>
      <c r="CN52" s="22">
        <f t="shared" si="12"/>
        <v>4.3605280632928487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161.53846153846152</v>
      </c>
      <c r="L53" s="12">
        <f>VLOOKUP(A53,'Données projet'!$A$35:$I$55,9,0)</f>
        <v>6.1538461538461489</v>
      </c>
      <c r="M53" s="12">
        <f t="array" ref="M53">INDEX(L:L,MIN(IF(ISNUMBER(L53:L249),ROW(L53:L249),"")))</f>
        <v>6.1538461538461489</v>
      </c>
      <c r="N53" s="13">
        <f>IF('Données projet'!$A$36&gt;35,N52+M53-V52,IF(A53&lt;'Données projet'!$A$36,$K$205^A53,IF(A53='Données projet'!$A$36,'Données projet'!$B$36,N52+M53-V52)))</f>
        <v>161.5384615384616</v>
      </c>
      <c r="O53" s="13">
        <f>N53*VLOOKUP('Données projet'!$B$9,Paramètres!$A$1:$I$89,3,0)*VLOOKUP('Données projet'!$B$9,Paramètres!$A$1:$I$89,5,0)</f>
        <v>168.84000000000009</v>
      </c>
      <c r="P53" s="13">
        <f t="shared" si="33"/>
        <v>42.830118735743198</v>
      </c>
      <c r="Q53" s="20">
        <f t="shared" si="53"/>
        <v>368.65879013141961</v>
      </c>
      <c r="R53" s="59">
        <f t="shared" si="0"/>
        <v>661.99212346475292</v>
      </c>
      <c r="S53" s="59">
        <f ca="1">AVERAGE(OFFSET($R$3,0,0,'Données projet'!$E$9+1,1))-AVERAGE(OFFSET($H$3,0,0,'Données projet'!$E$9+1,1))</f>
        <v>241.84492910369795</v>
      </c>
      <c r="T53" s="59">
        <f t="shared" si="34"/>
        <v>338.04336767245667</v>
      </c>
      <c r="U53" s="15">
        <f>IF(ISNA(VLOOKUP(A53,'Données projet'!$A$35:$I$55,3,0)),0,VLOOKUP(A53,'Données projet'!$A$35:$I$55,3,0))</f>
        <v>8</v>
      </c>
      <c r="V53" s="15">
        <f>IF(ISNA(VLOOKUP(A53,'Données projet'!$A$35:$I$55,4,0)),0,VLOOKUP(A53,'Données projet'!$A$35:$I$55,4,0))</f>
        <v>23.717948717948715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4.0746305568020436</v>
      </c>
      <c r="AA53" s="21">
        <f>EXP(-LN(2)/25)*AA52+(1-EXP(-LN(2)/25))/(LN(2)/25)*Calculateur!V53*Calculateur!X53*VLOOKUP('Données projet'!$B$9,Paramètres!$A$1:$I$89,3,0)*0.475*44/12</f>
        <v>7.9808707415293796</v>
      </c>
      <c r="AB53" s="21">
        <f>EXP(-LN(2)/2)*AB52+(1-EXP(-LN(2)/2))/(LN(2)/2)*V53*Y53*VLOOKUP('Données projet'!$B$9,Paramètres!$A$1:$I$89,3,0)*0.475*44/12</f>
        <v>8.4432219811023806E-3</v>
      </c>
      <c r="AC53" s="22">
        <f t="shared" si="3"/>
        <v>12.063944520312525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352</v>
      </c>
      <c r="AG53" s="12">
        <f>VLOOKUP(A53,'Données projet'!$A$61:$I$81,9,0)</f>
        <v>17.399999999999999</v>
      </c>
      <c r="AH53" s="12">
        <f t="array" ref="AH53">INDEX(AG:AG,MIN(IF(ISNUMBER(AG53:AG249),ROW(AG53:AG249),"")))</f>
        <v>17.399999999999999</v>
      </c>
      <c r="AI53" s="13">
        <f>IF('Données projet'!$A$62&gt;35,AI52+AH53-AQ52,IF(A53&lt;'Données projet'!$A$62,$AF$205^A53,IF(A53='Données projet'!$A$62,'Données projet'!$B$62,AI52+AH53-AQ52)))</f>
        <v>351.99999999999994</v>
      </c>
      <c r="AJ53" s="13">
        <f>AI53*VLOOKUP('Données projet'!$B$10,Paramètres!$A$1:$I$89,3,0)*VLOOKUP('Données projet'!$B$10,Paramètres!$A$1:$I$89,5,0)</f>
        <v>210.49599999999998</v>
      </c>
      <c r="AK53" s="13">
        <f t="shared" si="35"/>
        <v>52.043959291168463</v>
      </c>
      <c r="AL53" s="20">
        <f t="shared" si="4"/>
        <v>457.25709576545165</v>
      </c>
      <c r="AM53" s="59">
        <f t="shared" si="5"/>
        <v>750.59042909878497</v>
      </c>
      <c r="AN53" s="59">
        <f ca="1">AVERAGE(OFFSET($AM$3,0,0,'Données projet'!$E$10+1,1))-AVERAGE(OFFSET($H$3,0,0,'Données projet'!$E$10+1,1))</f>
        <v>370.12772664814923</v>
      </c>
      <c r="AO53" s="59">
        <f t="shared" si="36"/>
        <v>292.26503163353146</v>
      </c>
      <c r="AP53" s="15">
        <f>IF(ISNA(VLOOKUP(A53,'Données projet'!$A$61:$I$81,3,0)),0,VLOOKUP(A53,'Données projet'!$A$61:$I$81,3,0))</f>
        <v>7</v>
      </c>
      <c r="AQ53" s="15">
        <f>IF(ISNA(VLOOKUP(A53,'Données projet'!$A$61:$I$81,4,0)),0,VLOOKUP(A53,'Données projet'!$A$61:$I$81,4,0))</f>
        <v>53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5.0328696987847312</v>
      </c>
      <c r="AV53" s="21">
        <f>EXP(-LN(2)/25)*AV52+(1-EXP(-LN(2)/25))/(LN(2)/25)*Calculateur!AQ53*Calculateur!AS53*VLOOKUP('Données projet'!$B$10,Paramètres!$A$1:$I$89,3,0)*0.475*44/12</f>
        <v>3.815532924782655</v>
      </c>
      <c r="AW53" s="21">
        <f>EXP(-LN(2)/2)*AW52+(1-EXP(-LN(2)/2))/(LN(2)/2)*AQ53*AT53*VLOOKUP('Données projet'!$B$10,Paramètres!$A$1:$I$89,3,0)*0.475*44/12</f>
        <v>7.7371420953866715E-3</v>
      </c>
      <c r="AX53" s="21">
        <f t="shared" si="6"/>
        <v>8.8561397656627729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231</v>
      </c>
      <c r="BB53" s="12">
        <f>VLOOKUP(A53,'Données projet'!$A$87:$I$107,9,0)</f>
        <v>11</v>
      </c>
      <c r="BC53" s="12">
        <f t="array" ref="BC53">INDEX(BB:BB,MIN(IF(ISNUMBER(BB53:BB249),ROW(BB53:BB249),"")))</f>
        <v>11</v>
      </c>
      <c r="BD53" s="12">
        <f>IF('Données projet'!$A$88&gt;35,BD52+BC53-BL52,IF(A53&lt;'Données projet'!$A$88,$BA$205^A53,IF(A53='Données projet'!$A$88,'Données projet'!$B$88,BD52+BC53-BL52)))</f>
        <v>231.00000000000003</v>
      </c>
      <c r="BE53" s="13">
        <f>BD53*VLOOKUP('Données projet'!$B$11,Paramètres!$A$1:$I$89,3,0)*VLOOKUP('Données projet'!$B$11,Paramètres!$A$1:$I$89,5,0)</f>
        <v>248.64840000000004</v>
      </c>
      <c r="BF53" s="13">
        <f t="shared" si="37"/>
        <v>60.296424802828774</v>
      </c>
      <c r="BG53" s="20">
        <f t="shared" si="7"/>
        <v>538.07890319826015</v>
      </c>
      <c r="BH53" s="59">
        <f t="shared" si="8"/>
        <v>831.41223653159341</v>
      </c>
      <c r="BI53" s="59">
        <f ca="1">AVERAGE(OFFSET($BH$3,0,0,'Données projet'!$E$11+1,1))-AVERAGE(OFFSET($H$3,0,0,'Données projet'!$E$11+1,1))</f>
        <v>475.01366239340246</v>
      </c>
      <c r="BJ53" s="59">
        <f t="shared" si="38"/>
        <v>322.81767004794284</v>
      </c>
      <c r="BK53" s="15">
        <f>IF(ISNA(VLOOKUP(A53,'Données projet'!$A$87:$I$107,3,0)),0,VLOOKUP(A53,'Données projet'!$A$87:$I$107,3,0))</f>
        <v>7</v>
      </c>
      <c r="BL53" s="15">
        <f>IF(ISNA(VLOOKUP(A53,'Données projet'!$A$87:$I$107,4,0)),0,VLOOKUP(A53,'Données projet'!$A$87:$I$107,4,0))</f>
        <v>28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5.8509840332376353</v>
      </c>
      <c r="BQ53" s="21">
        <f>EXP(-LN(2)/25)*BQ52+(1-EXP(-LN(2)/25))/(LN(2)/25)*Calculateur!BL53*Calculateur!BN53*VLOOKUP('Données projet'!$B$11,Paramètres!$A$1:$I$89,3,0)*0.475*44/12</f>
        <v>6.3987337047108648</v>
      </c>
      <c r="BR53" s="21">
        <f>EXP(-LN(2)/2)*BR52+(1-EXP(-LN(2)/2))/(LN(2)/2)*BL53*BO53*VLOOKUP('Données projet'!$B$11,Paramètres!$A$1:$I$89,3,0)*0.475*44/12</f>
        <v>9.9155348980384875E-3</v>
      </c>
      <c r="BS53" s="22">
        <f t="shared" si="9"/>
        <v>12.259633272846539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178</v>
      </c>
      <c r="BW53" s="12">
        <f>VLOOKUP(A53,'Données projet'!$A$113:$I$133,9,0)</f>
        <v>8.1999999999999993</v>
      </c>
      <c r="BX53" s="12">
        <f t="array" ref="BX53">INDEX(BW:BW,MIN(IF(ISNUMBER(BW53:BW249),ROW(BW53:BW249),"")))</f>
        <v>8.1999999999999993</v>
      </c>
      <c r="BY53" s="12">
        <f>IF('Données projet'!$A$114&gt;35,BY52+BX53-CG52,IF(A53&lt;'Données projet'!$A$114,$BV$205^A53,IF(A53='Données projet'!$A$114,'Données projet'!$B$114,BY52+BX53-CG52)))</f>
        <v>178</v>
      </c>
      <c r="BZ53" s="13">
        <f>BY53*VLOOKUP('Données projet'!$B$12,Paramètres!$A$1:$I$89,3,0)*VLOOKUP('Données projet'!$B$12,Paramètres!$A$1:$I$89,5,0)</f>
        <v>119.40239999999999</v>
      </c>
      <c r="CA53" s="13">
        <f t="shared" si="39"/>
        <v>31.535578435312072</v>
      </c>
      <c r="CB53" s="20">
        <f t="shared" si="10"/>
        <v>262.8836457748352</v>
      </c>
      <c r="CC53" s="59">
        <f t="shared" si="11"/>
        <v>556.21697910816852</v>
      </c>
      <c r="CD53" s="59">
        <f ca="1">AVERAGE(OFFSET($CC$3,0,0,'Données projet'!$E$12+1,1))-AVERAGE(OFFSET($H$3,0,0,'Données projet'!$E$12+1,1))</f>
        <v>254.8851926268614</v>
      </c>
      <c r="CE53" s="59">
        <f t="shared" si="40"/>
        <v>182.11500693273973</v>
      </c>
      <c r="CF53" s="15">
        <f>IF(ISNA(VLOOKUP(A53,'Données projet'!$A$113:$I$133,3,0)),0,VLOOKUP(A53,'Données projet'!$A$113:$I$133,3,0))</f>
        <v>6</v>
      </c>
      <c r="CG53" s="15">
        <f>IF(ISNA(VLOOKUP(A53,'Données projet'!$A$113:$I$133,4,0)),0,VLOOKUP(A53,'Données projet'!$A$113:$I$133,4,0))</f>
        <v>21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2.049525857103303</v>
      </c>
      <c r="CL53" s="21">
        <f>EXP(-LN(2)/25)*CL52+(1-EXP(-LN(2)/25))/(LN(2)/25)*Calculateur!CG53*Calculateur!CI53*VLOOKUP('Données projet'!$B$12,Paramètres!$A$1:$I$89,3,0)*0.475*44/12</f>
        <v>2.2018572118329049</v>
      </c>
      <c r="CM53" s="21">
        <f>EXP(-LN(2)/2)*CM52+(1-EXP(-LN(2)/2))/(LN(2)/2)*CG53*CJ53*VLOOKUP('Données projet'!$B$12,Paramètres!$A$1:$I$89,3,0)*0.475*44/12</f>
        <v>4.418389736587024E-3</v>
      </c>
      <c r="CN53" s="22">
        <f t="shared" si="12"/>
        <v>4.2558014586727957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5.5128205128205137</v>
      </c>
      <c r="N54" s="13">
        <f>IF('Données projet'!$A$36&gt;35,N53+M54-V53,IF(A54&lt;'Données projet'!$A$36,$K$205^A54,IF(A54='Données projet'!$A$36,'Données projet'!$B$36,N53+M54-V53)))</f>
        <v>143.33333333333343</v>
      </c>
      <c r="O54" s="13">
        <f>N54*VLOOKUP('Données projet'!$B$9,Paramètres!$A$1:$I$89,3,0)*VLOOKUP('Données projet'!$B$9,Paramètres!$A$1:$I$89,5,0)</f>
        <v>149.81200000000013</v>
      </c>
      <c r="P54" s="13">
        <f t="shared" si="33"/>
        <v>38.535858828351088</v>
      </c>
      <c r="Q54" s="20">
        <f t="shared" si="53"/>
        <v>328.0391874593783</v>
      </c>
      <c r="R54" s="59">
        <f t="shared" si="0"/>
        <v>621.37252079271161</v>
      </c>
      <c r="S54" s="59">
        <f ca="1">AVERAGE(OFFSET($R$3,0,0,'Données projet'!$E$9+1,1))-AVERAGE(OFFSET($H$3,0,0,'Données projet'!$E$9+1,1))</f>
        <v>241.84492910369795</v>
      </c>
      <c r="T54" s="59">
        <f t="shared" si="34"/>
        <v>338.04336767245667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3.9947295368623941</v>
      </c>
      <c r="AA54" s="21">
        <f>EXP(-LN(2)/25)*AA53+(1-EXP(-LN(2)/25))/(LN(2)/25)*Calculateur!V54*Calculateur!X54*VLOOKUP('Données projet'!$B$9,Paramètres!$A$1:$I$89,3,0)*0.475*44/12</f>
        <v>7.7626334114065072</v>
      </c>
      <c r="AB54" s="21">
        <f>EXP(-LN(2)/2)*AB53+(1-EXP(-LN(2)/2))/(LN(2)/2)*V54*Y54*VLOOKUP('Données projet'!$B$9,Paramètres!$A$1:$I$89,3,0)*0.475*44/12</f>
        <v>5.9702595179008094E-3</v>
      </c>
      <c r="AC54" s="22">
        <f t="shared" si="3"/>
        <v>11.763333207786802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17.625</v>
      </c>
      <c r="AI54" s="13">
        <f>IF('Données projet'!$A$62&gt;35,AI53+AH54-AQ53,IF(A54&lt;'Données projet'!$A$62,$AF$205^A54,IF(A54='Données projet'!$A$62,'Données projet'!$B$62,AI53+AH54-AQ53)))</f>
        <v>316.62499999999994</v>
      </c>
      <c r="AJ54" s="13">
        <f>AI54*VLOOKUP('Données projet'!$B$10,Paramètres!$A$1:$I$89,3,0)*VLOOKUP('Données projet'!$B$10,Paramètres!$A$1:$I$89,5,0)</f>
        <v>189.34174999999999</v>
      </c>
      <c r="AK54" s="13">
        <f t="shared" si="35"/>
        <v>47.394393740797923</v>
      </c>
      <c r="AL54" s="20">
        <f t="shared" si="4"/>
        <v>412.31545034855634</v>
      </c>
      <c r="AM54" s="59">
        <f t="shared" si="5"/>
        <v>705.64878368188965</v>
      </c>
      <c r="AN54" s="59">
        <f ca="1">AVERAGE(OFFSET($AM$3,0,0,'Données projet'!$E$10+1,1))-AVERAGE(OFFSET($H$3,0,0,'Données projet'!$E$10+1,1))</f>
        <v>370.12772664814923</v>
      </c>
      <c r="AO54" s="59">
        <f t="shared" si="36"/>
        <v>292.26503163353146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4.9341781937389664</v>
      </c>
      <c r="AV54" s="21">
        <f>EXP(-LN(2)/25)*AV53+(1-EXP(-LN(2)/25))/(LN(2)/25)*Calculateur!AQ54*Calculateur!AS54*VLOOKUP('Données projet'!$B$10,Paramètres!$A$1:$I$89,3,0)*0.475*44/12</f>
        <v>3.7111969763043176</v>
      </c>
      <c r="AW54" s="21">
        <f>EXP(-LN(2)/2)*AW53+(1-EXP(-LN(2)/2))/(LN(2)/2)*AQ54*AT54*VLOOKUP('Données projet'!$B$10,Paramètres!$A$1:$I$89,3,0)*0.475*44/12</f>
        <v>5.4709856426518096E-3</v>
      </c>
      <c r="AX54" s="21">
        <f t="shared" si="6"/>
        <v>8.6508461556859366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10.199999999999999</v>
      </c>
      <c r="BD54" s="12">
        <f>IF('Données projet'!$A$88&gt;35,BD53+BC54-BL53,IF(A54&lt;'Données projet'!$A$88,$BA$205^A54,IF(A54='Données projet'!$A$88,'Données projet'!$B$88,BD53+BC54-BL53)))</f>
        <v>213.20000000000002</v>
      </c>
      <c r="BE54" s="13">
        <f>BD54*VLOOKUP('Données projet'!$B$11,Paramètres!$A$1:$I$89,3,0)*VLOOKUP('Données projet'!$B$11,Paramètres!$A$1:$I$89,5,0)</f>
        <v>229.48848000000001</v>
      </c>
      <c r="BF54" s="13">
        <f t="shared" si="37"/>
        <v>56.17206461989467</v>
      </c>
      <c r="BG54" s="20">
        <f t="shared" si="7"/>
        <v>497.52544854631657</v>
      </c>
      <c r="BH54" s="59">
        <f t="shared" si="8"/>
        <v>790.85878187964988</v>
      </c>
      <c r="BI54" s="59">
        <f ca="1">AVERAGE(OFFSET($BH$3,0,0,'Données projet'!$E$11+1,1))-AVERAGE(OFFSET($H$3,0,0,'Données projet'!$E$11+1,1))</f>
        <v>475.01366239340246</v>
      </c>
      <c r="BJ54" s="59">
        <f t="shared" si="38"/>
        <v>322.81767004794284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5.7362498050937205</v>
      </c>
      <c r="BQ54" s="21">
        <f>EXP(-LN(2)/25)*BQ53+(1-EXP(-LN(2)/25))/(LN(2)/25)*Calculateur!BL54*Calculateur!BN54*VLOOKUP('Données projet'!$B$11,Paramètres!$A$1:$I$89,3,0)*0.475*44/12</f>
        <v>6.2237599950607647</v>
      </c>
      <c r="BR54" s="21">
        <f>EXP(-LN(2)/2)*BR53+(1-EXP(-LN(2)/2))/(LN(2)/2)*BL54*BO54*VLOOKUP('Données projet'!$B$11,Paramètres!$A$1:$I$89,3,0)*0.475*44/12</f>
        <v>7.0113419654948767E-3</v>
      </c>
      <c r="BS54" s="22">
        <f t="shared" si="9"/>
        <v>11.967021142119979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8</v>
      </c>
      <c r="BY54" s="12">
        <f>IF('Données projet'!$A$114&gt;35,BY53+BX54-CG53,IF(A54&lt;'Données projet'!$A$114,$BV$205^A54,IF(A54='Données projet'!$A$114,'Données projet'!$B$114,BY53+BX54-CG53)))</f>
        <v>165</v>
      </c>
      <c r="BZ54" s="13">
        <f>BY54*VLOOKUP('Données projet'!$B$12,Paramètres!$A$1:$I$89,3,0)*VLOOKUP('Données projet'!$B$12,Paramètres!$A$1:$I$89,5,0)</f>
        <v>110.682</v>
      </c>
      <c r="CA54" s="13">
        <f t="shared" si="39"/>
        <v>29.49161124389969</v>
      </c>
      <c r="CB54" s="20">
        <f t="shared" si="10"/>
        <v>244.13570624979195</v>
      </c>
      <c r="CC54" s="59">
        <f t="shared" si="11"/>
        <v>537.46903958312532</v>
      </c>
      <c r="CD54" s="59">
        <f ca="1">AVERAGE(OFFSET($CC$3,0,0,'Données projet'!$E$12+1,1))-AVERAGE(OFFSET($H$3,0,0,'Données projet'!$E$12+1,1))</f>
        <v>254.8851926268614</v>
      </c>
      <c r="CE54" s="59">
        <f t="shared" si="40"/>
        <v>182.11500693273973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2.0093359051328443</v>
      </c>
      <c r="CL54" s="21">
        <f>EXP(-LN(2)/25)*CL53+(1-EXP(-LN(2)/25))/(LN(2)/25)*Calculateur!CG54*Calculateur!CI54*VLOOKUP('Données projet'!$B$12,Paramètres!$A$1:$I$89,3,0)*0.475*44/12</f>
        <v>2.1416473105846956</v>
      </c>
      <c r="CM54" s="21">
        <f>EXP(-LN(2)/2)*CM53+(1-EXP(-LN(2)/2))/(LN(2)/2)*CG54*CJ54*VLOOKUP('Données projet'!$B$12,Paramètres!$A$1:$I$89,3,0)*0.475*44/12</f>
        <v>3.1242733446657281E-3</v>
      </c>
      <c r="CN54" s="22">
        <f t="shared" si="12"/>
        <v>4.1541074890622056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5.5128205128205137</v>
      </c>
      <c r="N55" s="13">
        <f>IF('Données projet'!$A$36&gt;35,N54+M55-V54,IF(A55&lt;'Données projet'!$A$36,$K$205^A55,IF(A55='Données projet'!$A$36,'Données projet'!$B$36,N54+M55-V54)))</f>
        <v>148.84615384615395</v>
      </c>
      <c r="O55" s="13">
        <f>N55*VLOOKUP('Données projet'!$B$9,Paramètres!$A$1:$I$89,3,0)*VLOOKUP('Données projet'!$B$9,Paramètres!$A$1:$I$89,5,0)</f>
        <v>155.57400000000013</v>
      </c>
      <c r="P55" s="13">
        <f t="shared" si="33"/>
        <v>39.842594745761524</v>
      </c>
      <c r="Q55" s="20">
        <f t="shared" si="53"/>
        <v>340.35056918220147</v>
      </c>
      <c r="R55" s="59">
        <f t="shared" si="0"/>
        <v>633.68390251553478</v>
      </c>
      <c r="S55" s="59">
        <f ca="1">AVERAGE(OFFSET($R$3,0,0,'Données projet'!$E$9+1,1))-AVERAGE(OFFSET($H$3,0,0,'Données projet'!$E$9+1,1))</f>
        <v>241.84492910369795</v>
      </c>
      <c r="T55" s="59">
        <f t="shared" si="34"/>
        <v>338.04336767245667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3.9163953271889511</v>
      </c>
      <c r="AA55" s="21">
        <f>EXP(-LN(2)/25)*AA54+(1-EXP(-LN(2)/25))/(LN(2)/25)*Calculateur!V55*Calculateur!X55*VLOOKUP('Données projet'!$B$9,Paramètres!$A$1:$I$89,3,0)*0.475*44/12</f>
        <v>7.5503637925524467</v>
      </c>
      <c r="AB55" s="21">
        <f>EXP(-LN(2)/2)*AB54+(1-EXP(-LN(2)/2))/(LN(2)/2)*V55*Y55*VLOOKUP('Données projet'!$B$9,Paramètres!$A$1:$I$89,3,0)*0.475*44/12</f>
        <v>4.2216109905511903E-3</v>
      </c>
      <c r="AC55" s="22">
        <f t="shared" si="3"/>
        <v>11.470980730731949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17.625</v>
      </c>
      <c r="AI55" s="13">
        <f>IF('Données projet'!$A$62&gt;35,AI54+AH55-AQ54,IF(A55&lt;'Données projet'!$A$62,$AF$205^A55,IF(A55='Données projet'!$A$62,'Données projet'!$B$62,AI54+AH55-AQ54)))</f>
        <v>334.24999999999994</v>
      </c>
      <c r="AJ55" s="13">
        <f>AI55*VLOOKUP('Données projet'!$B$10,Paramètres!$A$1:$I$89,3,0)*VLOOKUP('Données projet'!$B$10,Paramètres!$A$1:$I$89,5,0)</f>
        <v>199.88149999999996</v>
      </c>
      <c r="AK55" s="13">
        <f t="shared" si="35"/>
        <v>49.71812411377941</v>
      </c>
      <c r="AL55" s="20">
        <f t="shared" si="4"/>
        <v>434.71934533149914</v>
      </c>
      <c r="AM55" s="59">
        <f t="shared" si="5"/>
        <v>728.05267866483246</v>
      </c>
      <c r="AN55" s="59">
        <f ca="1">AVERAGE(OFFSET($AM$3,0,0,'Données projet'!$E$10+1,1))-AVERAGE(OFFSET($H$3,0,0,'Données projet'!$E$10+1,1))</f>
        <v>370.12772664814923</v>
      </c>
      <c r="AO55" s="59">
        <f t="shared" si="36"/>
        <v>292.26503163353146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4.8374219689112747</v>
      </c>
      <c r="AV55" s="21">
        <f>EXP(-LN(2)/25)*AV54+(1-EXP(-LN(2)/25))/(LN(2)/25)*Calculateur!AQ55*Calculateur!AS55*VLOOKUP('Données projet'!$B$10,Paramètres!$A$1:$I$89,3,0)*0.475*44/12</f>
        <v>3.609714099823909</v>
      </c>
      <c r="AW55" s="21">
        <f>EXP(-LN(2)/2)*AW54+(1-EXP(-LN(2)/2))/(LN(2)/2)*AQ55*AT55*VLOOKUP('Données projet'!$B$10,Paramètres!$A$1:$I$89,3,0)*0.475*44/12</f>
        <v>3.8685710476933366E-3</v>
      </c>
      <c r="AX55" s="21">
        <f t="shared" si="6"/>
        <v>8.4510046397828766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10.199999999999999</v>
      </c>
      <c r="BD55" s="12">
        <f>IF('Données projet'!$A$88&gt;35,BD54+BC55-BL54,IF(A55&lt;'Données projet'!$A$88,$BA$205^A55,IF(A55='Données projet'!$A$88,'Données projet'!$B$88,BD54+BC55-BL54)))</f>
        <v>223.4</v>
      </c>
      <c r="BE55" s="13">
        <f>BD55*VLOOKUP('Données projet'!$B$11,Paramètres!$A$1:$I$89,3,0)*VLOOKUP('Données projet'!$B$11,Paramètres!$A$1:$I$89,5,0)</f>
        <v>240.46776</v>
      </c>
      <c r="BF55" s="13">
        <f t="shared" si="37"/>
        <v>58.540159917256176</v>
      </c>
      <c r="BG55" s="20">
        <f t="shared" si="7"/>
        <v>520.77212718922112</v>
      </c>
      <c r="BH55" s="59">
        <f t="shared" si="8"/>
        <v>814.10546052255449</v>
      </c>
      <c r="BI55" s="59">
        <f ca="1">AVERAGE(OFFSET($BH$3,0,0,'Données projet'!$E$11+1,1))-AVERAGE(OFFSET($H$3,0,0,'Données projet'!$E$11+1,1))</f>
        <v>475.01366239340246</v>
      </c>
      <c r="BJ55" s="59">
        <f t="shared" si="38"/>
        <v>322.81767004794284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5.6237654451827392</v>
      </c>
      <c r="BQ55" s="21">
        <f>EXP(-LN(2)/25)*BQ54+(1-EXP(-LN(2)/25))/(LN(2)/25)*Calculateur!BL55*Calculateur!BN55*VLOOKUP('Données projet'!$B$11,Paramètres!$A$1:$I$89,3,0)*0.475*44/12</f>
        <v>6.0535709507025146</v>
      </c>
      <c r="BR55" s="21">
        <f>EXP(-LN(2)/2)*BR54+(1-EXP(-LN(2)/2))/(LN(2)/2)*BL55*BO55*VLOOKUP('Données projet'!$B$11,Paramètres!$A$1:$I$89,3,0)*0.475*44/12</f>
        <v>4.9577674490192437E-3</v>
      </c>
      <c r="BS55" s="22">
        <f t="shared" si="9"/>
        <v>11.682294163334273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8</v>
      </c>
      <c r="BY55" s="12">
        <f>IF('Données projet'!$A$114&gt;35,BY54+BX55-CG54,IF(A55&lt;'Données projet'!$A$114,$BV$205^A55,IF(A55='Données projet'!$A$114,'Données projet'!$B$114,BY54+BX55-CG54)))</f>
        <v>173</v>
      </c>
      <c r="BZ55" s="13">
        <f>BY55*VLOOKUP('Données projet'!$B$12,Paramètres!$A$1:$I$89,3,0)*VLOOKUP('Données projet'!$B$12,Paramètres!$A$1:$I$89,5,0)</f>
        <v>116.0484</v>
      </c>
      <c r="CA55" s="13">
        <f t="shared" si="39"/>
        <v>30.751565097980826</v>
      </c>
      <c r="CB55" s="20">
        <f t="shared" si="10"/>
        <v>255.67660587898322</v>
      </c>
      <c r="CC55" s="59">
        <f t="shared" si="11"/>
        <v>549.00993921231657</v>
      </c>
      <c r="CD55" s="59">
        <f ca="1">AVERAGE(OFFSET($CC$3,0,0,'Données projet'!$E$12+1,1))-AVERAGE(OFFSET($H$3,0,0,'Données projet'!$E$12+1,1))</f>
        <v>254.8851926268614</v>
      </c>
      <c r="CE55" s="59">
        <f t="shared" si="40"/>
        <v>182.11500693273973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1.969934053607076</v>
      </c>
      <c r="CL55" s="21">
        <f>EXP(-LN(2)/25)*CL54+(1-EXP(-LN(2)/25))/(LN(2)/25)*Calculateur!CG55*Calculateur!CI55*VLOOKUP('Données projet'!$B$12,Paramètres!$A$1:$I$89,3,0)*0.475*44/12</f>
        <v>2.08308385225242</v>
      </c>
      <c r="CM55" s="21">
        <f>EXP(-LN(2)/2)*CM54+(1-EXP(-LN(2)/2))/(LN(2)/2)*CG55*CJ55*VLOOKUP('Données projet'!$B$12,Paramètres!$A$1:$I$89,3,0)*0.475*44/12</f>
        <v>2.209194868293512E-3</v>
      </c>
      <c r="CN55" s="22">
        <f t="shared" si="12"/>
        <v>4.05522710072779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5.5128205128205137</v>
      </c>
      <c r="N56" s="13">
        <f>IF('Données projet'!$A$36&gt;35,N55+M56-V55,IF(A56&lt;'Données projet'!$A$36,$K$205^A56,IF(A56='Données projet'!$A$36,'Données projet'!$B$36,N55+M56-V55)))</f>
        <v>154.35897435897448</v>
      </c>
      <c r="O56" s="13">
        <f>N56*VLOOKUP('Données projet'!$B$9,Paramètres!$A$1:$I$89,3,0)*VLOOKUP('Données projet'!$B$9,Paramètres!$A$1:$I$89,5,0)</f>
        <v>161.33600000000015</v>
      </c>
      <c r="P56" s="13">
        <f t="shared" si="33"/>
        <v>41.143707947471945</v>
      </c>
      <c r="Q56" s="20">
        <f t="shared" si="53"/>
        <v>352.65215800851388</v>
      </c>
      <c r="R56" s="59">
        <f t="shared" si="0"/>
        <v>645.98549134184714</v>
      </c>
      <c r="S56" s="59">
        <f ca="1">AVERAGE(OFFSET($R$3,0,0,'Données projet'!$E$9+1,1))-AVERAGE(OFFSET($H$3,0,0,'Données projet'!$E$9+1,1))</f>
        <v>241.84492910369795</v>
      </c>
      <c r="T56" s="59">
        <f t="shared" si="34"/>
        <v>338.04336767245667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3.8395972035880543</v>
      </c>
      <c r="AA56" s="21">
        <f>EXP(-LN(2)/25)*AA55+(1-EXP(-LN(2)/25))/(LN(2)/25)*Calculateur!V56*Calculateur!X56*VLOOKUP('Données projet'!$B$9,Paramètres!$A$1:$I$89,3,0)*0.475*44/12</f>
        <v>7.3438986975887248</v>
      </c>
      <c r="AB56" s="21">
        <f>EXP(-LN(2)/2)*AB55+(1-EXP(-LN(2)/2))/(LN(2)/2)*V56*Y56*VLOOKUP('Données projet'!$B$9,Paramètres!$A$1:$I$89,3,0)*0.475*44/12</f>
        <v>2.9851297589504047E-3</v>
      </c>
      <c r="AC56" s="22">
        <f t="shared" si="3"/>
        <v>11.186481030935731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17.625</v>
      </c>
      <c r="AI56" s="13">
        <f>IF('Données projet'!$A$62&gt;35,AI55+AH56-AQ55,IF(A56&lt;'Données projet'!$A$62,$AF$205^A56,IF(A56='Données projet'!$A$62,'Données projet'!$B$62,AI55+AH56-AQ55)))</f>
        <v>351.87499999999994</v>
      </c>
      <c r="AJ56" s="13">
        <f>AI56*VLOOKUP('Données projet'!$B$10,Paramètres!$A$1:$I$89,3,0)*VLOOKUP('Données projet'!$B$10,Paramètres!$A$1:$I$89,5,0)</f>
        <v>210.42124999999999</v>
      </c>
      <c r="AK56" s="13">
        <f t="shared" si="35"/>
        <v>52.027628682866947</v>
      </c>
      <c r="AL56" s="20">
        <f t="shared" si="4"/>
        <v>457.09846370599325</v>
      </c>
      <c r="AM56" s="59">
        <f t="shared" si="5"/>
        <v>750.43179703932651</v>
      </c>
      <c r="AN56" s="59">
        <f ca="1">AVERAGE(OFFSET($AM$3,0,0,'Données projet'!$E$10+1,1))-AVERAGE(OFFSET($H$3,0,0,'Données projet'!$E$10+1,1))</f>
        <v>370.12772664814923</v>
      </c>
      <c r="AO56" s="59">
        <f t="shared" si="36"/>
        <v>292.26503163353146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4.7425630746369842</v>
      </c>
      <c r="AV56" s="21">
        <f>EXP(-LN(2)/25)*AV55+(1-EXP(-LN(2)/25))/(LN(2)/25)*Calculateur!AQ56*Calculateur!AS56*VLOOKUP('Données projet'!$B$10,Paramètres!$A$1:$I$89,3,0)*0.475*44/12</f>
        <v>3.5110062779376099</v>
      </c>
      <c r="AW56" s="21">
        <f>EXP(-LN(2)/2)*AW55+(1-EXP(-LN(2)/2))/(LN(2)/2)*AQ56*AT56*VLOOKUP('Données projet'!$B$10,Paramètres!$A$1:$I$89,3,0)*0.475*44/12</f>
        <v>2.7354928213259052E-3</v>
      </c>
      <c r="AX56" s="21">
        <f t="shared" si="6"/>
        <v>8.2563048453959205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10.199999999999999</v>
      </c>
      <c r="BD56" s="12">
        <f>IF('Données projet'!$A$88&gt;35,BD55+BC56-BL55,IF(A56&lt;'Données projet'!$A$88,$BA$205^A56,IF(A56='Données projet'!$A$88,'Données projet'!$B$88,BD55+BC56-BL55)))</f>
        <v>233.6</v>
      </c>
      <c r="BE56" s="13">
        <f>BD56*VLOOKUP('Données projet'!$B$11,Paramètres!$A$1:$I$89,3,0)*VLOOKUP('Données projet'!$B$11,Paramètres!$A$1:$I$89,5,0)</f>
        <v>251.44704000000002</v>
      </c>
      <c r="BF56" s="13">
        <f t="shared" si="37"/>
        <v>60.895698530162839</v>
      </c>
      <c r="BG56" s="20">
        <f t="shared" si="7"/>
        <v>543.99693627336694</v>
      </c>
      <c r="BH56" s="59">
        <f t="shared" si="8"/>
        <v>837.33026960670031</v>
      </c>
      <c r="BI56" s="59">
        <f ca="1">AVERAGE(OFFSET($BH$3,0,0,'Données projet'!$E$11+1,1))-AVERAGE(OFFSET($H$3,0,0,'Données projet'!$E$11+1,1))</f>
        <v>475.01366239340246</v>
      </c>
      <c r="BJ56" s="59">
        <f t="shared" si="38"/>
        <v>322.81767004794284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5.5134868349609274</v>
      </c>
      <c r="BQ56" s="21">
        <f>EXP(-LN(2)/25)*BQ55+(1-EXP(-LN(2)/25))/(LN(2)/25)*Calculateur!BL56*Calculateur!BN56*VLOOKUP('Données projet'!$B$11,Paramètres!$A$1:$I$89,3,0)*0.475*44/12</f>
        <v>5.8880357347120933</v>
      </c>
      <c r="BR56" s="21">
        <f>EXP(-LN(2)/2)*BR55+(1-EXP(-LN(2)/2))/(LN(2)/2)*BL56*BO56*VLOOKUP('Données projet'!$B$11,Paramètres!$A$1:$I$89,3,0)*0.475*44/12</f>
        <v>3.5056709827474383E-3</v>
      </c>
      <c r="BS56" s="22">
        <f t="shared" si="9"/>
        <v>11.405028240655767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8</v>
      </c>
      <c r="BY56" s="12">
        <f>IF('Données projet'!$A$114&gt;35,BY55+BX56-CG55,IF(A56&lt;'Données projet'!$A$114,$BV$205^A56,IF(A56='Données projet'!$A$114,'Données projet'!$B$114,BY55+BX56-CG55)))</f>
        <v>181</v>
      </c>
      <c r="BZ56" s="13">
        <f>BY56*VLOOKUP('Données projet'!$B$12,Paramètres!$A$1:$I$89,3,0)*VLOOKUP('Données projet'!$B$12,Paramètres!$A$1:$I$89,5,0)</f>
        <v>121.4148</v>
      </c>
      <c r="CA56" s="13">
        <f t="shared" si="39"/>
        <v>32.004752723504502</v>
      </c>
      <c r="CB56" s="20">
        <f t="shared" si="10"/>
        <v>267.20572099343701</v>
      </c>
      <c r="CC56" s="59">
        <f t="shared" si="11"/>
        <v>560.53905432677038</v>
      </c>
      <c r="CD56" s="59">
        <f ca="1">AVERAGE(OFFSET($CC$3,0,0,'Données projet'!$E$12+1,1))-AVERAGE(OFFSET($H$3,0,0,'Données projet'!$E$12+1,1))</f>
        <v>254.8851926268614</v>
      </c>
      <c r="CE56" s="59">
        <f t="shared" si="40"/>
        <v>182.11500693273973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1.9313048483569715</v>
      </c>
      <c r="CL56" s="21">
        <f>EXP(-LN(2)/25)*CL55+(1-EXP(-LN(2)/25))/(LN(2)/25)*Calculateur!CG56*Calculateur!CI56*VLOOKUP('Données projet'!$B$12,Paramètres!$A$1:$I$89,3,0)*0.475*44/12</f>
        <v>2.0261218147679587</v>
      </c>
      <c r="CM56" s="21">
        <f>EXP(-LN(2)/2)*CM55+(1-EXP(-LN(2)/2))/(LN(2)/2)*CG56*CJ56*VLOOKUP('Données projet'!$B$12,Paramètres!$A$1:$I$89,3,0)*0.475*44/12</f>
        <v>1.5621366723328641E-3</v>
      </c>
      <c r="CN56" s="22">
        <f t="shared" si="12"/>
        <v>3.9589887997972628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5.5128205128205137</v>
      </c>
      <c r="N57" s="13">
        <f>IF('Données projet'!$A$36&gt;35,N56+M57-V56,IF(A57&lt;'Données projet'!$A$36,$K$205^A57,IF(A57='Données projet'!$A$36,'Données projet'!$B$36,N56+M57-V56)))</f>
        <v>159.871794871795</v>
      </c>
      <c r="O57" s="13">
        <f>N57*VLOOKUP('Données projet'!$B$9,Paramètres!$A$1:$I$89,3,0)*VLOOKUP('Données projet'!$B$9,Paramètres!$A$1:$I$89,5,0)</f>
        <v>167.09800000000016</v>
      </c>
      <c r="P57" s="13">
        <f t="shared" si="33"/>
        <v>42.439422250604565</v>
      </c>
      <c r="Q57" s="20">
        <f t="shared" si="53"/>
        <v>364.94434375313654</v>
      </c>
      <c r="R57" s="59">
        <f t="shared" si="0"/>
        <v>658.27767708646979</v>
      </c>
      <c r="S57" s="59">
        <f ca="1">AVERAGE(OFFSET($R$3,0,0,'Données projet'!$E$9+1,1))-AVERAGE(OFFSET($H$3,0,0,'Données projet'!$E$9+1,1))</f>
        <v>241.84492910369795</v>
      </c>
      <c r="T57" s="59">
        <f t="shared" si="34"/>
        <v>338.04336767245667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3.7643050443487409</v>
      </c>
      <c r="AA57" s="21">
        <f>EXP(-LN(2)/25)*AA56+(1-EXP(-LN(2)/25))/(LN(2)/25)*Calculateur!V57*Calculateur!X57*VLOOKUP('Données projet'!$B$9,Paramètres!$A$1:$I$89,3,0)*0.475*44/12</f>
        <v>7.1430794015043135</v>
      </c>
      <c r="AB57" s="21">
        <f>EXP(-LN(2)/2)*AB56+(1-EXP(-LN(2)/2))/(LN(2)/2)*V57*Y57*VLOOKUP('Données projet'!$B$9,Paramètres!$A$1:$I$89,3,0)*0.475*44/12</f>
        <v>2.1108054952755952E-3</v>
      </c>
      <c r="AC57" s="22">
        <f t="shared" si="3"/>
        <v>10.90949525134833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17.625</v>
      </c>
      <c r="AI57" s="13">
        <f>IF('Données projet'!$A$62&gt;35,AI56+AH57-AQ56,IF(A57&lt;'Données projet'!$A$62,$AF$205^A57,IF(A57='Données projet'!$A$62,'Données projet'!$B$62,AI56+AH57-AQ56)))</f>
        <v>369.49999999999994</v>
      </c>
      <c r="AJ57" s="13">
        <f>AI57*VLOOKUP('Données projet'!$B$10,Paramètres!$A$1:$I$89,3,0)*VLOOKUP('Données projet'!$B$10,Paramètres!$A$1:$I$89,5,0)</f>
        <v>220.96099999999996</v>
      </c>
      <c r="AK57" s="13">
        <f t="shared" si="35"/>
        <v>54.323701308314696</v>
      </c>
      <c r="AL57" s="20">
        <f t="shared" si="4"/>
        <v>479.45418811198141</v>
      </c>
      <c r="AM57" s="59">
        <f t="shared" si="5"/>
        <v>772.78752144531472</v>
      </c>
      <c r="AN57" s="59">
        <f ca="1">AVERAGE(OFFSET($AM$3,0,0,'Données projet'!$E$10+1,1))-AVERAGE(OFFSET($H$3,0,0,'Données projet'!$E$10+1,1))</f>
        <v>370.12772664814923</v>
      </c>
      <c r="AO57" s="59">
        <f t="shared" si="36"/>
        <v>292.26503163353146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4.6495643054212001</v>
      </c>
      <c r="AV57" s="21">
        <f>EXP(-LN(2)/25)*AV56+(1-EXP(-LN(2)/25))/(LN(2)/25)*Calculateur!AQ57*Calculateur!AS57*VLOOKUP('Données projet'!$B$10,Paramètres!$A$1:$I$89,3,0)*0.475*44/12</f>
        <v>3.4149976266316102</v>
      </c>
      <c r="AW57" s="21">
        <f>EXP(-LN(2)/2)*AW56+(1-EXP(-LN(2)/2))/(LN(2)/2)*AQ57*AT57*VLOOKUP('Données projet'!$B$10,Paramètres!$A$1:$I$89,3,0)*0.475*44/12</f>
        <v>1.9342855238466685E-3</v>
      </c>
      <c r="AX57" s="21">
        <f t="shared" si="6"/>
        <v>8.0664962175766579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10.199999999999999</v>
      </c>
      <c r="BD57" s="12">
        <f>IF('Données projet'!$A$88&gt;35,BD56+BC57-BL56,IF(A57&lt;'Données projet'!$A$88,$BA$205^A57,IF(A57='Données projet'!$A$88,'Données projet'!$B$88,BD56+BC57-BL56)))</f>
        <v>243.79999999999998</v>
      </c>
      <c r="BE57" s="13">
        <f>BD57*VLOOKUP('Données projet'!$B$11,Paramètres!$A$1:$I$89,3,0)*VLOOKUP('Données projet'!$B$11,Paramètres!$A$1:$I$89,5,0)</f>
        <v>262.42631999999998</v>
      </c>
      <c r="BF57" s="13">
        <f t="shared" si="37"/>
        <v>63.239291401748304</v>
      </c>
      <c r="BG57" s="20">
        <f t="shared" si="7"/>
        <v>567.20093985804488</v>
      </c>
      <c r="BH57" s="59">
        <f t="shared" si="8"/>
        <v>860.53427319137813</v>
      </c>
      <c r="BI57" s="59">
        <f ca="1">AVERAGE(OFFSET($BH$3,0,0,'Données projet'!$E$11+1,1))-AVERAGE(OFFSET($H$3,0,0,'Données projet'!$E$11+1,1))</f>
        <v>475.01366239340246</v>
      </c>
      <c r="BJ57" s="59">
        <f t="shared" si="38"/>
        <v>322.81767004794284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5.4053707210222548</v>
      </c>
      <c r="BQ57" s="21">
        <f>EXP(-LN(2)/25)*BQ56+(1-EXP(-LN(2)/25))/(LN(2)/25)*Calculateur!BL57*Calculateur!BN57*VLOOKUP('Données projet'!$B$11,Paramètres!$A$1:$I$89,3,0)*0.475*44/12</f>
        <v>5.7270270879080494</v>
      </c>
      <c r="BR57" s="21">
        <f>EXP(-LN(2)/2)*BR56+(1-EXP(-LN(2)/2))/(LN(2)/2)*BL57*BO57*VLOOKUP('Données projet'!$B$11,Paramètres!$A$1:$I$89,3,0)*0.475*44/12</f>
        <v>2.4788837245096219E-3</v>
      </c>
      <c r="BS57" s="22">
        <f t="shared" si="9"/>
        <v>11.134876692654814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8</v>
      </c>
      <c r="BY57" s="12">
        <f>IF('Données projet'!$A$114&gt;35,BY56+BX57-CG56,IF(A57&lt;'Données projet'!$A$114,$BV$205^A57,IF(A57='Données projet'!$A$114,'Données projet'!$B$114,BY56+BX57-CG56)))</f>
        <v>189</v>
      </c>
      <c r="BZ57" s="13">
        <f>BY57*VLOOKUP('Données projet'!$B$12,Paramètres!$A$1:$I$89,3,0)*VLOOKUP('Données projet'!$B$12,Paramètres!$A$1:$I$89,5,0)</f>
        <v>126.7812</v>
      </c>
      <c r="CA57" s="13">
        <f t="shared" si="39"/>
        <v>33.251507355059708</v>
      </c>
      <c r="CB57" s="20">
        <f t="shared" si="10"/>
        <v>278.723631976729</v>
      </c>
      <c r="CC57" s="59">
        <f t="shared" si="11"/>
        <v>572.05696531006231</v>
      </c>
      <c r="CD57" s="59">
        <f ca="1">AVERAGE(OFFSET($CC$3,0,0,'Données projet'!$E$12+1,1))-AVERAGE(OFFSET($H$3,0,0,'Données projet'!$E$12+1,1))</f>
        <v>254.8851926268614</v>
      </c>
      <c r="CE57" s="59">
        <f t="shared" si="40"/>
        <v>182.11500693273973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1.8934331382603329</v>
      </c>
      <c r="CL57" s="21">
        <f>EXP(-LN(2)/25)*CL56+(1-EXP(-LN(2)/25))/(LN(2)/25)*Calculateur!CG57*Calculateur!CI57*VLOOKUP('Données projet'!$B$12,Paramètres!$A$1:$I$89,3,0)*0.475*44/12</f>
        <v>1.9707174071940134</v>
      </c>
      <c r="CM57" s="21">
        <f>EXP(-LN(2)/2)*CM56+(1-EXP(-LN(2)/2))/(LN(2)/2)*CG57*CJ57*VLOOKUP('Données projet'!$B$12,Paramètres!$A$1:$I$89,3,0)*0.475*44/12</f>
        <v>1.104597434146756E-3</v>
      </c>
      <c r="CN57" s="22">
        <f t="shared" si="12"/>
        <v>3.8652551428884929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165.38461538461539</v>
      </c>
      <c r="L58" s="12">
        <f>VLOOKUP(A58,'Données projet'!$A$35:$I$55,9,0)</f>
        <v>5.5128205128205137</v>
      </c>
      <c r="M58" s="12">
        <f t="array" ref="M58">INDEX(L:L,MIN(IF(ISNUMBER(L58:L254),ROW(L58:L254),"")))</f>
        <v>5.5128205128205137</v>
      </c>
      <c r="N58" s="13">
        <f>IF('Données projet'!$A$36&gt;35,N57+M58-V57,IF(A58&lt;'Données projet'!$A$36,$K$205^A58,IF(A58='Données projet'!$A$36,'Données projet'!$B$36,N57+M58-V57)))</f>
        <v>165.38461538461553</v>
      </c>
      <c r="O58" s="13">
        <f>N58*VLOOKUP('Données projet'!$B$9,Paramètres!$A$1:$I$89,3,0)*VLOOKUP('Données projet'!$B$9,Paramètres!$A$1:$I$89,5,0)</f>
        <v>172.86000000000016</v>
      </c>
      <c r="P58" s="13">
        <f t="shared" si="33"/>
        <v>43.729945161157879</v>
      </c>
      <c r="Q58" s="20">
        <f t="shared" si="53"/>
        <v>377.22748782235021</v>
      </c>
      <c r="R58" s="59">
        <f t="shared" si="0"/>
        <v>670.56082115568347</v>
      </c>
      <c r="S58" s="59">
        <f ca="1">AVERAGE(OFFSET($R$3,0,0,'Données projet'!$E$9+1,1))-AVERAGE(OFFSET($H$3,0,0,'Données projet'!$E$9+1,1))</f>
        <v>241.84492910369795</v>
      </c>
      <c r="T58" s="59">
        <f t="shared" si="34"/>
        <v>338.04336767245667</v>
      </c>
      <c r="U58" s="15">
        <f>IF(ISNA(VLOOKUP(A58,'Données projet'!$A$35:$I$55,3,0)),0,VLOOKUP(A58,'Données projet'!$A$35:$I$55,3,0))</f>
        <v>9</v>
      </c>
      <c r="V58" s="15">
        <f>IF(ISNA(VLOOKUP(A58,'Données projet'!$A$35:$I$55,4,0)),0,VLOOKUP(A58,'Données projet'!$A$35:$I$55,4,0))</f>
        <v>165.38461538461539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3.690489318428428</v>
      </c>
      <c r="AA58" s="21">
        <f>EXP(-LN(2)/25)*AA57+(1-EXP(-LN(2)/25))/(LN(2)/25)*Calculateur!V58*Calculateur!X58*VLOOKUP('Données projet'!$B$9,Paramètres!$A$1:$I$89,3,0)*0.475*44/12</f>
        <v>6.9477515196319581</v>
      </c>
      <c r="AB58" s="21">
        <f>EXP(-LN(2)/2)*AB57+(1-EXP(-LN(2)/2))/(LN(2)/2)*V58*Y58*VLOOKUP('Données projet'!$B$9,Paramètres!$A$1:$I$89,3,0)*0.475*44/12</f>
        <v>1.4925648794752023E-3</v>
      </c>
      <c r="AC58" s="22">
        <f t="shared" si="3"/>
        <v>10.639733402939862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17.625</v>
      </c>
      <c r="AI58" s="13">
        <f>IF('Données projet'!$A$62&gt;35,AI57+AH58-AQ57,IF(A58&lt;'Données projet'!$A$62,$AF$205^A58,IF(A58='Données projet'!$A$62,'Données projet'!$B$62,AI57+AH58-AQ57)))</f>
        <v>387.12499999999994</v>
      </c>
      <c r="AJ58" s="13">
        <f>AI58*VLOOKUP('Données projet'!$B$10,Paramètres!$A$1:$I$89,3,0)*VLOOKUP('Données projet'!$B$10,Paramètres!$A$1:$I$89,5,0)</f>
        <v>231.50074999999998</v>
      </c>
      <c r="AK58" s="13">
        <f t="shared" si="35"/>
        <v>56.607055837426749</v>
      </c>
      <c r="AL58" s="20">
        <f t="shared" si="4"/>
        <v>501.78776183351812</v>
      </c>
      <c r="AM58" s="59">
        <f t="shared" si="5"/>
        <v>795.12109516685143</v>
      </c>
      <c r="AN58" s="59">
        <f ca="1">AVERAGE(OFFSET($AM$3,0,0,'Données projet'!$E$10+1,1))-AVERAGE(OFFSET($H$3,0,0,'Données projet'!$E$10+1,1))</f>
        <v>370.12772664814923</v>
      </c>
      <c r="AO58" s="59">
        <f t="shared" si="36"/>
        <v>292.26503163353146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4.5583891853460896</v>
      </c>
      <c r="AV58" s="21">
        <f>EXP(-LN(2)/25)*AV57+(1-EXP(-LN(2)/25))/(LN(2)/25)*Calculateur!AQ58*Calculateur!AS58*VLOOKUP('Données projet'!$B$10,Paramètres!$A$1:$I$89,3,0)*0.475*44/12</f>
        <v>3.3216143369444486</v>
      </c>
      <c r="AW58" s="21">
        <f>EXP(-LN(2)/2)*AW57+(1-EXP(-LN(2)/2))/(LN(2)/2)*AQ58*AT58*VLOOKUP('Données projet'!$B$10,Paramètres!$A$1:$I$89,3,0)*0.475*44/12</f>
        <v>1.3677464106629528E-3</v>
      </c>
      <c r="AX58" s="21">
        <f t="shared" si="6"/>
        <v>7.8813712687012014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254</v>
      </c>
      <c r="BB58" s="12">
        <f>VLOOKUP(A58,'Données projet'!$A$87:$I$107,9,0)</f>
        <v>10.199999999999999</v>
      </c>
      <c r="BC58" s="12">
        <f t="array" ref="BC58">INDEX(BB:BB,MIN(IF(ISNUMBER(BB58:BB254),ROW(BB58:BB254),"")))</f>
        <v>10.199999999999999</v>
      </c>
      <c r="BD58" s="12">
        <f>IF('Données projet'!$A$88&gt;35,BD57+BC58-BL57,IF(A58&lt;'Données projet'!$A$88,$BA$205^A58,IF(A58='Données projet'!$A$88,'Données projet'!$B$88,BD57+BC58-BL57)))</f>
        <v>253.99999999999997</v>
      </c>
      <c r="BE58" s="13">
        <f>BD58*VLOOKUP('Données projet'!$B$11,Paramètres!$A$1:$I$89,3,0)*VLOOKUP('Données projet'!$B$11,Paramètres!$A$1:$I$89,5,0)</f>
        <v>273.40559999999994</v>
      </c>
      <c r="BF58" s="13">
        <f t="shared" si="37"/>
        <v>65.571495462320897</v>
      </c>
      <c r="BG58" s="20">
        <f t="shared" si="7"/>
        <v>590.38510793020873</v>
      </c>
      <c r="BH58" s="59">
        <f t="shared" si="8"/>
        <v>883.71844126354199</v>
      </c>
      <c r="BI58" s="59">
        <f ca="1">AVERAGE(OFFSET($BH$3,0,0,'Données projet'!$E$11+1,1))-AVERAGE(OFFSET($H$3,0,0,'Données projet'!$E$11+1,1))</f>
        <v>475.01366239340246</v>
      </c>
      <c r="BJ58" s="59">
        <f t="shared" si="38"/>
        <v>322.81767004794284</v>
      </c>
      <c r="BK58" s="15">
        <f>IF(ISNA(VLOOKUP(A58,'Données projet'!$A$87:$I$107,3,0)),0,VLOOKUP(A58,'Données projet'!$A$87:$I$107,3,0))</f>
        <v>8</v>
      </c>
      <c r="BL58" s="15">
        <f>IF(ISNA(VLOOKUP(A58,'Données projet'!$A$87:$I$107,4,0)),0,VLOOKUP(A58,'Données projet'!$A$87:$I$107,4,0))</f>
        <v>28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5.299374698133601</v>
      </c>
      <c r="BQ58" s="21">
        <f>EXP(-LN(2)/25)*BQ57+(1-EXP(-LN(2)/25))/(LN(2)/25)*Calculateur!BL58*Calculateur!BN58*VLOOKUP('Données projet'!$B$11,Paramètres!$A$1:$I$89,3,0)*0.475*44/12</f>
        <v>5.5704212310179386</v>
      </c>
      <c r="BR58" s="21">
        <f>EXP(-LN(2)/2)*BR57+(1-EXP(-LN(2)/2))/(LN(2)/2)*BL58*BO58*VLOOKUP('Données projet'!$B$11,Paramètres!$A$1:$I$89,3,0)*0.475*44/12</f>
        <v>1.7528354913737192E-3</v>
      </c>
      <c r="BS58" s="22">
        <f t="shared" si="9"/>
        <v>10.871548764642913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197</v>
      </c>
      <c r="BW58" s="12">
        <f>VLOOKUP(A58,'Données projet'!$A$113:$I$133,9,0)</f>
        <v>8</v>
      </c>
      <c r="BX58" s="12">
        <f t="array" ref="BX58">INDEX(BW:BW,MIN(IF(ISNUMBER(BW58:BW254),ROW(BW58:BW254),"")))</f>
        <v>8</v>
      </c>
      <c r="BY58" s="12">
        <f>IF('Données projet'!$A$114&gt;35,BY57+BX58-CG57,IF(A58&lt;'Données projet'!$A$114,$BV$205^A58,IF(A58='Données projet'!$A$114,'Données projet'!$B$114,BY57+BX58-CG57)))</f>
        <v>197</v>
      </c>
      <c r="BZ58" s="13">
        <f>BY58*VLOOKUP('Données projet'!$B$12,Paramètres!$A$1:$I$89,3,0)*VLOOKUP('Données projet'!$B$12,Paramètres!$A$1:$I$89,5,0)</f>
        <v>132.14759999999998</v>
      </c>
      <c r="CA58" s="13">
        <f t="shared" si="39"/>
        <v>34.492132421153357</v>
      </c>
      <c r="CB58" s="20">
        <f t="shared" si="10"/>
        <v>290.23086730017536</v>
      </c>
      <c r="CC58" s="59">
        <f t="shared" si="11"/>
        <v>583.56420063350868</v>
      </c>
      <c r="CD58" s="59">
        <f ca="1">AVERAGE(OFFSET($CC$3,0,0,'Données projet'!$E$12+1,1))-AVERAGE(OFFSET($H$3,0,0,'Données projet'!$E$12+1,1))</f>
        <v>254.8851926268614</v>
      </c>
      <c r="CE58" s="59">
        <f t="shared" si="40"/>
        <v>182.11500693273973</v>
      </c>
      <c r="CF58" s="15">
        <f>IF(ISNA(VLOOKUP(A58,'Données projet'!$A$113:$I$133,3,0)),0,VLOOKUP(A58,'Données projet'!$A$113:$I$133,3,0))</f>
        <v>7</v>
      </c>
      <c r="CG58" s="15">
        <f>IF(ISNA(VLOOKUP(A58,'Données projet'!$A$113:$I$133,4,0)),0,VLOOKUP(A58,'Données projet'!$A$113:$I$133,4,0))</f>
        <v>21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1.8563040692992272</v>
      </c>
      <c r="CL58" s="21">
        <f>EXP(-LN(2)/25)*CL57+(1-EXP(-LN(2)/25))/(LN(2)/25)*Calculateur!CG58*Calculateur!CI58*VLOOKUP('Données projet'!$B$12,Paramètres!$A$1:$I$89,3,0)*0.475*44/12</f>
        <v>1.9168280360587688</v>
      </c>
      <c r="CM58" s="21">
        <f>EXP(-LN(2)/2)*CM57+(1-EXP(-LN(2)/2))/(LN(2)/2)*CG58*CJ58*VLOOKUP('Données projet'!$B$12,Paramètres!$A$1:$I$89,3,0)*0.475*44/12</f>
        <v>7.8106833616643204E-4</v>
      </c>
      <c r="CN58" s="22">
        <f t="shared" si="12"/>
        <v>3.7739131736941625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1.4210854715202004E-13</v>
      </c>
      <c r="O59" s="13">
        <f>N59*VLOOKUP('Données projet'!$B$9,Paramètres!$A$1:$I$89,3,0)*VLOOKUP('Données projet'!$B$9,Paramètres!$A$1:$I$89,5,0)</f>
        <v>1.4853185348329134E-13</v>
      </c>
      <c r="P59" s="13">
        <f t="shared" si="33"/>
        <v>2.1309431512949395E-12</v>
      </c>
      <c r="Q59" s="20">
        <f t="shared" si="53"/>
        <v>3.9700856333220852E-12</v>
      </c>
      <c r="R59" s="59">
        <f t="shared" si="0"/>
        <v>293.33333333333729</v>
      </c>
      <c r="S59" s="59">
        <f ca="1">AVERAGE(OFFSET($R$3,0,0,'Données projet'!$E$9+1,1))-AVERAGE(OFFSET($H$3,0,0,'Données projet'!$E$9+1,1))</f>
        <v>241.84492910369795</v>
      </c>
      <c r="T59" s="59">
        <f t="shared" si="34"/>
        <v>338.04336767245667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3.6181210738702654</v>
      </c>
      <c r="AA59" s="21">
        <f>EXP(-LN(2)/25)*AA58+(1-EXP(-LN(2)/25))/(LN(2)/25)*Calculateur!V59*Calculateur!X59*VLOOKUP('Données projet'!$B$9,Paramètres!$A$1:$I$89,3,0)*0.475*44/12</f>
        <v>6.7577648889612494</v>
      </c>
      <c r="AB59" s="21">
        <f>EXP(-LN(2)/2)*AB58+(1-EXP(-LN(2)/2))/(LN(2)/2)*V59*Y59*VLOOKUP('Données projet'!$B$9,Paramètres!$A$1:$I$89,3,0)*0.475*44/12</f>
        <v>1.0554027476377976E-3</v>
      </c>
      <c r="AC59" s="22">
        <f t="shared" si="3"/>
        <v>10.376941365579151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17.625</v>
      </c>
      <c r="AI59" s="13">
        <f>IF('Données projet'!$A$62&gt;35,AI58+AH59-AQ58,IF(A59&lt;'Données projet'!$A$62,$AF$205^A59,IF(A59='Données projet'!$A$62,'Données projet'!$B$62,AI58+AH59-AQ58)))</f>
        <v>404.74999999999994</v>
      </c>
      <c r="AJ59" s="13">
        <f>AI59*VLOOKUP('Données projet'!$B$10,Paramètres!$A$1:$I$89,3,0)*VLOOKUP('Données projet'!$B$10,Paramètres!$A$1:$I$89,5,0)</f>
        <v>242.04049999999998</v>
      </c>
      <c r="AK59" s="13">
        <f t="shared" si="35"/>
        <v>58.878337443371535</v>
      </c>
      <c r="AL59" s="20">
        <f t="shared" si="4"/>
        <v>524.10030854720526</v>
      </c>
      <c r="AM59" s="59">
        <f t="shared" si="5"/>
        <v>817.43364188053852</v>
      </c>
      <c r="AN59" s="59">
        <f ca="1">AVERAGE(OFFSET($AM$3,0,0,'Données projet'!$E$10+1,1))-AVERAGE(OFFSET($H$3,0,0,'Données projet'!$E$10+1,1))</f>
        <v>370.12772664814923</v>
      </c>
      <c r="AO59" s="59">
        <f t="shared" si="36"/>
        <v>292.26503163353146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4.4690019537643195</v>
      </c>
      <c r="AV59" s="21">
        <f>EXP(-LN(2)/25)*AV58+(1-EXP(-LN(2)/25))/(LN(2)/25)*Calculateur!AQ59*Calculateur!AS59*VLOOKUP('Données projet'!$B$10,Paramètres!$A$1:$I$89,3,0)*0.475*44/12</f>
        <v>3.2307846182245963</v>
      </c>
      <c r="AW59" s="21">
        <f>EXP(-LN(2)/2)*AW58+(1-EXP(-LN(2)/2))/(LN(2)/2)*AQ59*AT59*VLOOKUP('Données projet'!$B$10,Paramètres!$A$1:$I$89,3,0)*0.475*44/12</f>
        <v>9.6714276192333447E-4</v>
      </c>
      <c r="AX59" s="21">
        <f t="shared" si="6"/>
        <v>7.7007537147508396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9.4</v>
      </c>
      <c r="BD59" s="12">
        <f>IF('Données projet'!$A$88&gt;35,BD58+BC59-BL58,IF(A59&lt;'Données projet'!$A$88,$BA$205^A59,IF(A59='Données projet'!$A$88,'Données projet'!$B$88,BD58+BC59-BL58)))</f>
        <v>235.39999999999998</v>
      </c>
      <c r="BE59" s="13">
        <f>BD59*VLOOKUP('Données projet'!$B$11,Paramètres!$A$1:$I$89,3,0)*VLOOKUP('Données projet'!$B$11,Paramètres!$A$1:$I$89,5,0)</f>
        <v>253.38455999999994</v>
      </c>
      <c r="BF59" s="13">
        <f t="shared" si="37"/>
        <v>61.310125241957316</v>
      </c>
      <c r="BG59" s="20">
        <f t="shared" si="7"/>
        <v>548.09324346307551</v>
      </c>
      <c r="BH59" s="59">
        <f t="shared" si="8"/>
        <v>841.42657679640888</v>
      </c>
      <c r="BI59" s="59">
        <f ca="1">AVERAGE(OFFSET($BH$3,0,0,'Données projet'!$E$11+1,1))-AVERAGE(OFFSET($H$3,0,0,'Données projet'!$E$11+1,1))</f>
        <v>475.01366239340246</v>
      </c>
      <c r="BJ59" s="59">
        <f t="shared" si="38"/>
        <v>322.81767004794284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5.1954571926026034</v>
      </c>
      <c r="BQ59" s="21">
        <f>EXP(-LN(2)/25)*BQ58+(1-EXP(-LN(2)/25))/(LN(2)/25)*Calculateur!BL59*Calculateur!BN59*VLOOKUP('Données projet'!$B$11,Paramètres!$A$1:$I$89,3,0)*0.475*44/12</f>
        <v>5.4180977695200321</v>
      </c>
      <c r="BR59" s="21">
        <f>EXP(-LN(2)/2)*BR58+(1-EXP(-LN(2)/2))/(LN(2)/2)*BL59*BO59*VLOOKUP('Données projet'!$B$11,Paramètres!$A$1:$I$89,3,0)*0.475*44/12</f>
        <v>1.2394418622548109E-3</v>
      </c>
      <c r="BS59" s="22">
        <f t="shared" si="9"/>
        <v>10.61479440398489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7.6</v>
      </c>
      <c r="BY59" s="12">
        <f>IF('Données projet'!$A$114&gt;35,BY58+BX59-CG58,IF(A59&lt;'Données projet'!$A$114,$BV$205^A59,IF(A59='Données projet'!$A$114,'Données projet'!$B$114,BY58+BX59-CG58)))</f>
        <v>183.6</v>
      </c>
      <c r="BZ59" s="13">
        <f>BY59*VLOOKUP('Données projet'!$B$12,Paramètres!$A$1:$I$89,3,0)*VLOOKUP('Données projet'!$B$12,Paramètres!$A$1:$I$89,5,0)</f>
        <v>123.15888</v>
      </c>
      <c r="CA59" s="13">
        <f t="shared" si="39"/>
        <v>32.410638331814873</v>
      </c>
      <c r="CB59" s="20">
        <f t="shared" si="10"/>
        <v>270.95024442791089</v>
      </c>
      <c r="CC59" s="59">
        <f t="shared" si="11"/>
        <v>564.28357776124426</v>
      </c>
      <c r="CD59" s="59">
        <f ca="1">AVERAGE(OFFSET($CC$3,0,0,'Données projet'!$E$12+1,1))-AVERAGE(OFFSET($H$3,0,0,'Données projet'!$E$12+1,1))</f>
        <v>254.8851926268614</v>
      </c>
      <c r="CE59" s="59">
        <f t="shared" si="40"/>
        <v>182.11500693273973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1.8199030787339527</v>
      </c>
      <c r="CL59" s="21">
        <f>EXP(-LN(2)/25)*CL58+(1-EXP(-LN(2)/25))/(LN(2)/25)*Calculateur!CG59*Calculateur!CI59*VLOOKUP('Données projet'!$B$12,Paramètres!$A$1:$I$89,3,0)*0.475*44/12</f>
        <v>1.8644122726111363</v>
      </c>
      <c r="CM59" s="21">
        <f>EXP(-LN(2)/2)*CM58+(1-EXP(-LN(2)/2))/(LN(2)/2)*CG59*CJ59*VLOOKUP('Données projet'!$B$12,Paramètres!$A$1:$I$89,3,0)*0.475*44/12</f>
        <v>5.52298717073378E-4</v>
      </c>
      <c r="CN59" s="22">
        <f t="shared" si="12"/>
        <v>3.684867650062162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1.4210854715202004E-13</v>
      </c>
      <c r="O60" s="13">
        <f>N60*VLOOKUP('Données projet'!$B$9,Paramètres!$A$1:$I$89,3,0)*VLOOKUP('Données projet'!$B$9,Paramètres!$A$1:$I$89,5,0)</f>
        <v>1.4853185348329134E-13</v>
      </c>
      <c r="P60" s="13">
        <f t="shared" si="33"/>
        <v>2.1309431512949395E-12</v>
      </c>
      <c r="Q60" s="20">
        <f t="shared" si="53"/>
        <v>3.9700856333220852E-12</v>
      </c>
      <c r="R60" s="59">
        <f t="shared" si="0"/>
        <v>293.33333333333729</v>
      </c>
      <c r="S60" s="59">
        <f ca="1">AVERAGE(OFFSET($R$3,0,0,'Données projet'!$E$9+1,1))-AVERAGE(OFFSET($H$3,0,0,'Données projet'!$E$9+1,1))</f>
        <v>241.84492910369795</v>
      </c>
      <c r="T60" s="59">
        <f t="shared" si="34"/>
        <v>338.04336767245667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3.5471719264476178</v>
      </c>
      <c r="AA60" s="21">
        <f>EXP(-LN(2)/25)*AA59+(1-EXP(-LN(2)/25))/(LN(2)/25)*Calculateur!V60*Calculateur!X60*VLOOKUP('Données projet'!$B$9,Paramètres!$A$1:$I$89,3,0)*0.475*44/12</f>
        <v>6.5729734526971937</v>
      </c>
      <c r="AB60" s="21">
        <f>EXP(-LN(2)/2)*AB59+(1-EXP(-LN(2)/2))/(LN(2)/2)*V60*Y60*VLOOKUP('Données projet'!$B$9,Paramètres!$A$1:$I$89,3,0)*0.475*44/12</f>
        <v>7.4628243973760117E-4</v>
      </c>
      <c r="AC60" s="22">
        <f t="shared" si="3"/>
        <v>10.120891661584549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17.625</v>
      </c>
      <c r="AI60" s="13">
        <f>IF('Données projet'!$A$62&gt;35,AI59+AH60-AQ59,IF(A60&lt;'Données projet'!$A$62,$AF$205^A60,IF(A60='Données projet'!$A$62,'Données projet'!$B$62,AI59+AH60-AQ59)))</f>
        <v>422.37499999999994</v>
      </c>
      <c r="AJ60" s="13">
        <f>AI60*VLOOKUP('Données projet'!$B$10,Paramètres!$A$1:$I$89,3,0)*VLOOKUP('Données projet'!$B$10,Paramètres!$A$1:$I$89,5,0)</f>
        <v>252.58025000000001</v>
      </c>
      <c r="AK60" s="13">
        <f t="shared" si="35"/>
        <v>61.138131933251593</v>
      </c>
      <c r="AL60" s="20">
        <f t="shared" si="4"/>
        <v>546.39284853374647</v>
      </c>
      <c r="AM60" s="59">
        <f t="shared" si="5"/>
        <v>839.72618186707973</v>
      </c>
      <c r="AN60" s="59">
        <f ca="1">AVERAGE(OFFSET($AM$3,0,0,'Données projet'!$E$10+1,1))-AVERAGE(OFFSET($H$3,0,0,'Données projet'!$E$10+1,1))</f>
        <v>370.12772664814923</v>
      </c>
      <c r="AO60" s="59">
        <f t="shared" si="36"/>
        <v>292.26503163353146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4.3813675512730406</v>
      </c>
      <c r="AV60" s="21">
        <f>EXP(-LN(2)/25)*AV59+(1-EXP(-LN(2)/25))/(LN(2)/25)*Calculateur!AQ60*Calculateur!AS60*VLOOKUP('Données projet'!$B$10,Paramètres!$A$1:$I$89,3,0)*0.475*44/12</f>
        <v>3.1424386429396658</v>
      </c>
      <c r="AW60" s="21">
        <f>EXP(-LN(2)/2)*AW59+(1-EXP(-LN(2)/2))/(LN(2)/2)*AQ60*AT60*VLOOKUP('Données projet'!$B$10,Paramètres!$A$1:$I$89,3,0)*0.475*44/12</f>
        <v>6.8387320533147653E-4</v>
      </c>
      <c r="AX60" s="21">
        <f t="shared" si="6"/>
        <v>7.5244900674180384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9.4</v>
      </c>
      <c r="BD60" s="12">
        <f>IF('Données projet'!$A$88&gt;35,BD59+BC60-BL59,IF(A60&lt;'Données projet'!$A$88,$BA$205^A60,IF(A60='Données projet'!$A$88,'Données projet'!$B$88,BD59+BC60-BL59)))</f>
        <v>244.79999999999998</v>
      </c>
      <c r="BE60" s="13">
        <f>BD60*VLOOKUP('Données projet'!$B$11,Paramètres!$A$1:$I$89,3,0)*VLOOKUP('Données projet'!$B$11,Paramètres!$A$1:$I$89,5,0)</f>
        <v>263.50271999999995</v>
      </c>
      <c r="BF60" s="13">
        <f t="shared" si="37"/>
        <v>63.468433809179686</v>
      </c>
      <c r="BG60" s="20">
        <f t="shared" si="7"/>
        <v>569.47475955098787</v>
      </c>
      <c r="BH60" s="59">
        <f t="shared" si="8"/>
        <v>862.80809288432124</v>
      </c>
      <c r="BI60" s="59">
        <f ca="1">AVERAGE(OFFSET($BH$3,0,0,'Données projet'!$E$11+1,1))-AVERAGE(OFFSET($H$3,0,0,'Données projet'!$E$11+1,1))</f>
        <v>475.01366239340246</v>
      </c>
      <c r="BJ60" s="59">
        <f t="shared" si="38"/>
        <v>322.81767004794284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5.0935774459716496</v>
      </c>
      <c r="BQ60" s="21">
        <f>EXP(-LN(2)/25)*BQ59+(1-EXP(-LN(2)/25))/(LN(2)/25)*Calculateur!BL60*Calculateur!BN60*VLOOKUP('Données projet'!$B$11,Paramètres!$A$1:$I$89,3,0)*0.475*44/12</f>
        <v>5.2699396010871284</v>
      </c>
      <c r="BR60" s="21">
        <f>EXP(-LN(2)/2)*BR59+(1-EXP(-LN(2)/2))/(LN(2)/2)*BL60*BO60*VLOOKUP('Données projet'!$B$11,Paramètres!$A$1:$I$89,3,0)*0.475*44/12</f>
        <v>8.7641774568685959E-4</v>
      </c>
      <c r="BS60" s="22">
        <f t="shared" si="9"/>
        <v>10.364393464804465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7.6</v>
      </c>
      <c r="BY60" s="12">
        <f>IF('Données projet'!$A$114&gt;35,BY59+BX60-CG59,IF(A60&lt;'Données projet'!$A$114,$BV$205^A60,IF(A60='Données projet'!$A$114,'Données projet'!$B$114,BY59+BX60-CG59)))</f>
        <v>191.2</v>
      </c>
      <c r="BZ60" s="13">
        <f>BY60*VLOOKUP('Données projet'!$B$12,Paramètres!$A$1:$I$89,3,0)*VLOOKUP('Données projet'!$B$12,Paramètres!$A$1:$I$89,5,0)</f>
        <v>128.25695999999999</v>
      </c>
      <c r="CA60" s="13">
        <f t="shared" si="39"/>
        <v>33.593278089661865</v>
      </c>
      <c r="CB60" s="20">
        <f t="shared" si="10"/>
        <v>281.88916467282769</v>
      </c>
      <c r="CC60" s="59">
        <f t="shared" si="11"/>
        <v>575.222498006161</v>
      </c>
      <c r="CD60" s="59">
        <f ca="1">AVERAGE(OFFSET($CC$3,0,0,'Données projet'!$E$12+1,1))-AVERAGE(OFFSET($H$3,0,0,'Données projet'!$E$12+1,1))</f>
        <v>254.8851926268614</v>
      </c>
      <c r="CE60" s="59">
        <f t="shared" si="40"/>
        <v>182.11500693273973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1.7842158893912514</v>
      </c>
      <c r="CL60" s="21">
        <f>EXP(-LN(2)/25)*CL59+(1-EXP(-LN(2)/25))/(LN(2)/25)*Calculateur!CG60*Calculateur!CI60*VLOOKUP('Données projet'!$B$12,Paramètres!$A$1:$I$89,3,0)*0.475*44/12</f>
        <v>1.8134298209714046</v>
      </c>
      <c r="CM60" s="21">
        <f>EXP(-LN(2)/2)*CM59+(1-EXP(-LN(2)/2))/(LN(2)/2)*CG60*CJ60*VLOOKUP('Données projet'!$B$12,Paramètres!$A$1:$I$89,3,0)*0.475*44/12</f>
        <v>3.9053416808321602E-4</v>
      </c>
      <c r="CN60" s="22">
        <f t="shared" si="12"/>
        <v>3.5980362445307392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1.4210854715202004E-13</v>
      </c>
      <c r="O61" s="13">
        <f>N61*VLOOKUP('Données projet'!$B$9,Paramètres!$A$1:$I$89,3,0)*VLOOKUP('Données projet'!$B$9,Paramètres!$A$1:$I$89,5,0)</f>
        <v>1.4853185348329134E-13</v>
      </c>
      <c r="P61" s="13">
        <f t="shared" si="33"/>
        <v>2.1309431512949395E-12</v>
      </c>
      <c r="Q61" s="20">
        <f t="shared" si="53"/>
        <v>3.9700856333220852E-12</v>
      </c>
      <c r="R61" s="59">
        <f t="shared" si="0"/>
        <v>293.33333333333729</v>
      </c>
      <c r="S61" s="59">
        <f ca="1">AVERAGE(OFFSET($R$3,0,0,'Données projet'!$E$9+1,1))-AVERAGE(OFFSET($H$3,0,0,'Données projet'!$E$9+1,1))</f>
        <v>241.84492910369795</v>
      </c>
      <c r="T61" s="59">
        <f t="shared" si="34"/>
        <v>338.04336767245667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3.4776140485312212</v>
      </c>
      <c r="AA61" s="21">
        <f>EXP(-LN(2)/25)*AA60+(1-EXP(-LN(2)/25))/(LN(2)/25)*Calculateur!V61*Calculateur!X61*VLOOKUP('Données projet'!$B$9,Paramètres!$A$1:$I$89,3,0)*0.475*44/12</f>
        <v>6.3932351479755374</v>
      </c>
      <c r="AB61" s="21">
        <f>EXP(-LN(2)/2)*AB60+(1-EXP(-LN(2)/2))/(LN(2)/2)*V61*Y61*VLOOKUP('Données projet'!$B$9,Paramètres!$A$1:$I$89,3,0)*0.475*44/12</f>
        <v>5.2770137381889879E-4</v>
      </c>
      <c r="AC61" s="22">
        <f t="shared" si="3"/>
        <v>9.8713768978805785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>
        <f>VLOOKUP(A61,'Données projet'!$A$61:$I$81,2,0)</f>
        <v>440</v>
      </c>
      <c r="AG61" s="12">
        <f>VLOOKUP(A61,'Données projet'!$A$61:$I$81,9,0)</f>
        <v>17.625</v>
      </c>
      <c r="AH61" s="12">
        <f t="array" ref="AH61">INDEX(AG:AG,MIN(IF(ISNUMBER(AG61:AG257),ROW(AG61:AG257),"")))</f>
        <v>17.625</v>
      </c>
      <c r="AI61" s="13">
        <f>IF('Données projet'!$A$62&gt;35,AI60+AH61-AQ60,IF(A61&lt;'Données projet'!$A$62,$AF$205^A61,IF(A61='Données projet'!$A$62,'Données projet'!$B$62,AI60+AH61-AQ60)))</f>
        <v>439.99999999999994</v>
      </c>
      <c r="AJ61" s="13">
        <f>AI61*VLOOKUP('Données projet'!$B$10,Paramètres!$A$1:$I$89,3,0)*VLOOKUP('Données projet'!$B$10,Paramètres!$A$1:$I$89,5,0)</f>
        <v>263.12</v>
      </c>
      <c r="AK61" s="13">
        <f t="shared" si="35"/>
        <v>63.386973458752003</v>
      </c>
      <c r="AL61" s="20">
        <f t="shared" si="4"/>
        <v>568.66631210732646</v>
      </c>
      <c r="AM61" s="59">
        <f t="shared" si="5"/>
        <v>861.99964544065983</v>
      </c>
      <c r="AN61" s="59">
        <f ca="1">AVERAGE(OFFSET($AM$3,0,0,'Données projet'!$E$10+1,1))-AVERAGE(OFFSET($H$3,0,0,'Données projet'!$E$10+1,1))</f>
        <v>370.12772664814923</v>
      </c>
      <c r="AO61" s="59">
        <f t="shared" si="36"/>
        <v>292.26503163353146</v>
      </c>
      <c r="AP61" s="15">
        <f>IF(ISNA(VLOOKUP(A61,'Données projet'!$A$61:$I$81,3,0)),0,VLOOKUP(A61,'Données projet'!$A$61:$I$81,3,0))</f>
        <v>8</v>
      </c>
      <c r="AQ61" s="15">
        <f>IF(ISNA(VLOOKUP(A61,'Données projet'!$A$61:$I$81,4,0)),0,VLOOKUP(A61,'Données projet'!$A$61:$I$81,4,0))</f>
        <v>78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4.2954516059629082</v>
      </c>
      <c r="AV61" s="21">
        <f>EXP(-LN(2)/25)*AV60+(1-EXP(-LN(2)/25))/(LN(2)/25)*Calculateur!AQ61*Calculateur!AS61*VLOOKUP('Données projet'!$B$10,Paramètres!$A$1:$I$89,3,0)*0.475*44/12</f>
        <v>3.0565084929948148</v>
      </c>
      <c r="AW61" s="21">
        <f>EXP(-LN(2)/2)*AW60+(1-EXP(-LN(2)/2))/(LN(2)/2)*AQ61*AT61*VLOOKUP('Données projet'!$B$10,Paramètres!$A$1:$I$89,3,0)*0.475*44/12</f>
        <v>4.8357138096166729E-4</v>
      </c>
      <c r="AX61" s="21">
        <f t="shared" si="6"/>
        <v>7.3524436703386851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9.4</v>
      </c>
      <c r="BD61" s="12">
        <f>IF('Données projet'!$A$88&gt;35,BD60+BC61-BL60,IF(A61&lt;'Données projet'!$A$88,$BA$205^A61,IF(A61='Données projet'!$A$88,'Données projet'!$B$88,BD60+BC61-BL60)))</f>
        <v>254.2</v>
      </c>
      <c r="BE61" s="13">
        <f>BD61*VLOOKUP('Données projet'!$B$11,Paramètres!$A$1:$I$89,3,0)*VLOOKUP('Données projet'!$B$11,Paramètres!$A$1:$I$89,5,0)</f>
        <v>273.62087999999994</v>
      </c>
      <c r="BF61" s="13">
        <f t="shared" si="37"/>
        <v>65.617114611149361</v>
      </c>
      <c r="BG61" s="20">
        <f t="shared" si="7"/>
        <v>590.83950728108505</v>
      </c>
      <c r="BH61" s="59">
        <f t="shared" si="8"/>
        <v>884.17284061441842</v>
      </c>
      <c r="BI61" s="59">
        <f ca="1">AVERAGE(OFFSET($BH$3,0,0,'Données projet'!$E$11+1,1))-AVERAGE(OFFSET($H$3,0,0,'Données projet'!$E$11+1,1))</f>
        <v>475.01366239340246</v>
      </c>
      <c r="BJ61" s="59">
        <f t="shared" si="38"/>
        <v>322.81767004794284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4.9936954990316194</v>
      </c>
      <c r="BQ61" s="21">
        <f>EXP(-LN(2)/25)*BQ60+(1-EXP(-LN(2)/25))/(LN(2)/25)*Calculateur!BL61*Calculateur!BN61*VLOOKUP('Données projet'!$B$11,Paramètres!$A$1:$I$89,3,0)*0.475*44/12</f>
        <v>5.1258328255613215</v>
      </c>
      <c r="BR61" s="21">
        <f>EXP(-LN(2)/2)*BR60+(1-EXP(-LN(2)/2))/(LN(2)/2)*BL61*BO61*VLOOKUP('Données projet'!$B$11,Paramètres!$A$1:$I$89,3,0)*0.475*44/12</f>
        <v>6.1972093112740547E-4</v>
      </c>
      <c r="BS61" s="22">
        <f t="shared" si="9"/>
        <v>10.120148045524068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7.6</v>
      </c>
      <c r="BY61" s="12">
        <f>IF('Données projet'!$A$114&gt;35,BY60+BX61-CG60,IF(A61&lt;'Données projet'!$A$114,$BV$205^A61,IF(A61='Données projet'!$A$114,'Données projet'!$B$114,BY60+BX61-CG60)))</f>
        <v>198.79999999999998</v>
      </c>
      <c r="BZ61" s="13">
        <f>BY61*VLOOKUP('Données projet'!$B$12,Paramètres!$A$1:$I$89,3,0)*VLOOKUP('Données projet'!$B$12,Paramètres!$A$1:$I$89,5,0)</f>
        <v>133.35504</v>
      </c>
      <c r="CA61" s="13">
        <f t="shared" si="39"/>
        <v>34.770457155821241</v>
      </c>
      <c r="CB61" s="20">
        <f t="shared" si="10"/>
        <v>292.81857421305534</v>
      </c>
      <c r="CC61" s="59">
        <f t="shared" si="11"/>
        <v>586.15190754638866</v>
      </c>
      <c r="CD61" s="59">
        <f ca="1">AVERAGE(OFFSET($CC$3,0,0,'Données projet'!$E$12+1,1))-AVERAGE(OFFSET($H$3,0,0,'Données projet'!$E$12+1,1))</f>
        <v>254.8851926268614</v>
      </c>
      <c r="CE61" s="59">
        <f t="shared" si="40"/>
        <v>182.11500693273973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1.7492285040645243</v>
      </c>
      <c r="CL61" s="21">
        <f>EXP(-LN(2)/25)*CL60+(1-EXP(-LN(2)/25))/(LN(2)/25)*Calculateur!CG61*Calculateur!CI61*VLOOKUP('Données projet'!$B$12,Paramètres!$A$1:$I$89,3,0)*0.475*44/12</f>
        <v>1.7638414871528119</v>
      </c>
      <c r="CM61" s="21">
        <f>EXP(-LN(2)/2)*CM60+(1-EXP(-LN(2)/2))/(LN(2)/2)*CG61*CJ61*VLOOKUP('Données projet'!$B$12,Paramètres!$A$1:$I$89,3,0)*0.475*44/12</f>
        <v>2.76149358536689E-4</v>
      </c>
      <c r="CN61" s="22">
        <f t="shared" si="12"/>
        <v>3.513346140575873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1.4210854715202004E-13</v>
      </c>
      <c r="O62" s="13">
        <f>N62*VLOOKUP('Données projet'!$B$9,Paramètres!$A$1:$I$89,3,0)*VLOOKUP('Données projet'!$B$9,Paramètres!$A$1:$I$89,5,0)</f>
        <v>1.4853185348329134E-13</v>
      </c>
      <c r="P62" s="13">
        <f t="shared" si="33"/>
        <v>2.1309431512949395E-12</v>
      </c>
      <c r="Q62" s="20">
        <f t="shared" si="53"/>
        <v>3.9700856333220852E-12</v>
      </c>
      <c r="R62" s="59">
        <f t="shared" si="0"/>
        <v>293.33333333333729</v>
      </c>
      <c r="S62" s="59">
        <f ca="1">AVERAGE(OFFSET($R$3,0,0,'Données projet'!$E$9+1,1))-AVERAGE(OFFSET($H$3,0,0,'Données projet'!$E$9+1,1))</f>
        <v>241.84492910369795</v>
      </c>
      <c r="T62" s="59">
        <f t="shared" si="34"/>
        <v>338.04336767245667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3.4094201581746488</v>
      </c>
      <c r="AA62" s="21">
        <f>EXP(-LN(2)/25)*AA61+(1-EXP(-LN(2)/25))/(LN(2)/25)*Calculateur!V62*Calculateur!X62*VLOOKUP('Données projet'!$B$9,Paramètres!$A$1:$I$89,3,0)*0.475*44/12</f>
        <v>6.2184117966485219</v>
      </c>
      <c r="AB62" s="21">
        <f>EXP(-LN(2)/2)*AB61+(1-EXP(-LN(2)/2))/(LN(2)/2)*V62*Y62*VLOOKUP('Données projet'!$B$9,Paramètres!$A$1:$I$89,3,0)*0.475*44/12</f>
        <v>3.7314121986880059E-4</v>
      </c>
      <c r="AC62" s="22">
        <f t="shared" si="3"/>
        <v>9.6282050960430396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16.625</v>
      </c>
      <c r="AI62" s="13">
        <f>IF('Données projet'!$A$62&gt;35,AI61+AH62-AQ61,IF(A62&lt;'Données projet'!$A$62,$AF$205^A62,IF(A62='Données projet'!$A$62,'Données projet'!$B$62,AI61+AH62-AQ61)))</f>
        <v>378.62499999999994</v>
      </c>
      <c r="AJ62" s="13">
        <f>AI62*VLOOKUP('Données projet'!$B$10,Paramètres!$A$1:$I$89,3,0)*VLOOKUP('Données projet'!$B$10,Paramètres!$A$1:$I$89,5,0)</f>
        <v>226.41774999999998</v>
      </c>
      <c r="AK62" s="13">
        <f t="shared" si="35"/>
        <v>55.507409107649494</v>
      </c>
      <c r="AL62" s="20">
        <f t="shared" si="4"/>
        <v>491.0196521124895</v>
      </c>
      <c r="AM62" s="59">
        <f t="shared" si="5"/>
        <v>784.35298544582281</v>
      </c>
      <c r="AN62" s="59">
        <f ca="1">AVERAGE(OFFSET($AM$3,0,0,'Données projet'!$E$10+1,1))-AVERAGE(OFFSET($H$3,0,0,'Données projet'!$E$10+1,1))</f>
        <v>370.12772664814923</v>
      </c>
      <c r="AO62" s="59">
        <f t="shared" si="36"/>
        <v>292.26503163353146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4.2112204199367547</v>
      </c>
      <c r="AV62" s="21">
        <f>EXP(-LN(2)/25)*AV61+(1-EXP(-LN(2)/25))/(LN(2)/25)*Calculateur!AQ62*Calculateur!AS62*VLOOKUP('Données projet'!$B$10,Paramètres!$A$1:$I$89,3,0)*0.475*44/12</f>
        <v>2.9729281075190754</v>
      </c>
      <c r="AW62" s="21">
        <f>EXP(-LN(2)/2)*AW61+(1-EXP(-LN(2)/2))/(LN(2)/2)*AQ62*AT62*VLOOKUP('Données projet'!$B$10,Paramètres!$A$1:$I$89,3,0)*0.475*44/12</f>
        <v>3.4193660266573832E-4</v>
      </c>
      <c r="AX62" s="21">
        <f t="shared" si="6"/>
        <v>7.1844904640584959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9.4</v>
      </c>
      <c r="BD62" s="12">
        <f>IF('Données projet'!$A$88&gt;35,BD61+BC62-BL61,IF(A62&lt;'Données projet'!$A$88,$BA$205^A62,IF(A62='Données projet'!$A$88,'Données projet'!$B$88,BD61+BC62-BL61)))</f>
        <v>263.59999999999997</v>
      </c>
      <c r="BE62" s="13">
        <f>BD62*VLOOKUP('Données projet'!$B$11,Paramètres!$A$1:$I$89,3,0)*VLOOKUP('Données projet'!$B$11,Paramètres!$A$1:$I$89,5,0)</f>
        <v>283.73903999999993</v>
      </c>
      <c r="BF62" s="13">
        <f t="shared" si="37"/>
        <v>67.756564441537463</v>
      </c>
      <c r="BG62" s="20">
        <f t="shared" si="7"/>
        <v>612.18817773567764</v>
      </c>
      <c r="BH62" s="59">
        <f t="shared" si="8"/>
        <v>905.52151106901101</v>
      </c>
      <c r="BI62" s="59">
        <f ca="1">AVERAGE(OFFSET($BH$3,0,0,'Données projet'!$E$11+1,1))-AVERAGE(OFFSET($H$3,0,0,'Données projet'!$E$11+1,1))</f>
        <v>475.01366239340246</v>
      </c>
      <c r="BJ62" s="59">
        <f t="shared" si="38"/>
        <v>322.81767004794284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4.8957721761491104</v>
      </c>
      <c r="BQ62" s="21">
        <f>EXP(-LN(2)/25)*BQ61+(1-EXP(-LN(2)/25))/(LN(2)/25)*Calculateur!BL62*Calculateur!BN62*VLOOKUP('Données projet'!$B$11,Paramètres!$A$1:$I$89,3,0)*0.475*44/12</f>
        <v>4.9856666573905137</v>
      </c>
      <c r="BR62" s="21">
        <f>EXP(-LN(2)/2)*BR61+(1-EXP(-LN(2)/2))/(LN(2)/2)*BL62*BO62*VLOOKUP('Données projet'!$B$11,Paramètres!$A$1:$I$89,3,0)*0.475*44/12</f>
        <v>4.3820887284342979E-4</v>
      </c>
      <c r="BS62" s="22">
        <f t="shared" si="9"/>
        <v>9.8818770424124676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7.6</v>
      </c>
      <c r="BY62" s="12">
        <f>IF('Données projet'!$A$114&gt;35,BY61+BX62-CG61,IF(A62&lt;'Données projet'!$A$114,$BV$205^A62,IF(A62='Données projet'!$A$114,'Données projet'!$B$114,BY61+BX62-CG61)))</f>
        <v>206.39999999999998</v>
      </c>
      <c r="BZ62" s="13">
        <f>BY62*VLOOKUP('Données projet'!$B$12,Paramètres!$A$1:$I$89,3,0)*VLOOKUP('Données projet'!$B$12,Paramètres!$A$1:$I$89,5,0)</f>
        <v>138.45311999999998</v>
      </c>
      <c r="CA62" s="13">
        <f t="shared" si="39"/>
        <v>35.942408186268445</v>
      </c>
      <c r="CB62" s="20">
        <f t="shared" si="10"/>
        <v>303.73887825775086</v>
      </c>
      <c r="CC62" s="59">
        <f t="shared" si="11"/>
        <v>597.07221159108417</v>
      </c>
      <c r="CD62" s="59">
        <f ca="1">AVERAGE(OFFSET($CC$3,0,0,'Données projet'!$E$12+1,1))-AVERAGE(OFFSET($H$3,0,0,'Données projet'!$E$12+1,1))</f>
        <v>254.8851926268614</v>
      </c>
      <c r="CE62" s="59">
        <f t="shared" si="40"/>
        <v>182.11500693273973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1.7149272000238565</v>
      </c>
      <c r="CL62" s="21">
        <f>EXP(-LN(2)/25)*CL61+(1-EXP(-LN(2)/25))/(LN(2)/25)*Calculateur!CG62*Calculateur!CI62*VLOOKUP('Données projet'!$B$12,Paramètres!$A$1:$I$89,3,0)*0.475*44/12</f>
        <v>1.7156091489302256</v>
      </c>
      <c r="CM62" s="21">
        <f>EXP(-LN(2)/2)*CM61+(1-EXP(-LN(2)/2))/(LN(2)/2)*CG62*CJ62*VLOOKUP('Données projet'!$B$12,Paramètres!$A$1:$I$89,3,0)*0.475*44/12</f>
        <v>1.9526708404160801E-4</v>
      </c>
      <c r="CN62" s="22">
        <f t="shared" si="12"/>
        <v>3.4307316160381238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1.4210854715202004E-13</v>
      </c>
      <c r="O63" s="13">
        <f>N63*VLOOKUP('Données projet'!$B$9,Paramètres!$A$1:$I$89,3,0)*VLOOKUP('Données projet'!$B$9,Paramètres!$A$1:$I$89,5,0)</f>
        <v>1.4853185348329134E-13</v>
      </c>
      <c r="P63" s="13">
        <f t="shared" si="33"/>
        <v>2.1309431512949395E-12</v>
      </c>
      <c r="Q63" s="20">
        <f t="shared" si="53"/>
        <v>3.9700856333220852E-12</v>
      </c>
      <c r="R63" s="59">
        <f t="shared" si="0"/>
        <v>293.33333333333729</v>
      </c>
      <c r="S63" s="59">
        <f ca="1">AVERAGE(OFFSET($R$3,0,0,'Données projet'!$E$9+1,1))-AVERAGE(OFFSET($H$3,0,0,'Données projet'!$E$9+1,1))</f>
        <v>241.84492910369795</v>
      </c>
      <c r="T63" s="59">
        <f t="shared" si="34"/>
        <v>338.04336767245667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3.3425635084138028</v>
      </c>
      <c r="AA63" s="21">
        <f>EXP(-LN(2)/25)*AA62+(1-EXP(-LN(2)/25))/(LN(2)/25)*Calculateur!V63*Calculateur!X63*VLOOKUP('Données projet'!$B$9,Paramètres!$A$1:$I$89,3,0)*0.475*44/12</f>
        <v>6.0483689990571037</v>
      </c>
      <c r="AB63" s="21">
        <f>EXP(-LN(2)/2)*AB62+(1-EXP(-LN(2)/2))/(LN(2)/2)*V63*Y63*VLOOKUP('Données projet'!$B$9,Paramètres!$A$1:$I$89,3,0)*0.475*44/12</f>
        <v>2.638506869094494E-4</v>
      </c>
      <c r="AC63" s="22">
        <f t="shared" si="3"/>
        <v>9.3911963581578171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16.625</v>
      </c>
      <c r="AI63" s="13">
        <f>IF('Données projet'!$A$62&gt;35,AI62+AH63-AQ62,IF(A63&lt;'Données projet'!$A$62,$AF$205^A63,IF(A63='Données projet'!$A$62,'Données projet'!$B$62,AI62+AH63-AQ62)))</f>
        <v>395.24999999999994</v>
      </c>
      <c r="AJ63" s="13">
        <f>AI63*VLOOKUP('Données projet'!$B$10,Paramètres!$A$1:$I$89,3,0)*VLOOKUP('Données projet'!$B$10,Paramètres!$A$1:$I$89,5,0)</f>
        <v>236.35949999999997</v>
      </c>
      <c r="AK63" s="13">
        <f t="shared" si="35"/>
        <v>57.655563749416167</v>
      </c>
      <c r="AL63" s="20">
        <f t="shared" si="4"/>
        <v>512.07623603023308</v>
      </c>
      <c r="AM63" s="59">
        <f t="shared" si="5"/>
        <v>805.40956936356633</v>
      </c>
      <c r="AN63" s="59">
        <f ca="1">AVERAGE(OFFSET($AM$3,0,0,'Données projet'!$E$10+1,1))-AVERAGE(OFFSET($H$3,0,0,'Données projet'!$E$10+1,1))</f>
        <v>370.12772664814923</v>
      </c>
      <c r="AO63" s="59">
        <f t="shared" si="36"/>
        <v>292.26503163353146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4.1286409560926236</v>
      </c>
      <c r="AV63" s="21">
        <f>EXP(-LN(2)/25)*AV62+(1-EXP(-LN(2)/25))/(LN(2)/25)*Calculateur!AQ63*Calculateur!AS63*VLOOKUP('Données projet'!$B$10,Paramètres!$A$1:$I$89,3,0)*0.475*44/12</f>
        <v>2.8916332320794718</v>
      </c>
      <c r="AW63" s="21">
        <f>EXP(-LN(2)/2)*AW62+(1-EXP(-LN(2)/2))/(LN(2)/2)*AQ63*AT63*VLOOKUP('Données projet'!$B$10,Paramètres!$A$1:$I$89,3,0)*0.475*44/12</f>
        <v>2.4178569048083367E-4</v>
      </c>
      <c r="AX63" s="21">
        <f t="shared" si="6"/>
        <v>7.020515973862576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273</v>
      </c>
      <c r="BB63" s="12">
        <f>VLOOKUP(A63,'Données projet'!$A$87:$I$107,9,0)</f>
        <v>9.4</v>
      </c>
      <c r="BC63" s="12">
        <f t="array" ref="BC63">INDEX(BB:BB,MIN(IF(ISNUMBER(BB63:BB259),ROW(BB63:BB259),"")))</f>
        <v>9.4</v>
      </c>
      <c r="BD63" s="12">
        <f>IF('Données projet'!$A$88&gt;35,BD62+BC63-BL62,IF(A63&lt;'Données projet'!$A$88,$BA$205^A63,IF(A63='Données projet'!$A$88,'Données projet'!$B$88,BD62+BC63-BL62)))</f>
        <v>272.99999999999994</v>
      </c>
      <c r="BE63" s="13">
        <f>BD63*VLOOKUP('Données projet'!$B$11,Paramètres!$A$1:$I$89,3,0)*VLOOKUP('Données projet'!$B$11,Paramètres!$A$1:$I$89,5,0)</f>
        <v>293.85719999999992</v>
      </c>
      <c r="BF63" s="13">
        <f t="shared" si="37"/>
        <v>69.887150190339781</v>
      </c>
      <c r="BG63" s="20">
        <f t="shared" si="7"/>
        <v>633.52140991484157</v>
      </c>
      <c r="BH63" s="59">
        <f t="shared" si="8"/>
        <v>926.85474324817483</v>
      </c>
      <c r="BI63" s="59">
        <f ca="1">AVERAGE(OFFSET($BH$3,0,0,'Données projet'!$E$11+1,1))-AVERAGE(OFFSET($H$3,0,0,'Données projet'!$E$11+1,1))</f>
        <v>475.01366239340246</v>
      </c>
      <c r="BJ63" s="59">
        <f t="shared" si="38"/>
        <v>322.81767004794284</v>
      </c>
      <c r="BK63" s="15">
        <f>IF(ISNA(VLOOKUP(A63,'Données projet'!$A$87:$I$107,3,0)),0,VLOOKUP(A63,'Données projet'!$A$87:$I$107,3,0))</f>
        <v>9</v>
      </c>
      <c r="BL63" s="15">
        <f>IF(ISNA(VLOOKUP(A63,'Données projet'!$A$87:$I$107,4,0)),0,VLOOKUP(A63,'Données projet'!$A$87:$I$107,4,0))</f>
        <v>28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4.7997690699009983</v>
      </c>
      <c r="BQ63" s="21">
        <f>EXP(-LN(2)/25)*BQ62+(1-EXP(-LN(2)/25))/(LN(2)/25)*Calculateur!BL63*Calculateur!BN63*VLOOKUP('Données projet'!$B$11,Paramètres!$A$1:$I$89,3,0)*0.475*44/12</f>
        <v>4.8493333404593555</v>
      </c>
      <c r="BR63" s="21">
        <f>EXP(-LN(2)/2)*BR62+(1-EXP(-LN(2)/2))/(LN(2)/2)*BL63*BO63*VLOOKUP('Données projet'!$B$11,Paramètres!$A$1:$I$89,3,0)*0.475*44/12</f>
        <v>3.0986046556370273E-4</v>
      </c>
      <c r="BS63" s="22">
        <f t="shared" si="9"/>
        <v>9.6494122708259162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214</v>
      </c>
      <c r="BW63" s="12">
        <f>VLOOKUP(A63,'Données projet'!$A$113:$I$133,9,0)</f>
        <v>7.6</v>
      </c>
      <c r="BX63" s="12">
        <f t="array" ref="BX63">INDEX(BW:BW,MIN(IF(ISNUMBER(BW63:BW259),ROW(BW63:BW259),"")))</f>
        <v>7.6</v>
      </c>
      <c r="BY63" s="12">
        <f>IF('Données projet'!$A$114&gt;35,BY62+BX63-CG62,IF(A63&lt;'Données projet'!$A$114,$BV$205^A63,IF(A63='Données projet'!$A$114,'Données projet'!$B$114,BY62+BX63-CG62)))</f>
        <v>213.99999999999997</v>
      </c>
      <c r="BZ63" s="13">
        <f>BY63*VLOOKUP('Données projet'!$B$12,Paramètres!$A$1:$I$89,3,0)*VLOOKUP('Données projet'!$B$12,Paramètres!$A$1:$I$89,5,0)</f>
        <v>143.55119999999997</v>
      </c>
      <c r="CA63" s="13">
        <f t="shared" si="39"/>
        <v>37.109345732537925</v>
      </c>
      <c r="CB63" s="20">
        <f t="shared" si="10"/>
        <v>314.65045048417016</v>
      </c>
      <c r="CC63" s="59">
        <f t="shared" si="11"/>
        <v>607.98378381750354</v>
      </c>
      <c r="CD63" s="59">
        <f ca="1">AVERAGE(OFFSET($CC$3,0,0,'Données projet'!$E$12+1,1))-AVERAGE(OFFSET($H$3,0,0,'Données projet'!$E$12+1,1))</f>
        <v>254.8851926268614</v>
      </c>
      <c r="CE63" s="59">
        <f t="shared" si="40"/>
        <v>182.11500693273973</v>
      </c>
      <c r="CF63" s="15">
        <f>IF(ISNA(VLOOKUP(A63,'Données projet'!$A$113:$I$133,3,0)),0,VLOOKUP(A63,'Données projet'!$A$113:$I$133,3,0))</f>
        <v>8</v>
      </c>
      <c r="CG63" s="15">
        <f>IF(ISNA(VLOOKUP(A63,'Données projet'!$A$113:$I$133,4,0)),0,VLOOKUP(A63,'Données projet'!$A$113:$I$133,4,0))</f>
        <v>21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1.6812985236336966</v>
      </c>
      <c r="CL63" s="21">
        <f>EXP(-LN(2)/25)*CL62+(1-EXP(-LN(2)/25))/(LN(2)/25)*Calculateur!CG63*Calculateur!CI63*VLOOKUP('Données projet'!$B$12,Paramètres!$A$1:$I$89,3,0)*0.475*44/12</f>
        <v>1.6686957265327647</v>
      </c>
      <c r="CM63" s="21">
        <f>EXP(-LN(2)/2)*CM62+(1-EXP(-LN(2)/2))/(LN(2)/2)*CG63*CJ63*VLOOKUP('Données projet'!$B$12,Paramètres!$A$1:$I$89,3,0)*0.475*44/12</f>
        <v>1.380746792683445E-4</v>
      </c>
      <c r="CN63" s="22">
        <f t="shared" si="12"/>
        <v>3.3501323248457298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1.4210854715202004E-13</v>
      </c>
      <c r="O64" s="13">
        <f>N64*VLOOKUP('Données projet'!$B$9,Paramètres!$A$1:$I$89,3,0)*VLOOKUP('Données projet'!$B$9,Paramètres!$A$1:$I$89,5,0)</f>
        <v>1.4853185348329134E-13</v>
      </c>
      <c r="P64" s="13">
        <f t="shared" si="33"/>
        <v>2.1309431512949395E-12</v>
      </c>
      <c r="Q64" s="20">
        <f t="shared" si="53"/>
        <v>3.9700856333220852E-12</v>
      </c>
      <c r="R64" s="59">
        <f t="shared" si="0"/>
        <v>293.33333333333729</v>
      </c>
      <c r="S64" s="59">
        <f ca="1">AVERAGE(OFFSET($R$3,0,0,'Données projet'!$E$9+1,1))-AVERAGE(OFFSET($H$3,0,0,'Données projet'!$E$9+1,1))</f>
        <v>241.84492910369795</v>
      </c>
      <c r="T64" s="59">
        <f t="shared" si="34"/>
        <v>338.04336767245667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3.2770178767762372</v>
      </c>
      <c r="AA64" s="21">
        <f>EXP(-LN(2)/25)*AA63+(1-EXP(-LN(2)/25))/(LN(2)/25)*Calculateur!V64*Calculateur!X64*VLOOKUP('Données projet'!$B$9,Paramètres!$A$1:$I$89,3,0)*0.475*44/12</f>
        <v>5.8829760307079857</v>
      </c>
      <c r="AB64" s="21">
        <f>EXP(-LN(2)/2)*AB63+(1-EXP(-LN(2)/2))/(LN(2)/2)*V64*Y64*VLOOKUP('Données projet'!$B$9,Paramètres!$A$1:$I$89,3,0)*0.475*44/12</f>
        <v>1.8657060993440029E-4</v>
      </c>
      <c r="AC64" s="22">
        <f t="shared" si="3"/>
        <v>9.1601804780941567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16.625</v>
      </c>
      <c r="AI64" s="13">
        <f>IF('Données projet'!$A$62&gt;35,AI63+AH64-AQ63,IF(A64&lt;'Données projet'!$A$62,$AF$205^A64,IF(A64='Données projet'!$A$62,'Données projet'!$B$62,AI63+AH64-AQ63)))</f>
        <v>411.87499999999994</v>
      </c>
      <c r="AJ64" s="13">
        <f>AI64*VLOOKUP('Données projet'!$B$10,Paramètres!$A$1:$I$89,3,0)*VLOOKUP('Données projet'!$B$10,Paramètres!$A$1:$I$89,5,0)</f>
        <v>246.30124999999998</v>
      </c>
      <c r="AK64" s="13">
        <f t="shared" si="35"/>
        <v>59.793223430016852</v>
      </c>
      <c r="AL64" s="20">
        <f t="shared" si="4"/>
        <v>533.11454122394582</v>
      </c>
      <c r="AM64" s="59">
        <f t="shared" si="5"/>
        <v>826.44787455727919</v>
      </c>
      <c r="AN64" s="59">
        <f ca="1">AVERAGE(OFFSET($AM$3,0,0,'Données projet'!$E$10+1,1))-AVERAGE(OFFSET($H$3,0,0,'Données projet'!$E$10+1,1))</f>
        <v>370.12772664814923</v>
      </c>
      <c r="AO64" s="59">
        <f t="shared" si="36"/>
        <v>292.26503163353146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4.047680825165977</v>
      </c>
      <c r="AV64" s="21">
        <f>EXP(-LN(2)/25)*AV63+(1-EXP(-LN(2)/25))/(LN(2)/25)*Calculateur!AQ64*Calculateur!AS64*VLOOKUP('Données projet'!$B$10,Paramètres!$A$1:$I$89,3,0)*0.475*44/12</f>
        <v>2.812561369283876</v>
      </c>
      <c r="AW64" s="21">
        <f>EXP(-LN(2)/2)*AW63+(1-EXP(-LN(2)/2))/(LN(2)/2)*AQ64*AT64*VLOOKUP('Données projet'!$B$10,Paramètres!$A$1:$I$89,3,0)*0.475*44/12</f>
        <v>1.7096830133286919E-4</v>
      </c>
      <c r="AX64" s="21">
        <f t="shared" si="6"/>
        <v>6.8604131627511862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8.8000000000000007</v>
      </c>
      <c r="BD64" s="12">
        <f>IF('Données projet'!$A$88&gt;35,BD63+BC64-BL63,IF(A64&lt;'Données projet'!$A$88,$BA$205^A64,IF(A64='Données projet'!$A$88,'Données projet'!$B$88,BD63+BC64-BL63)))</f>
        <v>253.79999999999995</v>
      </c>
      <c r="BE64" s="13">
        <f>BD64*VLOOKUP('Données projet'!$B$11,Paramètres!$A$1:$I$89,3,0)*VLOOKUP('Données projet'!$B$11,Paramètres!$A$1:$I$89,5,0)</f>
        <v>273.19031999999993</v>
      </c>
      <c r="BF64" s="13">
        <f t="shared" si="37"/>
        <v>65.525872132143832</v>
      </c>
      <c r="BG64" s="20">
        <f t="shared" si="7"/>
        <v>589.93070129681701</v>
      </c>
      <c r="BH64" s="59">
        <f t="shared" si="8"/>
        <v>883.26403463015026</v>
      </c>
      <c r="BI64" s="59">
        <f ca="1">AVERAGE(OFFSET($BH$3,0,0,'Données projet'!$E$11+1,1))-AVERAGE(OFFSET($H$3,0,0,'Données projet'!$E$11+1,1))</f>
        <v>475.01366239340246</v>
      </c>
      <c r="BJ64" s="59">
        <f t="shared" si="38"/>
        <v>322.81767004794284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4.7056485260102985</v>
      </c>
      <c r="BQ64" s="21">
        <f>EXP(-LN(2)/25)*BQ63+(1-EXP(-LN(2)/25))/(LN(2)/25)*Calculateur!BL64*Calculateur!BN64*VLOOKUP('Données projet'!$B$11,Paramètres!$A$1:$I$89,3,0)*0.475*44/12</f>
        <v>4.7167280652491375</v>
      </c>
      <c r="BR64" s="21">
        <f>EXP(-LN(2)/2)*BR63+(1-EXP(-LN(2)/2))/(LN(2)/2)*BL64*BO64*VLOOKUP('Données projet'!$B$11,Paramètres!$A$1:$I$89,3,0)*0.475*44/12</f>
        <v>2.191044364217149E-4</v>
      </c>
      <c r="BS64" s="22">
        <f t="shared" si="9"/>
        <v>9.4225956956958576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7.2</v>
      </c>
      <c r="BY64" s="12">
        <f>IF('Données projet'!$A$114&gt;35,BY63+BX64-CG63,IF(A64&lt;'Données projet'!$A$114,$BV$205^A64,IF(A64='Données projet'!$A$114,'Données projet'!$B$114,BY63+BX64-CG63)))</f>
        <v>200.19999999999996</v>
      </c>
      <c r="BZ64" s="13">
        <f>BY64*VLOOKUP('Données projet'!$B$12,Paramètres!$A$1:$I$89,3,0)*VLOOKUP('Données projet'!$B$12,Paramètres!$A$1:$I$89,5,0)</f>
        <v>134.29415999999998</v>
      </c>
      <c r="CA64" s="13">
        <f t="shared" si="39"/>
        <v>34.98672910402766</v>
      </c>
      <c r="CB64" s="20">
        <f t="shared" si="10"/>
        <v>294.83088185618146</v>
      </c>
      <c r="CC64" s="59">
        <f t="shared" si="11"/>
        <v>588.16421518951483</v>
      </c>
      <c r="CD64" s="59">
        <f ca="1">AVERAGE(OFFSET($CC$3,0,0,'Données projet'!$E$12+1,1))-AVERAGE(OFFSET($H$3,0,0,'Données projet'!$E$12+1,1))</f>
        <v>254.8851926268614</v>
      </c>
      <c r="CE64" s="59">
        <f t="shared" si="40"/>
        <v>182.11500693273973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1.6483292850760805</v>
      </c>
      <c r="CL64" s="21">
        <f>EXP(-LN(2)/25)*CL63+(1-EXP(-LN(2)/25))/(LN(2)/25)*Calculateur!CG64*Calculateur!CI64*VLOOKUP('Données projet'!$B$12,Paramètres!$A$1:$I$89,3,0)*0.475*44/12</f>
        <v>1.6230651541378318</v>
      </c>
      <c r="CM64" s="21">
        <f>EXP(-LN(2)/2)*CM63+(1-EXP(-LN(2)/2))/(LN(2)/2)*CG64*CJ64*VLOOKUP('Données projet'!$B$12,Paramètres!$A$1:$I$89,3,0)*0.475*44/12</f>
        <v>9.7633542020804004E-5</v>
      </c>
      <c r="CN64" s="22">
        <f t="shared" si="12"/>
        <v>3.2714920727559331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1.4210854715202004E-13</v>
      </c>
      <c r="O65" s="13">
        <f>N65*VLOOKUP('Données projet'!$B$9,Paramètres!$A$1:$I$89,3,0)*VLOOKUP('Données projet'!$B$9,Paramètres!$A$1:$I$89,5,0)</f>
        <v>1.4853185348329134E-13</v>
      </c>
      <c r="P65" s="13">
        <f t="shared" si="33"/>
        <v>2.1309431512949395E-12</v>
      </c>
      <c r="Q65" s="20">
        <f t="shared" si="53"/>
        <v>3.9700856333220852E-12</v>
      </c>
      <c r="R65" s="59">
        <f t="shared" si="0"/>
        <v>293.33333333333729</v>
      </c>
      <c r="S65" s="59">
        <f ca="1">AVERAGE(OFFSET($R$3,0,0,'Données projet'!$E$9+1,1))-AVERAGE(OFFSET($H$3,0,0,'Données projet'!$E$9+1,1))</f>
        <v>241.84492910369795</v>
      </c>
      <c r="T65" s="59">
        <f t="shared" si="34"/>
        <v>338.04336767245667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3.2127575549961964</v>
      </c>
      <c r="AA65" s="21">
        <f>EXP(-LN(2)/25)*AA64+(1-EXP(-LN(2)/25))/(LN(2)/25)*Calculateur!V65*Calculateur!X65*VLOOKUP('Données projet'!$B$9,Paramètres!$A$1:$I$89,3,0)*0.475*44/12</f>
        <v>5.7221057417760122</v>
      </c>
      <c r="AB65" s="21">
        <f>EXP(-LN(2)/2)*AB64+(1-EXP(-LN(2)/2))/(LN(2)/2)*V65*Y65*VLOOKUP('Données projet'!$B$9,Paramètres!$A$1:$I$89,3,0)*0.475*44/12</f>
        <v>1.319253434547247E-4</v>
      </c>
      <c r="AC65" s="22">
        <f t="shared" si="3"/>
        <v>8.9349952221156634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16.625</v>
      </c>
      <c r="AI65" s="13">
        <f>IF('Données projet'!$A$62&gt;35,AI64+AH65-AQ64,IF(A65&lt;'Données projet'!$A$62,$AF$205^A65,IF(A65='Données projet'!$A$62,'Données projet'!$B$62,AI64+AH65-AQ64)))</f>
        <v>428.49999999999994</v>
      </c>
      <c r="AJ65" s="13">
        <f>AI65*VLOOKUP('Données projet'!$B$10,Paramètres!$A$1:$I$89,3,0)*VLOOKUP('Données projet'!$B$10,Paramètres!$A$1:$I$89,5,0)</f>
        <v>256.24299999999999</v>
      </c>
      <c r="AK65" s="13">
        <f t="shared" si="35"/>
        <v>61.920860231490025</v>
      </c>
      <c r="AL65" s="20">
        <f t="shared" si="4"/>
        <v>554.13538990317852</v>
      </c>
      <c r="AM65" s="59">
        <f t="shared" si="5"/>
        <v>847.46872323651178</v>
      </c>
      <c r="AN65" s="59">
        <f ca="1">AVERAGE(OFFSET($AM$3,0,0,'Données projet'!$E$10+1,1))-AVERAGE(OFFSET($H$3,0,0,'Données projet'!$E$10+1,1))</f>
        <v>370.12772664814923</v>
      </c>
      <c r="AO65" s="59">
        <f t="shared" si="36"/>
        <v>292.26503163353146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3.9683082730259978</v>
      </c>
      <c r="AV65" s="21">
        <f>EXP(-LN(2)/25)*AV64+(1-EXP(-LN(2)/25))/(LN(2)/25)*Calculateur!AQ65*Calculateur!AS65*VLOOKUP('Données projet'!$B$10,Paramètres!$A$1:$I$89,3,0)*0.475*44/12</f>
        <v>2.7356517307346344</v>
      </c>
      <c r="AW65" s="21">
        <f>EXP(-LN(2)/2)*AW64+(1-EXP(-LN(2)/2))/(LN(2)/2)*AQ65*AT65*VLOOKUP('Données projet'!$B$10,Paramètres!$A$1:$I$89,3,0)*0.475*44/12</f>
        <v>1.2089284524041686E-4</v>
      </c>
      <c r="AX65" s="21">
        <f t="shared" si="6"/>
        <v>6.7040808966058725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8.8000000000000007</v>
      </c>
      <c r="BD65" s="12">
        <f>IF('Données projet'!$A$88&gt;35,BD64+BC65-BL64,IF(A65&lt;'Données projet'!$A$88,$BA$205^A65,IF(A65='Données projet'!$A$88,'Données projet'!$B$88,BD64+BC65-BL64)))</f>
        <v>262.59999999999997</v>
      </c>
      <c r="BE65" s="13">
        <f>BD65*VLOOKUP('Données projet'!$B$11,Paramètres!$A$1:$I$89,3,0)*VLOOKUP('Données projet'!$B$11,Paramètres!$A$1:$I$89,5,0)</f>
        <v>282.66263999999995</v>
      </c>
      <c r="BF65" s="13">
        <f t="shared" si="37"/>
        <v>67.529390930099993</v>
      </c>
      <c r="BG65" s="20">
        <f t="shared" si="7"/>
        <v>609.91778720325738</v>
      </c>
      <c r="BH65" s="59">
        <f t="shared" si="8"/>
        <v>903.25112053659063</v>
      </c>
      <c r="BI65" s="59">
        <f ca="1">AVERAGE(OFFSET($BH$3,0,0,'Données projet'!$E$11+1,1))-AVERAGE(OFFSET($H$3,0,0,'Données projet'!$E$11+1,1))</f>
        <v>475.01366239340246</v>
      </c>
      <c r="BJ65" s="59">
        <f t="shared" si="38"/>
        <v>322.81767004794284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4.6133736285774321</v>
      </c>
      <c r="BQ65" s="21">
        <f>EXP(-LN(2)/25)*BQ64+(1-EXP(-LN(2)/25))/(LN(2)/25)*Calculateur!BL65*Calculateur!BN65*VLOOKUP('Données projet'!$B$11,Paramètres!$A$1:$I$89,3,0)*0.475*44/12</f>
        <v>4.5877488882629507</v>
      </c>
      <c r="BR65" s="21">
        <f>EXP(-LN(2)/2)*BR64+(1-EXP(-LN(2)/2))/(LN(2)/2)*BL65*BO65*VLOOKUP('Données projet'!$B$11,Paramètres!$A$1:$I$89,3,0)*0.475*44/12</f>
        <v>1.5493023278185137E-4</v>
      </c>
      <c r="BS65" s="22">
        <f t="shared" si="9"/>
        <v>9.2012774470731635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7.2</v>
      </c>
      <c r="BY65" s="12">
        <f>IF('Données projet'!$A$114&gt;35,BY64+BX65-CG64,IF(A65&lt;'Données projet'!$A$114,$BV$205^A65,IF(A65='Données projet'!$A$114,'Données projet'!$B$114,BY64+BX65-CG64)))</f>
        <v>207.39999999999995</v>
      </c>
      <c r="BZ65" s="13">
        <f>BY65*VLOOKUP('Données projet'!$B$12,Paramètres!$A$1:$I$89,3,0)*VLOOKUP('Données projet'!$B$12,Paramètres!$A$1:$I$89,5,0)</f>
        <v>139.12391999999997</v>
      </c>
      <c r="CA65" s="13">
        <f t="shared" si="39"/>
        <v>36.096234604679047</v>
      </c>
      <c r="CB65" s="20">
        <f t="shared" si="10"/>
        <v>305.17510260314924</v>
      </c>
      <c r="CC65" s="59">
        <f t="shared" si="11"/>
        <v>598.50843593648256</v>
      </c>
      <c r="CD65" s="59">
        <f ca="1">AVERAGE(OFFSET($CC$3,0,0,'Données projet'!$E$12+1,1))-AVERAGE(OFFSET($H$3,0,0,'Données projet'!$E$12+1,1))</f>
        <v>254.8851926268614</v>
      </c>
      <c r="CE65" s="59">
        <f t="shared" si="40"/>
        <v>182.11500693273973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1.6160065531773293</v>
      </c>
      <c r="CL65" s="21">
        <f>EXP(-LN(2)/25)*CL64+(1-EXP(-LN(2)/25))/(LN(2)/25)*Calculateur!CG65*Calculateur!CI65*VLOOKUP('Données projet'!$B$12,Paramètres!$A$1:$I$89,3,0)*0.475*44/12</f>
        <v>1.5786823521446458</v>
      </c>
      <c r="CM65" s="21">
        <f>EXP(-LN(2)/2)*CM64+(1-EXP(-LN(2)/2))/(LN(2)/2)*CG65*CJ65*VLOOKUP('Données projet'!$B$12,Paramètres!$A$1:$I$89,3,0)*0.475*44/12</f>
        <v>6.903733963417225E-5</v>
      </c>
      <c r="CN65" s="22">
        <f t="shared" si="12"/>
        <v>3.1947579426616093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1.4210854715202004E-13</v>
      </c>
      <c r="O66" s="13">
        <f>N66*VLOOKUP('Données projet'!$B$9,Paramètres!$A$1:$I$89,3,0)*VLOOKUP('Données projet'!$B$9,Paramètres!$A$1:$I$89,5,0)</f>
        <v>1.4853185348329134E-13</v>
      </c>
      <c r="P66" s="13">
        <f t="shared" si="33"/>
        <v>2.1309431512949395E-12</v>
      </c>
      <c r="Q66" s="20">
        <f t="shared" si="53"/>
        <v>3.9700856333220852E-12</v>
      </c>
      <c r="R66" s="59">
        <f t="shared" si="0"/>
        <v>293.33333333333729</v>
      </c>
      <c r="S66" s="59">
        <f ca="1">AVERAGE(OFFSET($R$3,0,0,'Données projet'!$E$9+1,1))-AVERAGE(OFFSET($H$3,0,0,'Données projet'!$E$9+1,1))</f>
        <v>241.84492910369795</v>
      </c>
      <c r="T66" s="59">
        <f t="shared" si="34"/>
        <v>338.04336767245667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3.1497573389313365</v>
      </c>
      <c r="AA66" s="21">
        <f>EXP(-LN(2)/25)*AA65+(1-EXP(-LN(2)/25))/(LN(2)/25)*Calculateur!V66*Calculateur!X66*VLOOKUP('Données projet'!$B$9,Paramètres!$A$1:$I$89,3,0)*0.475*44/12</f>
        <v>5.5656344593546843</v>
      </c>
      <c r="AB66" s="21">
        <f>EXP(-LN(2)/2)*AB65+(1-EXP(-LN(2)/2))/(LN(2)/2)*V66*Y66*VLOOKUP('Données projet'!$B$9,Paramètres!$A$1:$I$89,3,0)*0.475*44/12</f>
        <v>9.3285304967200146E-5</v>
      </c>
      <c r="AC66" s="22">
        <f t="shared" si="3"/>
        <v>8.7154850835909876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16.625</v>
      </c>
      <c r="AI66" s="13">
        <f>IF('Données projet'!$A$62&gt;35,AI65+AH66-AQ65,IF(A66&lt;'Données projet'!$A$62,$AF$205^A66,IF(A66='Données projet'!$A$62,'Données projet'!$B$62,AI65+AH66-AQ65)))</f>
        <v>445.12499999999994</v>
      </c>
      <c r="AJ66" s="13">
        <f>AI66*VLOOKUP('Données projet'!$B$10,Paramètres!$A$1:$I$89,3,0)*VLOOKUP('Données projet'!$B$10,Paramètres!$A$1:$I$89,5,0)</f>
        <v>266.18475000000001</v>
      </c>
      <c r="AK66" s="13">
        <f t="shared" si="35"/>
        <v>64.038907529798962</v>
      </c>
      <c r="AL66" s="20">
        <f t="shared" si="4"/>
        <v>575.13953686439993</v>
      </c>
      <c r="AM66" s="59">
        <f t="shared" si="5"/>
        <v>868.4728701977333</v>
      </c>
      <c r="AN66" s="59">
        <f ca="1">AVERAGE(OFFSET($AM$3,0,0,'Données projet'!$E$10+1,1))-AVERAGE(OFFSET($H$3,0,0,'Données projet'!$E$10+1,1))</f>
        <v>370.12772664814923</v>
      </c>
      <c r="AO66" s="59">
        <f t="shared" si="36"/>
        <v>292.26503163353146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3.890492168221007</v>
      </c>
      <c r="AV66" s="21">
        <f>EXP(-LN(2)/25)*AV65+(1-EXP(-LN(2)/25))/(LN(2)/25)*Calculateur!AQ66*Calculateur!AS66*VLOOKUP('Données projet'!$B$10,Paramètres!$A$1:$I$89,3,0)*0.475*44/12</f>
        <v>2.6608451902960235</v>
      </c>
      <c r="AW66" s="21">
        <f>EXP(-LN(2)/2)*AW65+(1-EXP(-LN(2)/2))/(LN(2)/2)*AQ66*AT66*VLOOKUP('Données projet'!$B$10,Paramètres!$A$1:$I$89,3,0)*0.475*44/12</f>
        <v>8.5484150666434607E-5</v>
      </c>
      <c r="AX66" s="21">
        <f t="shared" si="6"/>
        <v>6.551422842667697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8.8000000000000007</v>
      </c>
      <c r="BD66" s="12">
        <f>IF('Données projet'!$A$88&gt;35,BD65+BC66-BL65,IF(A66&lt;'Données projet'!$A$88,$BA$205^A66,IF(A66='Données projet'!$A$88,'Données projet'!$B$88,BD65+BC66-BL65)))</f>
        <v>271.39999999999998</v>
      </c>
      <c r="BE66" s="13">
        <f>BD66*VLOOKUP('Données projet'!$B$11,Paramètres!$A$1:$I$89,3,0)*VLOOKUP('Données projet'!$B$11,Paramètres!$A$1:$I$89,5,0)</f>
        <v>292.13495999999998</v>
      </c>
      <c r="BF66" s="13">
        <f t="shared" si="37"/>
        <v>69.525108311202231</v>
      </c>
      <c r="BG66" s="20">
        <f t="shared" si="7"/>
        <v>629.89128564201053</v>
      </c>
      <c r="BH66" s="59">
        <f t="shared" si="8"/>
        <v>923.2246189753439</v>
      </c>
      <c r="BI66" s="59">
        <f ca="1">AVERAGE(OFFSET($BH$3,0,0,'Données projet'!$E$11+1,1))-AVERAGE(OFFSET($H$3,0,0,'Données projet'!$E$11+1,1))</f>
        <v>475.01366239340246</v>
      </c>
      <c r="BJ66" s="59">
        <f t="shared" si="38"/>
        <v>322.81767004794284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4.5229081856010946</v>
      </c>
      <c r="BQ66" s="21">
        <f>EXP(-LN(2)/25)*BQ65+(1-EXP(-LN(2)/25))/(LN(2)/25)*Calculateur!BL66*Calculateur!BN66*VLOOKUP('Données projet'!$B$11,Paramètres!$A$1:$I$89,3,0)*0.475*44/12</f>
        <v>4.4622966536541719</v>
      </c>
      <c r="BR66" s="21">
        <f>EXP(-LN(2)/2)*BR65+(1-EXP(-LN(2)/2))/(LN(2)/2)*BL66*BO66*VLOOKUP('Données projet'!$B$11,Paramètres!$A$1:$I$89,3,0)*0.475*44/12</f>
        <v>1.0955221821085745E-4</v>
      </c>
      <c r="BS66" s="22">
        <f t="shared" si="9"/>
        <v>8.9853143914734783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7.2</v>
      </c>
      <c r="BY66" s="12">
        <f>IF('Données projet'!$A$114&gt;35,BY65+BX66-CG65,IF(A66&lt;'Données projet'!$A$114,$BV$205^A66,IF(A66='Données projet'!$A$114,'Données projet'!$B$114,BY65+BX66-CG65)))</f>
        <v>214.59999999999994</v>
      </c>
      <c r="BZ66" s="13">
        <f>BY66*VLOOKUP('Données projet'!$B$12,Paramètres!$A$1:$I$89,3,0)*VLOOKUP('Données projet'!$B$12,Paramètres!$A$1:$I$89,5,0)</f>
        <v>143.95367999999996</v>
      </c>
      <c r="CA66" s="13">
        <f t="shared" si="39"/>
        <v>37.20126481543732</v>
      </c>
      <c r="CB66" s="20">
        <f t="shared" si="10"/>
        <v>315.51152888688659</v>
      </c>
      <c r="CC66" s="59">
        <f t="shared" si="11"/>
        <v>608.84486222021997</v>
      </c>
      <c r="CD66" s="59">
        <f ca="1">AVERAGE(OFFSET($CC$3,0,0,'Données projet'!$E$12+1,1))-AVERAGE(OFFSET($H$3,0,0,'Données projet'!$E$12+1,1))</f>
        <v>254.8851926268614</v>
      </c>
      <c r="CE66" s="59">
        <f t="shared" si="40"/>
        <v>182.11500693273973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1.5843176503361929</v>
      </c>
      <c r="CL66" s="21">
        <f>EXP(-LN(2)/25)*CL65+(1-EXP(-LN(2)/25))/(LN(2)/25)*Calculateur!CG66*Calculateur!CI66*VLOOKUP('Données projet'!$B$12,Paramètres!$A$1:$I$89,3,0)*0.475*44/12</f>
        <v>1.5355132002059537</v>
      </c>
      <c r="CM66" s="21">
        <f>EXP(-LN(2)/2)*CM65+(1-EXP(-LN(2)/2))/(LN(2)/2)*CG66*CJ66*VLOOKUP('Données projet'!$B$12,Paramètres!$A$1:$I$89,3,0)*0.475*44/12</f>
        <v>4.8816771010402002E-5</v>
      </c>
      <c r="CN66" s="22">
        <f t="shared" si="12"/>
        <v>3.1198796673131568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1.4210854715202004E-13</v>
      </c>
      <c r="O67" s="13">
        <f>N67*VLOOKUP('Données projet'!$B$9,Paramètres!$A$1:$I$89,3,0)*VLOOKUP('Données projet'!$B$9,Paramètres!$A$1:$I$89,5,0)</f>
        <v>1.4853185348329134E-13</v>
      </c>
      <c r="P67" s="13">
        <f t="shared" si="33"/>
        <v>2.1309431512949395E-12</v>
      </c>
      <c r="Q67" s="20">
        <f t="shared" ref="Q67:Q98" si="54">(O67+P67)*0.475*44/12</f>
        <v>3.9700856333220852E-12</v>
      </c>
      <c r="R67" s="59">
        <f t="shared" ref="R67:R130" si="55">Q67+(I67+J67)*44/12</f>
        <v>293.33333333333729</v>
      </c>
      <c r="S67" s="59">
        <f ca="1">AVERAGE(OFFSET($R$3,0,0,'Données projet'!$E$9+1,1))-AVERAGE(OFFSET($H$3,0,0,'Données projet'!$E$9+1,1))</f>
        <v>241.84492910369795</v>
      </c>
      <c r="T67" s="59">
        <f t="shared" si="34"/>
        <v>338.04336767245667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3.0879925186771708</v>
      </c>
      <c r="AA67" s="21">
        <f>EXP(-LN(2)/25)*AA66+(1-EXP(-LN(2)/25))/(LN(2)/25)*Calculateur!V67*Calculateur!X67*VLOOKUP('Données projet'!$B$9,Paramètres!$A$1:$I$89,3,0)*0.475*44/12</f>
        <v>5.4134418923796348</v>
      </c>
      <c r="AB67" s="21">
        <f>EXP(-LN(2)/2)*AB66+(1-EXP(-LN(2)/2))/(LN(2)/2)*V67*Y67*VLOOKUP('Données projet'!$B$9,Paramètres!$A$1:$I$89,3,0)*0.475*44/12</f>
        <v>6.5962671727362349E-5</v>
      </c>
      <c r="AC67" s="22">
        <f t="shared" si="3"/>
        <v>8.5015003737285326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16.625</v>
      </c>
      <c r="AI67" s="13">
        <f>IF('Données projet'!$A$62&gt;35,AI66+AH67-AQ66,IF(A67&lt;'Données projet'!$A$62,$AF$205^A67,IF(A67='Données projet'!$A$62,'Données projet'!$B$62,AI66+AH67-AQ66)))</f>
        <v>461.74999999999994</v>
      </c>
      <c r="AJ67" s="13">
        <f>AI67*VLOOKUP('Données projet'!$B$10,Paramètres!$A$1:$I$89,3,0)*VLOOKUP('Données projet'!$B$10,Paramètres!$A$1:$I$89,5,0)</f>
        <v>276.12649999999996</v>
      </c>
      <c r="AK67" s="13">
        <f t="shared" si="35"/>
        <v>66.147764494536574</v>
      </c>
      <c r="AL67" s="20">
        <f t="shared" si="4"/>
        <v>596.12767732798443</v>
      </c>
      <c r="AM67" s="59">
        <f t="shared" si="5"/>
        <v>889.46101066131769</v>
      </c>
      <c r="AN67" s="59">
        <f ca="1">AVERAGE(OFFSET($AM$3,0,0,'Données projet'!$E$10+1,1))-AVERAGE(OFFSET($H$3,0,0,'Données projet'!$E$10+1,1))</f>
        <v>370.12772664814923</v>
      </c>
      <c r="AO67" s="59">
        <f t="shared" si="36"/>
        <v>292.26503163353146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3.8142019897681045</v>
      </c>
      <c r="AV67" s="21">
        <f>EXP(-LN(2)/25)*AV66+(1-EXP(-LN(2)/25))/(LN(2)/25)*Calculateur!AQ67*Calculateur!AS67*VLOOKUP('Données projet'!$B$10,Paramètres!$A$1:$I$89,3,0)*0.475*44/12</f>
        <v>2.5880842386396115</v>
      </c>
      <c r="AW67" s="21">
        <f>EXP(-LN(2)/2)*AW66+(1-EXP(-LN(2)/2))/(LN(2)/2)*AQ67*AT67*VLOOKUP('Données projet'!$B$10,Paramètres!$A$1:$I$89,3,0)*0.475*44/12</f>
        <v>6.0446422620208439E-5</v>
      </c>
      <c r="AX67" s="21">
        <f t="shared" si="6"/>
        <v>6.4023466748303361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8.8000000000000007</v>
      </c>
      <c r="BD67" s="12">
        <f>IF('Données projet'!$A$88&gt;35,BD66+BC67-BL66,IF(A67&lt;'Données projet'!$A$88,$BA$205^A67,IF(A67='Données projet'!$A$88,'Données projet'!$B$88,BD66+BC67-BL66)))</f>
        <v>280.2</v>
      </c>
      <c r="BE67" s="13">
        <f>BD67*VLOOKUP('Données projet'!$B$11,Paramètres!$A$1:$I$89,3,0)*VLOOKUP('Données projet'!$B$11,Paramètres!$A$1:$I$89,5,0)</f>
        <v>301.60727999999995</v>
      </c>
      <c r="BF67" s="13">
        <f t="shared" si="37"/>
        <v>71.513306244453176</v>
      </c>
      <c r="BG67" s="20">
        <f t="shared" si="7"/>
        <v>649.85168770908911</v>
      </c>
      <c r="BH67" s="59">
        <f t="shared" si="8"/>
        <v>943.18502104242248</v>
      </c>
      <c r="BI67" s="59">
        <f ca="1">AVERAGE(OFFSET($BH$3,0,0,'Données projet'!$E$11+1,1))-AVERAGE(OFFSET($H$3,0,0,'Données projet'!$E$11+1,1))</f>
        <v>475.01366239340246</v>
      </c>
      <c r="BJ67" s="59">
        <f t="shared" si="38"/>
        <v>322.81767004794284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4.4342167147830516</v>
      </c>
      <c r="BQ67" s="21">
        <f>EXP(-LN(2)/25)*BQ66+(1-EXP(-LN(2)/25))/(LN(2)/25)*Calculateur!BL67*Calculateur!BN67*VLOOKUP('Données projet'!$B$11,Paramètres!$A$1:$I$89,3,0)*0.475*44/12</f>
        <v>4.3402749169980162</v>
      </c>
      <c r="BR67" s="21">
        <f>EXP(-LN(2)/2)*BR66+(1-EXP(-LN(2)/2))/(LN(2)/2)*BL67*BO67*VLOOKUP('Données projet'!$B$11,Paramètres!$A$1:$I$89,3,0)*0.475*44/12</f>
        <v>7.7465116390925683E-5</v>
      </c>
      <c r="BS67" s="22">
        <f t="shared" si="9"/>
        <v>8.7745690968974586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7.2</v>
      </c>
      <c r="BY67" s="12">
        <f>IF('Données projet'!$A$114&gt;35,BY66+BX67-CG66,IF(A67&lt;'Données projet'!$A$114,$BV$205^A67,IF(A67='Données projet'!$A$114,'Données projet'!$B$114,BY66+BX67-CG66)))</f>
        <v>221.79999999999993</v>
      </c>
      <c r="BZ67" s="13">
        <f>BY67*VLOOKUP('Données projet'!$B$12,Paramètres!$A$1:$I$89,3,0)*VLOOKUP('Données projet'!$B$12,Paramètres!$A$1:$I$89,5,0)</f>
        <v>148.78343999999996</v>
      </c>
      <c r="CA67" s="13">
        <f t="shared" si="39"/>
        <v>38.301987100118879</v>
      </c>
      <c r="CB67" s="20">
        <f t="shared" si="10"/>
        <v>325.8404521993736</v>
      </c>
      <c r="CC67" s="59">
        <f t="shared" si="11"/>
        <v>619.17378553270692</v>
      </c>
      <c r="CD67" s="59">
        <f ca="1">AVERAGE(OFFSET($CC$3,0,0,'Données projet'!$E$12+1,1))-AVERAGE(OFFSET($H$3,0,0,'Données projet'!$E$12+1,1))</f>
        <v>254.8851926268614</v>
      </c>
      <c r="CE67" s="59">
        <f t="shared" si="40"/>
        <v>182.11500693273973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1.5532501475514489</v>
      </c>
      <c r="CL67" s="21">
        <f>EXP(-LN(2)/25)*CL66+(1-EXP(-LN(2)/25))/(LN(2)/25)*Calculateur!CG67*Calculateur!CI67*VLOOKUP('Données projet'!$B$12,Paramètres!$A$1:$I$89,3,0)*0.475*44/12</f>
        <v>1.4935245109971922</v>
      </c>
      <c r="CM67" s="21">
        <f>EXP(-LN(2)/2)*CM66+(1-EXP(-LN(2)/2))/(LN(2)/2)*CG67*CJ67*VLOOKUP('Données projet'!$B$12,Paramètres!$A$1:$I$89,3,0)*0.475*44/12</f>
        <v>3.4518669817086125E-5</v>
      </c>
      <c r="CN67" s="22">
        <f t="shared" si="12"/>
        <v>3.0468091772184582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256.66666666666669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1.4210854715202004E-13</v>
      </c>
      <c r="O68" s="13">
        <f>N68*VLOOKUP('Données projet'!$B$9,Paramètres!$A$1:$I$89,3,0)*VLOOKUP('Données projet'!$B$9,Paramètres!$A$1:$I$89,5,0)</f>
        <v>1.4853185348329134E-13</v>
      </c>
      <c r="P68" s="13">
        <f t="shared" si="33"/>
        <v>2.1309431512949395E-12</v>
      </c>
      <c r="Q68" s="20">
        <f t="shared" si="54"/>
        <v>3.9700856333220852E-12</v>
      </c>
      <c r="R68" s="59">
        <f t="shared" si="55"/>
        <v>293.33333333333729</v>
      </c>
      <c r="S68" s="59">
        <f ca="1">AVERAGE(OFFSET($R$3,0,0,'Données projet'!$E$9+1,1))-AVERAGE(OFFSET($H$3,0,0,'Données projet'!$E$9+1,1))</f>
        <v>241.84492910369795</v>
      </c>
      <c r="T68" s="59">
        <f t="shared" si="34"/>
        <v>338.04336767245667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3.0274388688753686</v>
      </c>
      <c r="AA68" s="21">
        <f>EXP(-LN(2)/25)*AA67+(1-EXP(-LN(2)/25))/(LN(2)/25)*Calculateur!V68*Calculateur!X68*VLOOKUP('Données projet'!$B$9,Paramètres!$A$1:$I$89,3,0)*0.475*44/12</f>
        <v>5.2654110391519771</v>
      </c>
      <c r="AB68" s="21">
        <f>EXP(-LN(2)/2)*AB67+(1-EXP(-LN(2)/2))/(LN(2)/2)*V68*Y68*VLOOKUP('Données projet'!$B$9,Paramètres!$A$1:$I$89,3,0)*0.475*44/12</f>
        <v>4.6642652483600073E-5</v>
      </c>
      <c r="AC68" s="22">
        <f t="shared" ref="AC68:AC131" si="57">SUM(Z68:AB68)</f>
        <v>8.2928965506798296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16.625</v>
      </c>
      <c r="AI68" s="13">
        <f>IF('Données projet'!$A$62&gt;35,AI67+AH68-AQ67,IF(A68&lt;'Données projet'!$A$62,$AF$205^A68,IF(A68='Données projet'!$A$62,'Données projet'!$B$62,AI67+AH68-AQ67)))</f>
        <v>478.37499999999994</v>
      </c>
      <c r="AJ68" s="13">
        <f>AI68*VLOOKUP('Données projet'!$B$10,Paramètres!$A$1:$I$89,3,0)*VLOOKUP('Données projet'!$B$10,Paramètres!$A$1:$I$89,5,0)</f>
        <v>286.06824999999998</v>
      </c>
      <c r="AK68" s="13">
        <f t="shared" si="35"/>
        <v>68.247799922382825</v>
      </c>
      <c r="AL68" s="20">
        <f t="shared" ref="AL68:AL131" si="58">(AJ68+AK68)*0.475*44/12</f>
        <v>617.10045361481673</v>
      </c>
      <c r="AM68" s="59">
        <f t="shared" ref="AM68:AM131" si="59">AL68+(AD68+AE68)*44/12</f>
        <v>910.4337869481501</v>
      </c>
      <c r="AN68" s="59">
        <f ca="1">AVERAGE(OFFSET($AM$3,0,0,'Données projet'!$E$10+1,1))-AVERAGE(OFFSET($H$3,0,0,'Données projet'!$E$10+1,1))</f>
        <v>370.12772664814923</v>
      </c>
      <c r="AO68" s="59">
        <f t="shared" si="36"/>
        <v>292.26503163353146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3.7394078151822496</v>
      </c>
      <c r="AV68" s="21">
        <f>EXP(-LN(2)/25)*AV67+(1-EXP(-LN(2)/25))/(LN(2)/25)*Calculateur!AQ68*Calculateur!AS68*VLOOKUP('Données projet'!$B$10,Paramètres!$A$1:$I$89,3,0)*0.475*44/12</f>
        <v>2.5173129390325761</v>
      </c>
      <c r="AW68" s="21">
        <f>EXP(-LN(2)/2)*AW67+(1-EXP(-LN(2)/2))/(LN(2)/2)*AQ68*AT68*VLOOKUP('Données projet'!$B$10,Paramètres!$A$1:$I$89,3,0)*0.475*44/12</f>
        <v>4.274207533321731E-5</v>
      </c>
      <c r="AX68" s="21">
        <f t="shared" ref="AX68:AX131" si="60">SUM(AU68:AW68)</f>
        <v>6.2567634962901586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289</v>
      </c>
      <c r="BB68" s="12">
        <f>VLOOKUP(A68,'Données projet'!$A$87:$I$107,9,0)</f>
        <v>8.8000000000000007</v>
      </c>
      <c r="BC68" s="12">
        <f t="array" ref="BC68">INDEX(BB:BB,MIN(IF(ISNUMBER(BB68:BB264),ROW(BB68:BB264),"")))</f>
        <v>8.8000000000000007</v>
      </c>
      <c r="BD68" s="12">
        <f>IF('Données projet'!$A$88&gt;35,BD67+BC68-BL67,IF(A68&lt;'Données projet'!$A$88,$BA$205^A68,IF(A68='Données projet'!$A$88,'Données projet'!$B$88,BD67+BC68-BL67)))</f>
        <v>289</v>
      </c>
      <c r="BE68" s="13">
        <f>BD68*VLOOKUP('Données projet'!$B$11,Paramètres!$A$1:$I$89,3,0)*VLOOKUP('Données projet'!$B$11,Paramètres!$A$1:$I$89,5,0)</f>
        <v>311.07960000000003</v>
      </c>
      <c r="BF68" s="13">
        <f t="shared" si="37"/>
        <v>73.49424798183118</v>
      </c>
      <c r="BG68" s="20">
        <f t="shared" ref="BG68:BG131" si="61">(BE68+BF68)*0.475*44/12</f>
        <v>669.79945190168928</v>
      </c>
      <c r="BH68" s="59">
        <f t="shared" ref="BH68:BH131" si="62">BG68+(AY68+AZ68)*44/12</f>
        <v>963.13278523502254</v>
      </c>
      <c r="BI68" s="59">
        <f ca="1">AVERAGE(OFFSET($BH$3,0,0,'Données projet'!$E$11+1,1))-AVERAGE(OFFSET($H$3,0,0,'Données projet'!$E$11+1,1))</f>
        <v>475.01366239340246</v>
      </c>
      <c r="BJ68" s="59">
        <f t="shared" si="38"/>
        <v>322.81767004794284</v>
      </c>
      <c r="BK68" s="15">
        <f>IF(ISNA(VLOOKUP(A68,'Données projet'!$A$87:$I$107,3,0)),0,VLOOKUP(A68,'Données projet'!$A$87:$I$107,3,0))</f>
        <v>10</v>
      </c>
      <c r="BL68" s="15">
        <f>IF(ISNA(VLOOKUP(A68,'Données projet'!$A$87:$I$107,4,0)),0,VLOOKUP(A68,'Données projet'!$A$87:$I$107,4,0))</f>
        <v>28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4.3472644296112941</v>
      </c>
      <c r="BQ68" s="21">
        <f>EXP(-LN(2)/25)*BQ67+(1-EXP(-LN(2)/25))/(LN(2)/25)*Calculateur!BL68*Calculateur!BN68*VLOOKUP('Données projet'!$B$11,Paramètres!$A$1:$I$89,3,0)*0.475*44/12</f>
        <v>4.2215898711475672</v>
      </c>
      <c r="BR68" s="21">
        <f>EXP(-LN(2)/2)*BR67+(1-EXP(-LN(2)/2))/(LN(2)/2)*BL68*BO68*VLOOKUP('Données projet'!$B$11,Paramètres!$A$1:$I$89,3,0)*0.475*44/12</f>
        <v>5.4776109105428724E-5</v>
      </c>
      <c r="BS68" s="22">
        <f t="shared" ref="BS68:BS131" si="63">SUM(BP68:BR68)</f>
        <v>8.5689090768679677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>
        <f>VLOOKUP(A68,'Données projet'!$A$113:$I$133,2,0)</f>
        <v>229</v>
      </c>
      <c r="BW68" s="12">
        <f>VLOOKUP(A68,'Données projet'!$A$113:$I$133,9,0)</f>
        <v>7.2</v>
      </c>
      <c r="BX68" s="12">
        <f t="array" ref="BX68">INDEX(BW:BW,MIN(IF(ISNUMBER(BW68:BW264),ROW(BW68:BW264),"")))</f>
        <v>7.2</v>
      </c>
      <c r="BY68" s="12">
        <f>IF('Données projet'!$A$114&gt;35,BY67+BX68-CG67,IF(A68&lt;'Données projet'!$A$114,$BV$205^A68,IF(A68='Données projet'!$A$114,'Données projet'!$B$114,BY67+BX68-CG67)))</f>
        <v>228.99999999999991</v>
      </c>
      <c r="BZ68" s="13">
        <f>BY68*VLOOKUP('Données projet'!$B$12,Paramètres!$A$1:$I$89,3,0)*VLOOKUP('Données projet'!$B$12,Paramètres!$A$1:$I$89,5,0)</f>
        <v>153.61319999999995</v>
      </c>
      <c r="CA68" s="13">
        <f t="shared" si="39"/>
        <v>39.398557339898318</v>
      </c>
      <c r="CB68" s="20">
        <f t="shared" ref="CB68:CB131" si="64">(BZ68+CA68)*0.475*44/12</f>
        <v>336.16214403365615</v>
      </c>
      <c r="CC68" s="59">
        <f t="shared" ref="CC68:CC131" si="65">CB68+(BT68+BU68)*44/12</f>
        <v>629.49547736698946</v>
      </c>
      <c r="CD68" s="59">
        <f ca="1">AVERAGE(OFFSET($CC$3,0,0,'Données projet'!$E$12+1,1))-AVERAGE(OFFSET($H$3,0,0,'Données projet'!$E$12+1,1))</f>
        <v>254.8851926268614</v>
      </c>
      <c r="CE68" s="59">
        <f t="shared" si="40"/>
        <v>182.11500693273973</v>
      </c>
      <c r="CF68" s="15">
        <f>IF(ISNA(VLOOKUP(A68,'Données projet'!$A$113:$I$133,3,0)),0,VLOOKUP(A68,'Données projet'!$A$113:$I$133,3,0))</f>
        <v>9</v>
      </c>
      <c r="CG68" s="15">
        <f>IF(ISNA(VLOOKUP(A68,'Données projet'!$A$113:$I$133,4,0)),0,VLOOKUP(A68,'Données projet'!$A$113:$I$133,4,0))</f>
        <v>21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1.522791859547008</v>
      </c>
      <c r="CL68" s="21">
        <f>EXP(-LN(2)/25)*CL67+(1-EXP(-LN(2)/25))/(LN(2)/25)*Calculateur!CG68*Calculateur!CI68*VLOOKUP('Données projet'!$B$12,Paramètres!$A$1:$I$89,3,0)*0.475*44/12</f>
        <v>1.4526840047029335</v>
      </c>
      <c r="CM68" s="21">
        <f>EXP(-LN(2)/2)*CM67+(1-EXP(-LN(2)/2))/(LN(2)/2)*CG68*CJ68*VLOOKUP('Données projet'!$B$12,Paramètres!$A$1:$I$89,3,0)*0.475*44/12</f>
        <v>2.4408385505201001E-5</v>
      </c>
      <c r="CN68" s="22">
        <f t="shared" ref="CN68:CN131" si="66">SUM(CK68:CM68)</f>
        <v>2.9755002726354465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256.66666666666669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1.4210854715202004E-13</v>
      </c>
      <c r="O69" s="13">
        <f>N69*VLOOKUP('Données projet'!$B$9,Paramètres!$A$1:$I$89,3,0)*VLOOKUP('Données projet'!$B$9,Paramètres!$A$1:$I$89,5,0)</f>
        <v>1.4853185348329134E-13</v>
      </c>
      <c r="P69" s="13">
        <f t="shared" ref="P69:P132" si="87">EXP(-1.0587+0.8836*LN(O69)+0.284)</f>
        <v>2.1309431512949395E-12</v>
      </c>
      <c r="Q69" s="20">
        <f t="shared" si="54"/>
        <v>3.9700856333220852E-12</v>
      </c>
      <c r="R69" s="59">
        <f t="shared" si="55"/>
        <v>293.33333333333729</v>
      </c>
      <c r="S69" s="59">
        <f ca="1">AVERAGE(OFFSET($R$3,0,0,'Données projet'!$E$9+1,1))-AVERAGE(OFFSET($H$3,0,0,'Données projet'!$E$9+1,1))</f>
        <v>241.84492910369795</v>
      </c>
      <c r="T69" s="59">
        <f t="shared" ref="T69:T132" si="88">$T$3</f>
        <v>338.04336767245667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2.9680726392121004</v>
      </c>
      <c r="AA69" s="21">
        <f>EXP(-LN(2)/25)*AA68+(1-EXP(-LN(2)/25))/(LN(2)/25)*Calculateur!V69*Calculateur!X69*VLOOKUP('Données projet'!$B$9,Paramètres!$A$1:$I$89,3,0)*0.475*44/12</f>
        <v>5.1214280973904343</v>
      </c>
      <c r="AB69" s="21">
        <f>EXP(-LN(2)/2)*AB68+(1-EXP(-LN(2)/2))/(LN(2)/2)*V69*Y69*VLOOKUP('Données projet'!$B$9,Paramètres!$A$1:$I$89,3,0)*0.475*44/12</f>
        <v>3.2981335863681174E-5</v>
      </c>
      <c r="AC69" s="22">
        <f t="shared" si="57"/>
        <v>8.0895337179383979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>
        <f>VLOOKUP(A69,'Données projet'!$A$61:$I$81,2,0)</f>
        <v>495</v>
      </c>
      <c r="AG69" s="12">
        <f>VLOOKUP(A69,'Données projet'!$A$61:$I$81,9,0)</f>
        <v>16.625</v>
      </c>
      <c r="AH69" s="12">
        <f t="array" ref="AH69">INDEX(AG:AG,MIN(IF(ISNUMBER(AG69:AG265),ROW(AG69:AG265),"")))</f>
        <v>16.625</v>
      </c>
      <c r="AI69" s="13">
        <f>IF('Données projet'!$A$62&gt;35,AI68+AH69-AQ68,IF(A69&lt;'Données projet'!$A$62,$AF$205^A69,IF(A69='Données projet'!$A$62,'Données projet'!$B$62,AI68+AH69-AQ68)))</f>
        <v>494.99999999999994</v>
      </c>
      <c r="AJ69" s="13">
        <f>AI69*VLOOKUP('Données projet'!$B$10,Paramètres!$A$1:$I$89,3,0)*VLOOKUP('Données projet'!$B$10,Paramètres!$A$1:$I$89,5,0)</f>
        <v>296.01</v>
      </c>
      <c r="AK69" s="13">
        <f t="shared" ref="AK69:AK132" si="89">EXP(-1.0587+0.8836*LN(AJ69)+0.284)</f>
        <v>70.339355522692159</v>
      </c>
      <c r="AL69" s="20">
        <f t="shared" si="58"/>
        <v>638.05846086868871</v>
      </c>
      <c r="AM69" s="59">
        <f t="shared" si="59"/>
        <v>931.39179420202208</v>
      </c>
      <c r="AN69" s="59">
        <f ca="1">AVERAGE(OFFSET($AM$3,0,0,'Données projet'!$E$10+1,1))-AVERAGE(OFFSET($H$3,0,0,'Données projet'!$E$10+1,1))</f>
        <v>370.12772664814923</v>
      </c>
      <c r="AO69" s="59">
        <f t="shared" ref="AO69:AO132" si="90">$AO$3</f>
        <v>292.26503163353146</v>
      </c>
      <c r="AP69" s="15">
        <f>IF(ISNA(VLOOKUP(A69,'Données projet'!$A$61:$I$81,3,0)),0,VLOOKUP(A69,'Données projet'!$A$61:$I$81,3,0))</f>
        <v>9</v>
      </c>
      <c r="AQ69" s="15">
        <f>IF(ISNA(VLOOKUP(A69,'Données projet'!$A$61:$I$81,4,0)),0,VLOOKUP(A69,'Données projet'!$A$61:$I$81,4,0))</f>
        <v>65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3.6660803087400815</v>
      </c>
      <c r="AV69" s="21">
        <f>EXP(-LN(2)/25)*AV68+(1-EXP(-LN(2)/25))/(LN(2)/25)*Calculateur!AQ69*Calculateur!AS69*VLOOKUP('Données projet'!$B$10,Paramètres!$A$1:$I$89,3,0)*0.475*44/12</f>
        <v>2.4484768843349962</v>
      </c>
      <c r="AW69" s="21">
        <f>EXP(-LN(2)/2)*AW68+(1-EXP(-LN(2)/2))/(LN(2)/2)*AQ69*AT69*VLOOKUP('Données projet'!$B$10,Paramètres!$A$1:$I$89,3,0)*0.475*44/12</f>
        <v>3.0223211310104226E-5</v>
      </c>
      <c r="AX69" s="21">
        <f t="shared" si="60"/>
        <v>6.1145874162863878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8.1999999999999993</v>
      </c>
      <c r="BD69" s="12">
        <f>IF('Données projet'!$A$88&gt;35,BD68+BC69-BL68,IF(A69&lt;'Données projet'!$A$88,$BA$205^A69,IF(A69='Données projet'!$A$88,'Données projet'!$B$88,BD68+BC69-BL68)))</f>
        <v>269.2</v>
      </c>
      <c r="BE69" s="13">
        <f>BD69*VLOOKUP('Données projet'!$B$11,Paramètres!$A$1:$I$89,3,0)*VLOOKUP('Données projet'!$B$11,Paramètres!$A$1:$I$89,5,0)</f>
        <v>289.76688000000001</v>
      </c>
      <c r="BF69" s="13">
        <f t="shared" ref="BF69:BF132" si="91">EXP(-1.0587+0.8836*LN(BE69)+0.284)</f>
        <v>69.026894594073823</v>
      </c>
      <c r="BG69" s="20">
        <f t="shared" si="61"/>
        <v>624.8991574180119</v>
      </c>
      <c r="BH69" s="59">
        <f t="shared" si="62"/>
        <v>918.23249075134527</v>
      </c>
      <c r="BI69" s="59">
        <f ca="1">AVERAGE(OFFSET($BH$3,0,0,'Données projet'!$E$11+1,1))-AVERAGE(OFFSET($H$3,0,0,'Données projet'!$E$11+1,1))</f>
        <v>475.01366239340246</v>
      </c>
      <c r="BJ69" s="59">
        <f t="shared" ref="BJ69:BJ132" si="92">$BJ$3</f>
        <v>322.81767004794284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4.2620172257160975</v>
      </c>
      <c r="BQ69" s="21">
        <f>EXP(-LN(2)/25)*BQ68+(1-EXP(-LN(2)/25))/(LN(2)/25)*Calculateur!BL69*Calculateur!BN69*VLOOKUP('Données projet'!$B$11,Paramètres!$A$1:$I$89,3,0)*0.475*44/12</f>
        <v>4.1061502741172742</v>
      </c>
      <c r="BR69" s="21">
        <f>EXP(-LN(2)/2)*BR68+(1-EXP(-LN(2)/2))/(LN(2)/2)*BL69*BO69*VLOOKUP('Données projet'!$B$11,Paramètres!$A$1:$I$89,3,0)*0.475*44/12</f>
        <v>3.8732558195462842E-5</v>
      </c>
      <c r="BS69" s="22">
        <f t="shared" si="63"/>
        <v>8.368206232391568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6.8</v>
      </c>
      <c r="BY69" s="12">
        <f>IF('Données projet'!$A$114&gt;35,BY68+BX69-CG68,IF(A69&lt;'Données projet'!$A$114,$BV$205^A69,IF(A69='Données projet'!$A$114,'Données projet'!$B$114,BY68+BX69-CG68)))</f>
        <v>214.79999999999993</v>
      </c>
      <c r="BZ69" s="13">
        <f>BY69*VLOOKUP('Données projet'!$B$12,Paramètres!$A$1:$I$89,3,0)*VLOOKUP('Données projet'!$B$12,Paramètres!$A$1:$I$89,5,0)</f>
        <v>144.08783999999994</v>
      </c>
      <c r="CA69" s="13">
        <f t="shared" ref="CA69:CA132" si="93">EXP(-1.0587+0.8836*LN(BZ69)+0.284)</f>
        <v>37.231897858558654</v>
      </c>
      <c r="CB69" s="20">
        <f t="shared" si="64"/>
        <v>315.79854343698958</v>
      </c>
      <c r="CC69" s="59">
        <f t="shared" si="65"/>
        <v>609.13187677032283</v>
      </c>
      <c r="CD69" s="59">
        <f ca="1">AVERAGE(OFFSET($CC$3,0,0,'Données projet'!$E$12+1,1))-AVERAGE(OFFSET($H$3,0,0,'Données projet'!$E$12+1,1))</f>
        <v>254.8851926268614</v>
      </c>
      <c r="CE69" s="59">
        <f t="shared" ref="CE69:CE132" si="94">$CE$3</f>
        <v>182.11500693273973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1.4929308399926131</v>
      </c>
      <c r="CL69" s="21">
        <f>EXP(-LN(2)/25)*CL68+(1-EXP(-LN(2)/25))/(LN(2)/25)*Calculateur!CG69*Calculateur!CI69*VLOOKUP('Données projet'!$B$12,Paramètres!$A$1:$I$89,3,0)*0.475*44/12</f>
        <v>1.4129602842010001</v>
      </c>
      <c r="CM69" s="21">
        <f>EXP(-LN(2)/2)*CM68+(1-EXP(-LN(2)/2))/(LN(2)/2)*CG69*CJ69*VLOOKUP('Données projet'!$B$12,Paramètres!$A$1:$I$89,3,0)*0.475*44/12</f>
        <v>1.7259334908543063E-5</v>
      </c>
      <c r="CN69" s="22">
        <f t="shared" si="66"/>
        <v>2.9059083835285215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256.66666666666669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1.4210854715202004E-13</v>
      </c>
      <c r="O70" s="13">
        <f>N70*VLOOKUP('Données projet'!$B$9,Paramètres!$A$1:$I$89,3,0)*VLOOKUP('Données projet'!$B$9,Paramètres!$A$1:$I$89,5,0)</f>
        <v>1.4853185348329134E-13</v>
      </c>
      <c r="P70" s="13">
        <f t="shared" si="87"/>
        <v>2.1309431512949395E-12</v>
      </c>
      <c r="Q70" s="20">
        <f t="shared" si="54"/>
        <v>3.9700856333220852E-12</v>
      </c>
      <c r="R70" s="59">
        <f t="shared" si="55"/>
        <v>293.33333333333729</v>
      </c>
      <c r="S70" s="59">
        <f ca="1">AVERAGE(OFFSET($R$3,0,0,'Données projet'!$E$9+1,1))-AVERAGE(OFFSET($H$3,0,0,'Données projet'!$E$9+1,1))</f>
        <v>241.84492910369795</v>
      </c>
      <c r="T70" s="59">
        <f t="shared" si="88"/>
        <v>338.04336767245667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2.909870545102704</v>
      </c>
      <c r="AA70" s="21">
        <f>EXP(-LN(2)/25)*AA69+(1-EXP(-LN(2)/25))/(LN(2)/25)*Calculateur!V70*Calculateur!X70*VLOOKUP('Données projet'!$B$9,Paramètres!$A$1:$I$89,3,0)*0.475*44/12</f>
        <v>4.9813823767430945</v>
      </c>
      <c r="AB70" s="21">
        <f>EXP(-LN(2)/2)*AB69+(1-EXP(-LN(2)/2))/(LN(2)/2)*V70*Y70*VLOOKUP('Données projet'!$B$9,Paramètres!$A$1:$I$89,3,0)*0.475*44/12</f>
        <v>2.3321326241800037E-5</v>
      </c>
      <c r="AC70" s="22">
        <f t="shared" si="57"/>
        <v>7.8912762431720402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12.875</v>
      </c>
      <c r="AI70" s="13">
        <f>IF('Données projet'!$A$62&gt;35,AI69+AH70-AQ69,IF(A70&lt;'Données projet'!$A$62,$AF$205^A70,IF(A70='Données projet'!$A$62,'Données projet'!$B$62,AI69+AH70-AQ69)))</f>
        <v>442.87499999999994</v>
      </c>
      <c r="AJ70" s="13">
        <f>AI70*VLOOKUP('Données projet'!$B$10,Paramètres!$A$1:$I$89,3,0)*VLOOKUP('Données projet'!$B$10,Paramètres!$A$1:$I$89,5,0)</f>
        <v>264.83924999999999</v>
      </c>
      <c r="AK70" s="13">
        <f t="shared" si="89"/>
        <v>63.752800756768096</v>
      </c>
      <c r="AL70" s="20">
        <f t="shared" si="58"/>
        <v>572.29782173470437</v>
      </c>
      <c r="AM70" s="59">
        <f t="shared" si="59"/>
        <v>865.63115506803774</v>
      </c>
      <c r="AN70" s="59">
        <f ca="1">AVERAGE(OFFSET($AM$3,0,0,'Données projet'!$E$10+1,1))-AVERAGE(OFFSET($H$3,0,0,'Données projet'!$E$10+1,1))</f>
        <v>370.12772664814923</v>
      </c>
      <c r="AO70" s="59">
        <f t="shared" si="90"/>
        <v>292.26503163353146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3.5941907099738817</v>
      </c>
      <c r="AV70" s="21">
        <f>EXP(-LN(2)/25)*AV69+(1-EXP(-LN(2)/25))/(LN(2)/25)*Calculateur!AQ70*Calculateur!AS70*VLOOKUP('Données projet'!$B$10,Paramètres!$A$1:$I$89,3,0)*0.475*44/12</f>
        <v>2.3815231551730527</v>
      </c>
      <c r="AW70" s="21">
        <f>EXP(-LN(2)/2)*AW69+(1-EXP(-LN(2)/2))/(LN(2)/2)*AQ70*AT70*VLOOKUP('Données projet'!$B$10,Paramètres!$A$1:$I$89,3,0)*0.475*44/12</f>
        <v>2.1371037666608658E-5</v>
      </c>
      <c r="AX70" s="21">
        <f t="shared" si="60"/>
        <v>5.975735236184601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8.1999999999999993</v>
      </c>
      <c r="BD70" s="12">
        <f>IF('Données projet'!$A$88&gt;35,BD69+BC70-BL69,IF(A70&lt;'Données projet'!$A$88,$BA$205^A70,IF(A70='Données projet'!$A$88,'Données projet'!$B$88,BD69+BC70-BL69)))</f>
        <v>277.39999999999998</v>
      </c>
      <c r="BE70" s="13">
        <f>BD70*VLOOKUP('Données projet'!$B$11,Paramètres!$A$1:$I$89,3,0)*VLOOKUP('Données projet'!$B$11,Paramètres!$A$1:$I$89,5,0)</f>
        <v>298.59335999999996</v>
      </c>
      <c r="BF70" s="13">
        <f t="shared" si="91"/>
        <v>70.88149709045409</v>
      </c>
      <c r="BG70" s="20">
        <f t="shared" si="61"/>
        <v>643.50204276587419</v>
      </c>
      <c r="BH70" s="59">
        <f t="shared" si="62"/>
        <v>936.83537609920745</v>
      </c>
      <c r="BI70" s="59">
        <f ca="1">AVERAGE(OFFSET($BH$3,0,0,'Données projet'!$E$11+1,1))-AVERAGE(OFFSET($H$3,0,0,'Données projet'!$E$11+1,1))</f>
        <v>475.01366239340246</v>
      </c>
      <c r="BJ70" s="59">
        <f t="shared" si="92"/>
        <v>322.81767004794284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4.178441667493626</v>
      </c>
      <c r="BQ70" s="21">
        <f>EXP(-LN(2)/25)*BQ69+(1-EXP(-LN(2)/25))/(LN(2)/25)*Calculateur!BL70*Calculateur!BN70*VLOOKUP('Données projet'!$B$11,Paramètres!$A$1:$I$89,3,0)*0.475*44/12</f>
        <v>3.9938673789384791</v>
      </c>
      <c r="BR70" s="21">
        <f>EXP(-LN(2)/2)*BR69+(1-EXP(-LN(2)/2))/(LN(2)/2)*BL70*BO70*VLOOKUP('Données projet'!$B$11,Paramètres!$A$1:$I$89,3,0)*0.475*44/12</f>
        <v>2.7388054552714362E-5</v>
      </c>
      <c r="BS70" s="22">
        <f t="shared" si="63"/>
        <v>8.1723364344866578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6.8</v>
      </c>
      <c r="BY70" s="12">
        <f>IF('Données projet'!$A$114&gt;35,BY69+BX70-CG69,IF(A70&lt;'Données projet'!$A$114,$BV$205^A70,IF(A70='Données projet'!$A$114,'Données projet'!$B$114,BY69+BX70-CG69)))</f>
        <v>221.59999999999994</v>
      </c>
      <c r="BZ70" s="13">
        <f>BY70*VLOOKUP('Données projet'!$B$12,Paramètres!$A$1:$I$89,3,0)*VLOOKUP('Données projet'!$B$12,Paramètres!$A$1:$I$89,5,0)</f>
        <v>148.64927999999995</v>
      </c>
      <c r="CA70" s="13">
        <f t="shared" si="93"/>
        <v>38.271468243038449</v>
      </c>
      <c r="CB70" s="20">
        <f t="shared" si="64"/>
        <v>325.55363652329186</v>
      </c>
      <c r="CC70" s="59">
        <f t="shared" si="65"/>
        <v>618.88696985662523</v>
      </c>
      <c r="CD70" s="59">
        <f ca="1">AVERAGE(OFFSET($CC$3,0,0,'Données projet'!$E$12+1,1))-AVERAGE(OFFSET($H$3,0,0,'Données projet'!$E$12+1,1))</f>
        <v>254.8851926268614</v>
      </c>
      <c r="CE70" s="59">
        <f t="shared" si="94"/>
        <v>182.11500693273973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1.4636553768182563</v>
      </c>
      <c r="CL70" s="21">
        <f>EXP(-LN(2)/25)*CL69+(1-EXP(-LN(2)/25))/(LN(2)/25)*Calculateur!CG70*Calculateur!CI70*VLOOKUP('Données projet'!$B$12,Paramètres!$A$1:$I$89,3,0)*0.475*44/12</f>
        <v>1.3743228109251717</v>
      </c>
      <c r="CM70" s="21">
        <f>EXP(-LN(2)/2)*CM69+(1-EXP(-LN(2)/2))/(LN(2)/2)*CG70*CJ70*VLOOKUP('Données projet'!$B$12,Paramètres!$A$1:$I$89,3,0)*0.475*44/12</f>
        <v>1.2204192752600501E-5</v>
      </c>
      <c r="CN70" s="22">
        <f t="shared" si="66"/>
        <v>2.8379903919361804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256.66666666666669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1.4210854715202004E-13</v>
      </c>
      <c r="O71" s="13">
        <f>N71*VLOOKUP('Données projet'!$B$9,Paramètres!$A$1:$I$89,3,0)*VLOOKUP('Données projet'!$B$9,Paramètres!$A$1:$I$89,5,0)</f>
        <v>1.4853185348329134E-13</v>
      </c>
      <c r="P71" s="13">
        <f t="shared" si="87"/>
        <v>2.1309431512949395E-12</v>
      </c>
      <c r="Q71" s="20">
        <f t="shared" si="54"/>
        <v>3.9700856333220852E-12</v>
      </c>
      <c r="R71" s="59">
        <f t="shared" si="55"/>
        <v>293.33333333333729</v>
      </c>
      <c r="S71" s="59">
        <f ca="1">AVERAGE(OFFSET($R$3,0,0,'Données projet'!$E$9+1,1))-AVERAGE(OFFSET($H$3,0,0,'Données projet'!$E$9+1,1))</f>
        <v>241.84492910369795</v>
      </c>
      <c r="T71" s="59">
        <f t="shared" si="88"/>
        <v>338.04336767245667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2.8528097585590211</v>
      </c>
      <c r="AA71" s="21">
        <f>EXP(-LN(2)/25)*AA70+(1-EXP(-LN(2)/25))/(LN(2)/25)*Calculateur!V71*Calculateur!X71*VLOOKUP('Données projet'!$B$9,Paramètres!$A$1:$I$89,3,0)*0.475*44/12</f>
        <v>4.8451662136915408</v>
      </c>
      <c r="AB71" s="21">
        <f>EXP(-LN(2)/2)*AB70+(1-EXP(-LN(2)/2))/(LN(2)/2)*V71*Y71*VLOOKUP('Données projet'!$B$9,Paramètres!$A$1:$I$89,3,0)*0.475*44/12</f>
        <v>1.6490667931840587E-5</v>
      </c>
      <c r="AC71" s="22">
        <f t="shared" si="57"/>
        <v>7.6979924629184939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12.875</v>
      </c>
      <c r="AI71" s="13">
        <f>IF('Données projet'!$A$62&gt;35,AI70+AH71-AQ70,IF(A71&lt;'Données projet'!$A$62,$AF$205^A71,IF(A71='Données projet'!$A$62,'Données projet'!$B$62,AI70+AH71-AQ70)))</f>
        <v>455.74999999999994</v>
      </c>
      <c r="AJ71" s="13">
        <f>AI71*VLOOKUP('Données projet'!$B$10,Paramètres!$A$1:$I$89,3,0)*VLOOKUP('Données projet'!$B$10,Paramètres!$A$1:$I$89,5,0)</f>
        <v>272.5385</v>
      </c>
      <c r="AK71" s="13">
        <f t="shared" si="89"/>
        <v>65.387709293034902</v>
      </c>
      <c r="AL71" s="20">
        <f t="shared" si="58"/>
        <v>588.55481451870241</v>
      </c>
      <c r="AM71" s="59">
        <f t="shared" si="59"/>
        <v>881.88814785203567</v>
      </c>
      <c r="AN71" s="59">
        <f ca="1">AVERAGE(OFFSET($AM$3,0,0,'Données projet'!$E$10+1,1))-AVERAGE(OFFSET($H$3,0,0,'Données projet'!$E$10+1,1))</f>
        <v>370.12772664814923</v>
      </c>
      <c r="AO71" s="59">
        <f t="shared" si="90"/>
        <v>292.26503163353146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3.5237108223911613</v>
      </c>
      <c r="AV71" s="21">
        <f>EXP(-LN(2)/25)*AV70+(1-EXP(-LN(2)/25))/(LN(2)/25)*Calculateur!AQ71*Calculateur!AS71*VLOOKUP('Données projet'!$B$10,Paramètres!$A$1:$I$89,3,0)*0.475*44/12</f>
        <v>2.3164002792559857</v>
      </c>
      <c r="AW71" s="21">
        <f>EXP(-LN(2)/2)*AW70+(1-EXP(-LN(2)/2))/(LN(2)/2)*AQ71*AT71*VLOOKUP('Données projet'!$B$10,Paramètres!$A$1:$I$89,3,0)*0.475*44/12</f>
        <v>1.5111605655052115E-5</v>
      </c>
      <c r="AX71" s="21">
        <f t="shared" si="60"/>
        <v>5.8401262132528018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8.1999999999999993</v>
      </c>
      <c r="BD71" s="12">
        <f>IF('Données projet'!$A$88&gt;35,BD70+BC71-BL70,IF(A71&lt;'Données projet'!$A$88,$BA$205^A71,IF(A71='Données projet'!$A$88,'Données projet'!$B$88,BD70+BC71-BL70)))</f>
        <v>285.59999999999997</v>
      </c>
      <c r="BE71" s="13">
        <f>BD71*VLOOKUP('Données projet'!$B$11,Paramètres!$A$1:$I$89,3,0)*VLOOKUP('Données projet'!$B$11,Paramètres!$A$1:$I$89,5,0)</f>
        <v>307.41983999999997</v>
      </c>
      <c r="BF71" s="13">
        <f t="shared" si="91"/>
        <v>72.729728242133774</v>
      </c>
      <c r="BG71" s="20">
        <f t="shared" si="61"/>
        <v>662.09383135504959</v>
      </c>
      <c r="BH71" s="59">
        <f t="shared" si="62"/>
        <v>955.42716468838285</v>
      </c>
      <c r="BI71" s="59">
        <f ca="1">AVERAGE(OFFSET($BH$3,0,0,'Données projet'!$E$11+1,1))-AVERAGE(OFFSET($H$3,0,0,'Données projet'!$E$11+1,1))</f>
        <v>475.01366239340246</v>
      </c>
      <c r="BJ71" s="59">
        <f t="shared" si="92"/>
        <v>322.81767004794284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4.0965049749918396</v>
      </c>
      <c r="BQ71" s="21">
        <f>EXP(-LN(2)/25)*BQ70+(1-EXP(-LN(2)/25))/(LN(2)/25)*Calculateur!BL71*Calculateur!BN71*VLOOKUP('Données projet'!$B$11,Paramètres!$A$1:$I$89,3,0)*0.475*44/12</f>
        <v>3.8846548654330491</v>
      </c>
      <c r="BR71" s="21">
        <f>EXP(-LN(2)/2)*BR70+(1-EXP(-LN(2)/2))/(LN(2)/2)*BL71*BO71*VLOOKUP('Données projet'!$B$11,Paramètres!$A$1:$I$89,3,0)*0.475*44/12</f>
        <v>1.9366279097731421E-5</v>
      </c>
      <c r="BS71" s="22">
        <f t="shared" si="63"/>
        <v>7.9811792067039864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6.8</v>
      </c>
      <c r="BY71" s="12">
        <f>IF('Données projet'!$A$114&gt;35,BY70+BX71-CG70,IF(A71&lt;'Données projet'!$A$114,$BV$205^A71,IF(A71='Données projet'!$A$114,'Données projet'!$B$114,BY70+BX71-CG70)))</f>
        <v>228.39999999999995</v>
      </c>
      <c r="BZ71" s="13">
        <f>BY71*VLOOKUP('Données projet'!$B$12,Paramètres!$A$1:$I$89,3,0)*VLOOKUP('Données projet'!$B$12,Paramètres!$A$1:$I$89,5,0)</f>
        <v>153.21071999999995</v>
      </c>
      <c r="CA71" s="13">
        <f t="shared" si="93"/>
        <v>39.307331456095298</v>
      </c>
      <c r="CB71" s="20">
        <f t="shared" si="64"/>
        <v>335.30227295269918</v>
      </c>
      <c r="CC71" s="59">
        <f t="shared" si="65"/>
        <v>628.6356062860325</v>
      </c>
      <c r="CD71" s="59">
        <f ca="1">AVERAGE(OFFSET($CC$3,0,0,'Données projet'!$E$12+1,1))-AVERAGE(OFFSET($H$3,0,0,'Données projet'!$E$12+1,1))</f>
        <v>254.8851926268614</v>
      </c>
      <c r="CE71" s="59">
        <f t="shared" si="94"/>
        <v>182.11500693273973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1.4349539876204793</v>
      </c>
      <c r="CL71" s="21">
        <f>EXP(-LN(2)/25)*CL70+(1-EXP(-LN(2)/25))/(LN(2)/25)*Calculateur!CG71*Calculateur!CI71*VLOOKUP('Données projet'!$B$12,Paramètres!$A$1:$I$89,3,0)*0.475*44/12</f>
        <v>1.3367418813879273</v>
      </c>
      <c r="CM71" s="21">
        <f>EXP(-LN(2)/2)*CM70+(1-EXP(-LN(2)/2))/(LN(2)/2)*CG71*CJ71*VLOOKUP('Données projet'!$B$12,Paramètres!$A$1:$I$89,3,0)*0.475*44/12</f>
        <v>8.6296674542715313E-6</v>
      </c>
      <c r="CN71" s="22">
        <f t="shared" si="66"/>
        <v>2.7717044986758612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256.66666666666669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1.4210854715202004E-13</v>
      </c>
      <c r="O72" s="13">
        <f>N72*VLOOKUP('Données projet'!$B$9,Paramètres!$A$1:$I$89,3,0)*VLOOKUP('Données projet'!$B$9,Paramètres!$A$1:$I$89,5,0)</f>
        <v>1.4853185348329134E-13</v>
      </c>
      <c r="P72" s="13">
        <f t="shared" si="87"/>
        <v>2.1309431512949395E-12</v>
      </c>
      <c r="Q72" s="20">
        <f t="shared" si="54"/>
        <v>3.9700856333220852E-12</v>
      </c>
      <c r="R72" s="59">
        <f t="shared" si="55"/>
        <v>293.33333333333729</v>
      </c>
      <c r="S72" s="59">
        <f ca="1">AVERAGE(OFFSET($R$3,0,0,'Données projet'!$E$9+1,1))-AVERAGE(OFFSET($H$3,0,0,'Données projet'!$E$9+1,1))</f>
        <v>241.84492910369795</v>
      </c>
      <c r="T72" s="59">
        <f t="shared" si="88"/>
        <v>338.04336767245667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2.7968678992358167</v>
      </c>
      <c r="AA72" s="21">
        <f>EXP(-LN(2)/25)*AA71+(1-EXP(-LN(2)/25))/(LN(2)/25)*Calculateur!V72*Calculateur!X72*VLOOKUP('Données projet'!$B$9,Paramètres!$A$1:$I$89,3,0)*0.475*44/12</f>
        <v>4.7126748887819279</v>
      </c>
      <c r="AB72" s="21">
        <f>EXP(-LN(2)/2)*AB71+(1-EXP(-LN(2)/2))/(LN(2)/2)*V72*Y72*VLOOKUP('Données projet'!$B$9,Paramètres!$A$1:$I$89,3,0)*0.475*44/12</f>
        <v>1.1660663120900018E-5</v>
      </c>
      <c r="AC72" s="22">
        <f t="shared" si="57"/>
        <v>7.5095544486808663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12.875</v>
      </c>
      <c r="AI72" s="13">
        <f>IF('Données projet'!$A$62&gt;35,AI71+AH72-AQ71,IF(A72&lt;'Données projet'!$A$62,$AF$205^A72,IF(A72='Données projet'!$A$62,'Données projet'!$B$62,AI71+AH72-AQ71)))</f>
        <v>468.62499999999994</v>
      </c>
      <c r="AJ72" s="13">
        <f>AI72*VLOOKUP('Données projet'!$B$10,Paramètres!$A$1:$I$89,3,0)*VLOOKUP('Données projet'!$B$10,Paramètres!$A$1:$I$89,5,0)</f>
        <v>280.23775000000001</v>
      </c>
      <c r="AK72" s="13">
        <f t="shared" si="89"/>
        <v>67.017249808465152</v>
      </c>
      <c r="AL72" s="20">
        <f t="shared" si="58"/>
        <v>604.80245799974352</v>
      </c>
      <c r="AM72" s="59">
        <f t="shared" si="59"/>
        <v>898.1357913330769</v>
      </c>
      <c r="AN72" s="59">
        <f ca="1">AVERAGE(OFFSET($AM$3,0,0,'Données projet'!$E$10+1,1))-AVERAGE(OFFSET($H$3,0,0,'Données projet'!$E$10+1,1))</f>
        <v>370.12772664814923</v>
      </c>
      <c r="AO72" s="59">
        <f t="shared" si="90"/>
        <v>292.26503163353146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3.4546130024154516</v>
      </c>
      <c r="AV72" s="21">
        <f>EXP(-LN(2)/25)*AV71+(1-EXP(-LN(2)/25))/(LN(2)/25)*Calculateur!AQ72*Calculateur!AS72*VLOOKUP('Données projet'!$B$10,Paramètres!$A$1:$I$89,3,0)*0.475*44/12</f>
        <v>2.2530581918055343</v>
      </c>
      <c r="AW72" s="21">
        <f>EXP(-LN(2)/2)*AW71+(1-EXP(-LN(2)/2))/(LN(2)/2)*AQ72*AT72*VLOOKUP('Données projet'!$B$10,Paramètres!$A$1:$I$89,3,0)*0.475*44/12</f>
        <v>1.0685518833304331E-5</v>
      </c>
      <c r="AX72" s="21">
        <f t="shared" si="60"/>
        <v>5.7076818797398188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8.1999999999999993</v>
      </c>
      <c r="BD72" s="12">
        <f>IF('Données projet'!$A$88&gt;35,BD71+BC72-BL71,IF(A72&lt;'Données projet'!$A$88,$BA$205^A72,IF(A72='Données projet'!$A$88,'Données projet'!$B$88,BD71+BC72-BL71)))</f>
        <v>293.79999999999995</v>
      </c>
      <c r="BE72" s="13">
        <f>BD72*VLOOKUP('Données projet'!$B$11,Paramètres!$A$1:$I$89,3,0)*VLOOKUP('Données projet'!$B$11,Paramètres!$A$1:$I$89,5,0)</f>
        <v>316.24631999999991</v>
      </c>
      <c r="BF72" s="13">
        <f t="shared" si="91"/>
        <v>74.57179198892409</v>
      </c>
      <c r="BG72" s="20">
        <f t="shared" si="61"/>
        <v>680.67487838070929</v>
      </c>
      <c r="BH72" s="59">
        <f t="shared" si="62"/>
        <v>974.00821171404255</v>
      </c>
      <c r="BI72" s="59">
        <f ca="1">AVERAGE(OFFSET($BH$3,0,0,'Données projet'!$E$11+1,1))-AVERAGE(OFFSET($H$3,0,0,'Données projet'!$E$11+1,1))</f>
        <v>475.01366239340246</v>
      </c>
      <c r="BJ72" s="59">
        <f t="shared" si="92"/>
        <v>322.81767004794284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4.0161750110535657</v>
      </c>
      <c r="BQ72" s="21">
        <f>EXP(-LN(2)/25)*BQ71+(1-EXP(-LN(2)/25))/(LN(2)/25)*Calculateur!BL72*Calculateur!BN72*VLOOKUP('Données projet'!$B$11,Paramètres!$A$1:$I$89,3,0)*0.475*44/12</f>
        <v>3.7784287738526614</v>
      </c>
      <c r="BR72" s="21">
        <f>EXP(-LN(2)/2)*BR71+(1-EXP(-LN(2)/2))/(LN(2)/2)*BL72*BO72*VLOOKUP('Données projet'!$B$11,Paramètres!$A$1:$I$89,3,0)*0.475*44/12</f>
        <v>1.3694027276357181E-5</v>
      </c>
      <c r="BS72" s="22">
        <f t="shared" si="63"/>
        <v>7.7946174789335041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6.8</v>
      </c>
      <c r="BY72" s="12">
        <f>IF('Données projet'!$A$114&gt;35,BY71+BX72-CG71,IF(A72&lt;'Données projet'!$A$114,$BV$205^A72,IF(A72='Données projet'!$A$114,'Données projet'!$B$114,BY71+BX72-CG71)))</f>
        <v>235.19999999999996</v>
      </c>
      <c r="BZ72" s="13">
        <f>BY72*VLOOKUP('Données projet'!$B$12,Paramètres!$A$1:$I$89,3,0)*VLOOKUP('Données projet'!$B$12,Paramètres!$A$1:$I$89,5,0)</f>
        <v>157.77215999999999</v>
      </c>
      <c r="CA72" s="13">
        <f t="shared" si="93"/>
        <v>40.339610539653599</v>
      </c>
      <c r="CB72" s="20">
        <f t="shared" si="64"/>
        <v>345.04466702322998</v>
      </c>
      <c r="CC72" s="59">
        <f t="shared" si="65"/>
        <v>638.37800035656323</v>
      </c>
      <c r="CD72" s="59">
        <f ca="1">AVERAGE(OFFSET($CC$3,0,0,'Données projet'!$E$12+1,1))-AVERAGE(OFFSET($H$3,0,0,'Données projet'!$E$12+1,1))</f>
        <v>254.8851926268614</v>
      </c>
      <c r="CE72" s="59">
        <f t="shared" si="94"/>
        <v>182.11500693273973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1.4068154151587517</v>
      </c>
      <c r="CL72" s="21">
        <f>EXP(-LN(2)/25)*CL71+(1-EXP(-LN(2)/25))/(LN(2)/25)*Calculateur!CG72*Calculateur!CI72*VLOOKUP('Données projet'!$B$12,Paramètres!$A$1:$I$89,3,0)*0.475*44/12</f>
        <v>1.300188604345174</v>
      </c>
      <c r="CM72" s="21">
        <f>EXP(-LN(2)/2)*CM71+(1-EXP(-LN(2)/2))/(LN(2)/2)*CG72*CJ72*VLOOKUP('Données projet'!$B$12,Paramètres!$A$1:$I$89,3,0)*0.475*44/12</f>
        <v>6.1020963763002503E-6</v>
      </c>
      <c r="CN72" s="22">
        <f t="shared" si="66"/>
        <v>2.7070101216003022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256.66666666666669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1.4210854715202004E-13</v>
      </c>
      <c r="O73" s="13">
        <f>N73*VLOOKUP('Données projet'!$B$9,Paramètres!$A$1:$I$89,3,0)*VLOOKUP('Données projet'!$B$9,Paramètres!$A$1:$I$89,5,0)</f>
        <v>1.4853185348329134E-13</v>
      </c>
      <c r="P73" s="13">
        <f t="shared" si="87"/>
        <v>2.1309431512949395E-12</v>
      </c>
      <c r="Q73" s="20">
        <f t="shared" si="54"/>
        <v>3.9700856333220852E-12</v>
      </c>
      <c r="R73" s="59">
        <f t="shared" si="55"/>
        <v>293.33333333333729</v>
      </c>
      <c r="S73" s="59">
        <f ca="1">AVERAGE(OFFSET($R$3,0,0,'Données projet'!$E$9+1,1))-AVERAGE(OFFSET($H$3,0,0,'Données projet'!$E$9+1,1))</f>
        <v>241.84492910369795</v>
      </c>
      <c r="T73" s="59">
        <f t="shared" si="88"/>
        <v>338.04336767245667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2.7420230256527751</v>
      </c>
      <c r="AA73" s="21">
        <f>EXP(-LN(2)/25)*AA72+(1-EXP(-LN(2)/25))/(LN(2)/25)*Calculateur!V73*Calculateur!X73*VLOOKUP('Données projet'!$B$9,Paramètres!$A$1:$I$89,3,0)*0.475*44/12</f>
        <v>4.5838065461193844</v>
      </c>
      <c r="AB73" s="21">
        <f>EXP(-LN(2)/2)*AB72+(1-EXP(-LN(2)/2))/(LN(2)/2)*V73*Y73*VLOOKUP('Données projet'!$B$9,Paramètres!$A$1:$I$89,3,0)*0.475*44/12</f>
        <v>8.2453339659202936E-6</v>
      </c>
      <c r="AC73" s="22">
        <f t="shared" si="57"/>
        <v>7.3258378171061249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12.875</v>
      </c>
      <c r="AI73" s="13">
        <f>IF('Données projet'!$A$62&gt;35,AI72+AH73-AQ72,IF(A73&lt;'Données projet'!$A$62,$AF$205^A73,IF(A73='Données projet'!$A$62,'Données projet'!$B$62,AI72+AH73-AQ72)))</f>
        <v>481.49999999999994</v>
      </c>
      <c r="AJ73" s="13">
        <f>AI73*VLOOKUP('Données projet'!$B$10,Paramètres!$A$1:$I$89,3,0)*VLOOKUP('Données projet'!$B$10,Paramètres!$A$1:$I$89,5,0)</f>
        <v>287.93700000000001</v>
      </c>
      <c r="AK73" s="13">
        <f t="shared" si="89"/>
        <v>68.641586729718156</v>
      </c>
      <c r="AL73" s="20">
        <f t="shared" si="58"/>
        <v>621.04103855425899</v>
      </c>
      <c r="AM73" s="59">
        <f t="shared" si="59"/>
        <v>914.37437188759236</v>
      </c>
      <c r="AN73" s="59">
        <f ca="1">AVERAGE(OFFSET($AM$3,0,0,'Données projet'!$E$10+1,1))-AVERAGE(OFFSET($H$3,0,0,'Données projet'!$E$10+1,1))</f>
        <v>370.12772664814923</v>
      </c>
      <c r="AO73" s="59">
        <f t="shared" si="90"/>
        <v>292.26503163353146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3.3868701485439567</v>
      </c>
      <c r="AV73" s="21">
        <f>EXP(-LN(2)/25)*AV72+(1-EXP(-LN(2)/25))/(LN(2)/25)*Calculateur!AQ73*Calculateur!AS73*VLOOKUP('Données projet'!$B$10,Paramètres!$A$1:$I$89,3,0)*0.475*44/12</f>
        <v>2.1914481970674311</v>
      </c>
      <c r="AW73" s="21">
        <f>EXP(-LN(2)/2)*AW72+(1-EXP(-LN(2)/2))/(LN(2)/2)*AQ73*AT73*VLOOKUP('Données projet'!$B$10,Paramètres!$A$1:$I$89,3,0)*0.475*44/12</f>
        <v>7.555802827526059E-6</v>
      </c>
      <c r="AX73" s="21">
        <f t="shared" si="60"/>
        <v>5.5783259014142157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302</v>
      </c>
      <c r="BB73" s="12">
        <f>VLOOKUP(A73,'Données projet'!$A$87:$I$107,9,0)</f>
        <v>8.1999999999999993</v>
      </c>
      <c r="BC73" s="12">
        <f t="array" ref="BC73">INDEX(BB:BB,MIN(IF(ISNUMBER(BB73:BB269),ROW(BB73:BB269),"")))</f>
        <v>8.1999999999999993</v>
      </c>
      <c r="BD73" s="12">
        <f>IF('Données projet'!$A$88&gt;35,BD72+BC73-BL72,IF(A73&lt;'Données projet'!$A$88,$BA$205^A73,IF(A73='Données projet'!$A$88,'Données projet'!$B$88,BD72+BC73-BL72)))</f>
        <v>301.99999999999994</v>
      </c>
      <c r="BE73" s="13">
        <f>BD73*VLOOKUP('Données projet'!$B$11,Paramètres!$A$1:$I$89,3,0)*VLOOKUP('Données projet'!$B$11,Paramètres!$A$1:$I$89,5,0)</f>
        <v>325.07279999999992</v>
      </c>
      <c r="BF73" s="13">
        <f t="shared" si="91"/>
        <v>76.407880238933714</v>
      </c>
      <c r="BG73" s="20">
        <f t="shared" si="61"/>
        <v>699.24551808280933</v>
      </c>
      <c r="BH73" s="59">
        <f t="shared" si="62"/>
        <v>992.5788514161427</v>
      </c>
      <c r="BI73" s="59">
        <f ca="1">AVERAGE(OFFSET($BH$3,0,0,'Données projet'!$E$11+1,1))-AVERAGE(OFFSET($H$3,0,0,'Données projet'!$E$11+1,1))</f>
        <v>475.01366239340246</v>
      </c>
      <c r="BJ73" s="59">
        <f t="shared" si="92"/>
        <v>322.81767004794284</v>
      </c>
      <c r="BK73" s="15">
        <f>IF(ISNA(VLOOKUP(A73,'Données projet'!$A$87:$I$107,3,0)),0,VLOOKUP(A73,'Données projet'!$A$87:$I$107,3,0))</f>
        <v>11</v>
      </c>
      <c r="BL73" s="15">
        <f>IF(ISNA(VLOOKUP(A73,'Données projet'!$A$87:$I$107,4,0)),0,VLOOKUP(A73,'Données projet'!$A$87:$I$107,4,0))</f>
        <v>28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3.9374202687116817</v>
      </c>
      <c r="BQ73" s="21">
        <f>EXP(-LN(2)/25)*BQ72+(1-EXP(-LN(2)/25))/(LN(2)/25)*Calculateur!BL73*Calculateur!BN73*VLOOKUP('Données projet'!$B$11,Paramètres!$A$1:$I$89,3,0)*0.475*44/12</f>
        <v>3.6751074403327268</v>
      </c>
      <c r="BR73" s="21">
        <f>EXP(-LN(2)/2)*BR72+(1-EXP(-LN(2)/2))/(LN(2)/2)*BL73*BO73*VLOOKUP('Données projet'!$B$11,Paramètres!$A$1:$I$89,3,0)*0.475*44/12</f>
        <v>9.6831395488657104E-6</v>
      </c>
      <c r="BS73" s="22">
        <f t="shared" si="63"/>
        <v>7.6125373921839579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242</v>
      </c>
      <c r="BW73" s="12">
        <f>VLOOKUP(A73,'Données projet'!$A$113:$I$133,9,0)</f>
        <v>6.8</v>
      </c>
      <c r="BX73" s="12">
        <f t="array" ref="BX73">INDEX(BW:BW,MIN(IF(ISNUMBER(BW73:BW269),ROW(BW73:BW269),"")))</f>
        <v>6.8</v>
      </c>
      <c r="BY73" s="12">
        <f>IF('Données projet'!$A$114&gt;35,BY72+BX73-CG72,IF(A73&lt;'Données projet'!$A$114,$BV$205^A73,IF(A73='Données projet'!$A$114,'Données projet'!$B$114,BY72+BX73-CG72)))</f>
        <v>241.99999999999997</v>
      </c>
      <c r="BZ73" s="13">
        <f>BY73*VLOOKUP('Données projet'!$B$12,Paramètres!$A$1:$I$89,3,0)*VLOOKUP('Données projet'!$B$12,Paramètres!$A$1:$I$89,5,0)</f>
        <v>162.33359999999999</v>
      </c>
      <c r="CA73" s="13">
        <f t="shared" si="93"/>
        <v>41.368421016378349</v>
      </c>
      <c r="CB73" s="20">
        <f t="shared" si="64"/>
        <v>354.78101993685891</v>
      </c>
      <c r="CC73" s="59">
        <f t="shared" si="65"/>
        <v>648.11435327019217</v>
      </c>
      <c r="CD73" s="59">
        <f ca="1">AVERAGE(OFFSET($CC$3,0,0,'Données projet'!$E$12+1,1))-AVERAGE(OFFSET($H$3,0,0,'Données projet'!$E$12+1,1))</f>
        <v>254.8851926268614</v>
      </c>
      <c r="CE73" s="59">
        <f t="shared" si="94"/>
        <v>182.11500693273973</v>
      </c>
      <c r="CF73" s="15">
        <f>IF(ISNA(VLOOKUP(A73,'Données projet'!$A$113:$I$133,3,0)),0,VLOOKUP(A73,'Données projet'!$A$113:$I$133,3,0))</f>
        <v>10</v>
      </c>
      <c r="CG73" s="15">
        <f>IF(ISNA(VLOOKUP(A73,'Données projet'!$A$113:$I$133,4,0)),0,VLOOKUP(A73,'Données projet'!$A$113:$I$133,4,0))</f>
        <v>21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1.3792286229401642</v>
      </c>
      <c r="CL73" s="21">
        <f>EXP(-LN(2)/25)*CL72+(1-EXP(-LN(2)/25))/(LN(2)/25)*Calculateur!CG73*Calculateur!CI73*VLOOKUP('Données projet'!$B$12,Paramètres!$A$1:$I$89,3,0)*0.475*44/12</f>
        <v>1.2646348785854082</v>
      </c>
      <c r="CM73" s="21">
        <f>EXP(-LN(2)/2)*CM72+(1-EXP(-LN(2)/2))/(LN(2)/2)*CG73*CJ73*VLOOKUP('Données projet'!$B$12,Paramètres!$A$1:$I$89,3,0)*0.475*44/12</f>
        <v>4.3148337271357656E-6</v>
      </c>
      <c r="CN73" s="22">
        <f t="shared" si="66"/>
        <v>2.6438678163592999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256.66666666666669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1.4210854715202004E-13</v>
      </c>
      <c r="O74" s="13">
        <f>N74*VLOOKUP('Données projet'!$B$9,Paramètres!$A$1:$I$89,3,0)*VLOOKUP('Données projet'!$B$9,Paramètres!$A$1:$I$89,5,0)</f>
        <v>1.4853185348329134E-13</v>
      </c>
      <c r="P74" s="13">
        <f t="shared" si="87"/>
        <v>2.1309431512949395E-12</v>
      </c>
      <c r="Q74" s="20">
        <f t="shared" si="54"/>
        <v>3.9700856333220852E-12</v>
      </c>
      <c r="R74" s="59">
        <f t="shared" si="55"/>
        <v>293.33333333333729</v>
      </c>
      <c r="S74" s="59">
        <f ca="1">AVERAGE(OFFSET($R$3,0,0,'Données projet'!$E$9+1,1))-AVERAGE(OFFSET($H$3,0,0,'Données projet'!$E$9+1,1))</f>
        <v>241.84492910369795</v>
      </c>
      <c r="T74" s="59">
        <f t="shared" si="88"/>
        <v>338.04336767245667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2.6882536265886272</v>
      </c>
      <c r="AA74" s="21">
        <f>EXP(-LN(2)/25)*AA73+(1-EXP(-LN(2)/25))/(LN(2)/25)*Calculateur!V74*Calculateur!X74*VLOOKUP('Données projet'!$B$9,Paramètres!$A$1:$I$89,3,0)*0.475*44/12</f>
        <v>4.4584621150638402</v>
      </c>
      <c r="AB74" s="21">
        <f>EXP(-LN(2)/2)*AB73+(1-EXP(-LN(2)/2))/(LN(2)/2)*V74*Y74*VLOOKUP('Données projet'!$B$9,Paramètres!$A$1:$I$89,3,0)*0.475*44/12</f>
        <v>5.8303315604500092E-6</v>
      </c>
      <c r="AC74" s="22">
        <f t="shared" si="57"/>
        <v>7.1467215719840285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12.875</v>
      </c>
      <c r="AI74" s="13">
        <f>IF('Données projet'!$A$62&gt;35,AI73+AH74-AQ73,IF(A74&lt;'Données projet'!$A$62,$AF$205^A74,IF(A74='Données projet'!$A$62,'Données projet'!$B$62,AI73+AH74-AQ73)))</f>
        <v>494.37499999999994</v>
      </c>
      <c r="AJ74" s="13">
        <f>AI74*VLOOKUP('Données projet'!$B$10,Paramètres!$A$1:$I$89,3,0)*VLOOKUP('Données projet'!$B$10,Paramètres!$A$1:$I$89,5,0)</f>
        <v>295.63625000000002</v>
      </c>
      <c r="AK74" s="13">
        <f t="shared" si="89"/>
        <v>70.260875189476423</v>
      </c>
      <c r="AL74" s="20">
        <f t="shared" si="58"/>
        <v>637.27082637167155</v>
      </c>
      <c r="AM74" s="59">
        <f t="shared" si="59"/>
        <v>930.6041597050048</v>
      </c>
      <c r="AN74" s="59">
        <f ca="1">AVERAGE(OFFSET($AM$3,0,0,'Données projet'!$E$10+1,1))-AVERAGE(OFFSET($H$3,0,0,'Données projet'!$E$10+1,1))</f>
        <v>370.12772664814923</v>
      </c>
      <c r="AO74" s="59">
        <f t="shared" si="90"/>
        <v>292.26503163353146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3.3204556907178207</v>
      </c>
      <c r="AV74" s="21">
        <f>EXP(-LN(2)/25)*AV73+(1-EXP(-LN(2)/25))/(LN(2)/25)*Calculateur!AQ74*Calculateur!AS74*VLOOKUP('Données projet'!$B$10,Paramètres!$A$1:$I$89,3,0)*0.475*44/12</f>
        <v>2.13152293087537</v>
      </c>
      <c r="AW74" s="21">
        <f>EXP(-LN(2)/2)*AW73+(1-EXP(-LN(2)/2))/(LN(2)/2)*AQ74*AT74*VLOOKUP('Données projet'!$B$10,Paramètres!$A$1:$I$89,3,0)*0.475*44/12</f>
        <v>5.3427594166521663E-6</v>
      </c>
      <c r="AX74" s="21">
        <f t="shared" si="60"/>
        <v>5.4519839643526069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7.6</v>
      </c>
      <c r="BD74" s="12">
        <f>IF('Données projet'!$A$88&gt;35,BD73+BC74-BL73,IF(A74&lt;'Données projet'!$A$88,$BA$205^A74,IF(A74='Données projet'!$A$88,'Données projet'!$B$88,BD73+BC74-BL73)))</f>
        <v>281.59999999999997</v>
      </c>
      <c r="BE74" s="13">
        <f>BD74*VLOOKUP('Données projet'!$B$11,Paramètres!$A$1:$I$89,3,0)*VLOOKUP('Données projet'!$B$11,Paramètres!$A$1:$I$89,5,0)</f>
        <v>303.11424</v>
      </c>
      <c r="BF74" s="13">
        <f t="shared" si="91"/>
        <v>71.828934878193564</v>
      </c>
      <c r="BG74" s="20">
        <f t="shared" si="61"/>
        <v>653.02602957952047</v>
      </c>
      <c r="BH74" s="59">
        <f t="shared" si="62"/>
        <v>946.35936291285384</v>
      </c>
      <c r="BI74" s="59">
        <f ca="1">AVERAGE(OFFSET($BH$3,0,0,'Données projet'!$E$11+1,1))-AVERAGE(OFFSET($H$3,0,0,'Données projet'!$E$11+1,1))</f>
        <v>475.01366239340246</v>
      </c>
      <c r="BJ74" s="59">
        <f t="shared" si="92"/>
        <v>322.81767004794284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3.8602098588314724</v>
      </c>
      <c r="BQ74" s="21">
        <f>EXP(-LN(2)/25)*BQ73+(1-EXP(-LN(2)/25))/(LN(2)/25)*Calculateur!BL74*Calculateur!BN74*VLOOKUP('Données projet'!$B$11,Paramètres!$A$1:$I$89,3,0)*0.475*44/12</f>
        <v>3.5746114341113278</v>
      </c>
      <c r="BR74" s="21">
        <f>EXP(-LN(2)/2)*BR73+(1-EXP(-LN(2)/2))/(LN(2)/2)*BL74*BO74*VLOOKUP('Données projet'!$B$11,Paramètres!$A$1:$I$89,3,0)*0.475*44/12</f>
        <v>6.8470136381785905E-6</v>
      </c>
      <c r="BS74" s="22">
        <f t="shared" si="63"/>
        <v>7.434828139956438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6.2</v>
      </c>
      <c r="BY74" s="12">
        <f>IF('Données projet'!$A$114&gt;35,BY73+BX74-CG73,IF(A74&lt;'Données projet'!$A$114,$BV$205^A74,IF(A74='Données projet'!$A$114,'Données projet'!$B$114,BY73+BX74-CG73)))</f>
        <v>227.19999999999996</v>
      </c>
      <c r="BZ74" s="13">
        <f>BY74*VLOOKUP('Données projet'!$B$12,Paramètres!$A$1:$I$89,3,0)*VLOOKUP('Données projet'!$B$12,Paramètres!$A$1:$I$89,5,0)</f>
        <v>152.40575999999999</v>
      </c>
      <c r="CA74" s="13">
        <f t="shared" si="93"/>
        <v>39.124795908571521</v>
      </c>
      <c r="CB74" s="20">
        <f t="shared" si="64"/>
        <v>333.58238487409534</v>
      </c>
      <c r="CC74" s="59">
        <f t="shared" si="65"/>
        <v>626.91571820742865</v>
      </c>
      <c r="CD74" s="59">
        <f ca="1">AVERAGE(OFFSET($CC$3,0,0,'Données projet'!$E$12+1,1))-AVERAGE(OFFSET($H$3,0,0,'Données projet'!$E$12+1,1))</f>
        <v>254.8851926268614</v>
      </c>
      <c r="CE74" s="59">
        <f t="shared" si="94"/>
        <v>182.11500693273973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1.3521827908907014</v>
      </c>
      <c r="CL74" s="21">
        <f>EXP(-LN(2)/25)*CL73+(1-EXP(-LN(2)/25))/(LN(2)/25)*Calculateur!CG74*Calculateur!CI74*VLOOKUP('Données projet'!$B$12,Paramètres!$A$1:$I$89,3,0)*0.475*44/12</f>
        <v>1.2300533713262323</v>
      </c>
      <c r="CM74" s="21">
        <f>EXP(-LN(2)/2)*CM73+(1-EXP(-LN(2)/2))/(LN(2)/2)*CG74*CJ74*VLOOKUP('Données projet'!$B$12,Paramètres!$A$1:$I$89,3,0)*0.475*44/12</f>
        <v>3.0510481881501251E-6</v>
      </c>
      <c r="CN74" s="22">
        <f t="shared" si="66"/>
        <v>2.582239213265122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256.66666666666669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1.4210854715202004E-13</v>
      </c>
      <c r="O75" s="13">
        <f>N75*VLOOKUP('Données projet'!$B$9,Paramètres!$A$1:$I$89,3,0)*VLOOKUP('Données projet'!$B$9,Paramètres!$A$1:$I$89,5,0)</f>
        <v>1.4853185348329134E-13</v>
      </c>
      <c r="P75" s="13">
        <f t="shared" si="87"/>
        <v>2.1309431512949395E-12</v>
      </c>
      <c r="Q75" s="20">
        <f t="shared" si="54"/>
        <v>3.9700856333220852E-12</v>
      </c>
      <c r="R75" s="59">
        <f t="shared" si="55"/>
        <v>293.33333333333729</v>
      </c>
      <c r="S75" s="59">
        <f ca="1">AVERAGE(OFFSET($R$3,0,0,'Données projet'!$E$9+1,1))-AVERAGE(OFFSET($H$3,0,0,'Données projet'!$E$9+1,1))</f>
        <v>241.84492910369795</v>
      </c>
      <c r="T75" s="59">
        <f t="shared" si="88"/>
        <v>338.04336767245667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2.6355386126440323</v>
      </c>
      <c r="AA75" s="21">
        <f>EXP(-LN(2)/25)*AA74+(1-EXP(-LN(2)/25))/(LN(2)/25)*Calculateur!V75*Calculateur!X75*VLOOKUP('Données projet'!$B$9,Paramètres!$A$1:$I$89,3,0)*0.475*44/12</f>
        <v>4.3365452340670867</v>
      </c>
      <c r="AB75" s="21">
        <f>EXP(-LN(2)/2)*AB74+(1-EXP(-LN(2)/2))/(LN(2)/2)*V75*Y75*VLOOKUP('Données projet'!$B$9,Paramètres!$A$1:$I$89,3,0)*0.475*44/12</f>
        <v>4.1226669829601468E-6</v>
      </c>
      <c r="AC75" s="22">
        <f t="shared" si="57"/>
        <v>6.9720879693781015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12.875</v>
      </c>
      <c r="AI75" s="13">
        <f>IF('Données projet'!$A$62&gt;35,AI74+AH75-AQ74,IF(A75&lt;'Données projet'!$A$62,$AF$205^A75,IF(A75='Données projet'!$A$62,'Données projet'!$B$62,AI74+AH75-AQ74)))</f>
        <v>507.24999999999994</v>
      </c>
      <c r="AJ75" s="13">
        <f>AI75*VLOOKUP('Données projet'!$B$10,Paramètres!$A$1:$I$89,3,0)*VLOOKUP('Données projet'!$B$10,Paramètres!$A$1:$I$89,5,0)</f>
        <v>303.33549999999997</v>
      </c>
      <c r="AK75" s="13">
        <f t="shared" si="89"/>
        <v>71.875261779950591</v>
      </c>
      <c r="AL75" s="20">
        <f t="shared" si="58"/>
        <v>653.49207676674712</v>
      </c>
      <c r="AM75" s="59">
        <f t="shared" si="59"/>
        <v>946.82541010008049</v>
      </c>
      <c r="AN75" s="59">
        <f ca="1">AVERAGE(OFFSET($AM$3,0,0,'Données projet'!$E$10+1,1))-AVERAGE(OFFSET($H$3,0,0,'Données projet'!$E$10+1,1))</f>
        <v>370.12772664814923</v>
      </c>
      <c r="AO75" s="59">
        <f t="shared" si="90"/>
        <v>292.26503163353146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3.2553435799008361</v>
      </c>
      <c r="AV75" s="21">
        <f>EXP(-LN(2)/25)*AV74+(1-EXP(-LN(2)/25))/(LN(2)/25)*Calculateur!AQ75*Calculateur!AS75*VLOOKUP('Données projet'!$B$10,Paramètres!$A$1:$I$89,3,0)*0.475*44/12</f>
        <v>2.0732363242386636</v>
      </c>
      <c r="AW75" s="21">
        <f>EXP(-LN(2)/2)*AW74+(1-EXP(-LN(2)/2))/(LN(2)/2)*AQ75*AT75*VLOOKUP('Données projet'!$B$10,Paramètres!$A$1:$I$89,3,0)*0.475*44/12</f>
        <v>3.7779014137630299E-6</v>
      </c>
      <c r="AX75" s="21">
        <f t="shared" si="60"/>
        <v>5.3285836820409136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7.6</v>
      </c>
      <c r="BD75" s="12">
        <f>IF('Données projet'!$A$88&gt;35,BD74+BC75-BL74,IF(A75&lt;'Données projet'!$A$88,$BA$205^A75,IF(A75='Données projet'!$A$88,'Données projet'!$B$88,BD74+BC75-BL74)))</f>
        <v>289.2</v>
      </c>
      <c r="BE75" s="13">
        <f>BD75*VLOOKUP('Données projet'!$B$11,Paramètres!$A$1:$I$89,3,0)*VLOOKUP('Données projet'!$B$11,Paramètres!$A$1:$I$89,5,0)</f>
        <v>311.29487999999998</v>
      </c>
      <c r="BF75" s="13">
        <f t="shared" si="91"/>
        <v>73.539187014795203</v>
      </c>
      <c r="BG75" s="20">
        <f t="shared" si="61"/>
        <v>670.25266671743498</v>
      </c>
      <c r="BH75" s="59">
        <f t="shared" si="62"/>
        <v>963.58600005076823</v>
      </c>
      <c r="BI75" s="59">
        <f ca="1">AVERAGE(OFFSET($BH$3,0,0,'Données projet'!$E$11+1,1))-AVERAGE(OFFSET($H$3,0,0,'Données projet'!$E$11+1,1))</f>
        <v>475.01366239340246</v>
      </c>
      <c r="BJ75" s="59">
        <f t="shared" si="92"/>
        <v>322.81767004794284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3.7845134979953139</v>
      </c>
      <c r="BQ75" s="21">
        <f>EXP(-LN(2)/25)*BQ74+(1-EXP(-LN(2)/25))/(LN(2)/25)*Calculateur!BL75*Calculateur!BN75*VLOOKUP('Données projet'!$B$11,Paramètres!$A$1:$I$89,3,0)*0.475*44/12</f>
        <v>3.4768634964649081</v>
      </c>
      <c r="BR75" s="21">
        <f>EXP(-LN(2)/2)*BR74+(1-EXP(-LN(2)/2))/(LN(2)/2)*BL75*BO75*VLOOKUP('Données projet'!$B$11,Paramètres!$A$1:$I$89,3,0)*0.475*44/12</f>
        <v>4.8415697744328552E-6</v>
      </c>
      <c r="BS75" s="22">
        <f t="shared" si="63"/>
        <v>7.2613818360299964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6.2</v>
      </c>
      <c r="BY75" s="12">
        <f>IF('Données projet'!$A$114&gt;35,BY74+BX75-CG74,IF(A75&lt;'Données projet'!$A$114,$BV$205^A75,IF(A75='Données projet'!$A$114,'Données projet'!$B$114,BY74+BX75-CG74)))</f>
        <v>233.39999999999995</v>
      </c>
      <c r="BZ75" s="13">
        <f>BY75*VLOOKUP('Données projet'!$B$12,Paramètres!$A$1:$I$89,3,0)*VLOOKUP('Données projet'!$B$12,Paramètres!$A$1:$I$89,5,0)</f>
        <v>156.56471999999997</v>
      </c>
      <c r="CA75" s="13">
        <f t="shared" si="93"/>
        <v>40.066702365401426</v>
      </c>
      <c r="CB75" s="20">
        <f t="shared" si="64"/>
        <v>342.46639395307403</v>
      </c>
      <c r="CC75" s="59">
        <f t="shared" si="65"/>
        <v>635.79972728640735</v>
      </c>
      <c r="CD75" s="59">
        <f ca="1">AVERAGE(OFFSET($CC$3,0,0,'Données projet'!$E$12+1,1))-AVERAGE(OFFSET($H$3,0,0,'Données projet'!$E$12+1,1))</f>
        <v>254.8851926268614</v>
      </c>
      <c r="CE75" s="59">
        <f t="shared" si="94"/>
        <v>182.11500693273973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1.3256673111113999</v>
      </c>
      <c r="CL75" s="21">
        <f>EXP(-LN(2)/25)*CL74+(1-EXP(-LN(2)/25))/(LN(2)/25)*Calculateur!CG75*Calculateur!CI75*VLOOKUP('Données projet'!$B$12,Paramètres!$A$1:$I$89,3,0)*0.475*44/12</f>
        <v>1.196417497201621</v>
      </c>
      <c r="CM75" s="21">
        <f>EXP(-LN(2)/2)*CM74+(1-EXP(-LN(2)/2))/(LN(2)/2)*CG75*CJ75*VLOOKUP('Données projet'!$B$12,Paramètres!$A$1:$I$89,3,0)*0.475*44/12</f>
        <v>2.1574168635678828E-6</v>
      </c>
      <c r="CN75" s="22">
        <f t="shared" si="66"/>
        <v>2.5220869657298843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256.66666666666669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1.4210854715202004E-13</v>
      </c>
      <c r="O76" s="13">
        <f>N76*VLOOKUP('Données projet'!$B$9,Paramètres!$A$1:$I$89,3,0)*VLOOKUP('Données projet'!$B$9,Paramètres!$A$1:$I$89,5,0)</f>
        <v>1.4853185348329134E-13</v>
      </c>
      <c r="P76" s="13">
        <f t="shared" si="87"/>
        <v>2.1309431512949395E-12</v>
      </c>
      <c r="Q76" s="20">
        <f t="shared" si="54"/>
        <v>3.9700856333220852E-12</v>
      </c>
      <c r="R76" s="59">
        <f t="shared" si="55"/>
        <v>293.33333333333729</v>
      </c>
      <c r="S76" s="59">
        <f ca="1">AVERAGE(OFFSET($R$3,0,0,'Données projet'!$E$9+1,1))-AVERAGE(OFFSET($H$3,0,0,'Données projet'!$E$9+1,1))</f>
        <v>241.84492910369795</v>
      </c>
      <c r="T76" s="59">
        <f t="shared" si="88"/>
        <v>338.04336767245667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2.583857307969907</v>
      </c>
      <c r="AA76" s="21">
        <f>EXP(-LN(2)/25)*AA75+(1-EXP(-LN(2)/25))/(LN(2)/25)*Calculateur!V76*Calculateur!X76*VLOOKUP('Données projet'!$B$9,Paramètres!$A$1:$I$89,3,0)*0.475*44/12</f>
        <v>4.2179621765925193</v>
      </c>
      <c r="AB76" s="21">
        <f>EXP(-LN(2)/2)*AB75+(1-EXP(-LN(2)/2))/(LN(2)/2)*V76*Y76*VLOOKUP('Données projet'!$B$9,Paramètres!$A$1:$I$89,3,0)*0.475*44/12</f>
        <v>2.9151657802250046E-6</v>
      </c>
      <c r="AC76" s="22">
        <f t="shared" si="57"/>
        <v>6.8018223997282057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12.875</v>
      </c>
      <c r="AI76" s="13">
        <f>IF('Données projet'!$A$62&gt;35,AI75+AH76-AQ75,IF(A76&lt;'Données projet'!$A$62,$AF$205^A76,IF(A76='Données projet'!$A$62,'Données projet'!$B$62,AI75+AH76-AQ75)))</f>
        <v>520.125</v>
      </c>
      <c r="AJ76" s="13">
        <f>AI76*VLOOKUP('Données projet'!$B$10,Paramètres!$A$1:$I$89,3,0)*VLOOKUP('Données projet'!$B$10,Paramètres!$A$1:$I$89,5,0)</f>
        <v>311.03475000000003</v>
      </c>
      <c r="AK76" s="13">
        <f t="shared" si="89"/>
        <v>73.484885227728896</v>
      </c>
      <c r="AL76" s="20">
        <f t="shared" si="58"/>
        <v>669.70503135496119</v>
      </c>
      <c r="AM76" s="59">
        <f t="shared" si="59"/>
        <v>963.03836468829445</v>
      </c>
      <c r="AN76" s="59">
        <f ca="1">AVERAGE(OFFSET($AM$3,0,0,'Données projet'!$E$10+1,1))-AVERAGE(OFFSET($H$3,0,0,'Données projet'!$E$10+1,1))</f>
        <v>370.12772664814923</v>
      </c>
      <c r="AO76" s="59">
        <f t="shared" si="90"/>
        <v>292.26503163353146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3.1915082778625061</v>
      </c>
      <c r="AV76" s="21">
        <f>EXP(-LN(2)/25)*AV75+(1-EXP(-LN(2)/25))/(LN(2)/25)*Calculateur!AQ76*Calculateur!AS76*VLOOKUP('Données projet'!$B$10,Paramètres!$A$1:$I$89,3,0)*0.475*44/12</f>
        <v>2.0165435679255976</v>
      </c>
      <c r="AW76" s="21">
        <f>EXP(-LN(2)/2)*AW75+(1-EXP(-LN(2)/2))/(LN(2)/2)*AQ76*AT76*VLOOKUP('Données projet'!$B$10,Paramètres!$A$1:$I$89,3,0)*0.475*44/12</f>
        <v>2.6713797083260836E-6</v>
      </c>
      <c r="AX76" s="21">
        <f t="shared" si="60"/>
        <v>5.2080545171678123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7.6</v>
      </c>
      <c r="BD76" s="12">
        <f>IF('Données projet'!$A$88&gt;35,BD75+BC76-BL75,IF(A76&lt;'Données projet'!$A$88,$BA$205^A76,IF(A76='Données projet'!$A$88,'Données projet'!$B$88,BD75+BC76-BL75)))</f>
        <v>296.8</v>
      </c>
      <c r="BE76" s="13">
        <f>BD76*VLOOKUP('Données projet'!$B$11,Paramètres!$A$1:$I$89,3,0)*VLOOKUP('Données projet'!$B$11,Paramètres!$A$1:$I$89,5,0)</f>
        <v>319.47552000000002</v>
      </c>
      <c r="BF76" s="13">
        <f t="shared" si="91"/>
        <v>75.244214982768241</v>
      </c>
      <c r="BG76" s="20">
        <f t="shared" si="61"/>
        <v>687.47020509498805</v>
      </c>
      <c r="BH76" s="59">
        <f t="shared" si="62"/>
        <v>980.80353842832142</v>
      </c>
      <c r="BI76" s="59">
        <f ca="1">AVERAGE(OFFSET($BH$3,0,0,'Données projet'!$E$11+1,1))-AVERAGE(OFFSET($H$3,0,0,'Données projet'!$E$11+1,1))</f>
        <v>475.01366239340246</v>
      </c>
      <c r="BJ76" s="59">
        <f t="shared" si="92"/>
        <v>322.81767004794284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3.7103014966249313</v>
      </c>
      <c r="BQ76" s="21">
        <f>EXP(-LN(2)/25)*BQ75+(1-EXP(-LN(2)/25))/(LN(2)/25)*Calculateur!BL76*Calculateur!BN76*VLOOKUP('Données projet'!$B$11,Paramètres!$A$1:$I$89,3,0)*0.475*44/12</f>
        <v>3.3817884813137704</v>
      </c>
      <c r="BR76" s="21">
        <f>EXP(-LN(2)/2)*BR75+(1-EXP(-LN(2)/2))/(LN(2)/2)*BL76*BO76*VLOOKUP('Données projet'!$B$11,Paramètres!$A$1:$I$89,3,0)*0.475*44/12</f>
        <v>3.4235068190892953E-6</v>
      </c>
      <c r="BS76" s="22">
        <f t="shared" si="63"/>
        <v>7.0920934014455215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6.2</v>
      </c>
      <c r="BY76" s="12">
        <f>IF('Données projet'!$A$114&gt;35,BY75+BX76-CG75,IF(A76&lt;'Données projet'!$A$114,$BV$205^A76,IF(A76='Données projet'!$A$114,'Données projet'!$B$114,BY75+BX76-CG75)))</f>
        <v>239.59999999999994</v>
      </c>
      <c r="BZ76" s="13">
        <f>BY76*VLOOKUP('Données projet'!$B$12,Paramètres!$A$1:$I$89,3,0)*VLOOKUP('Données projet'!$B$12,Paramètres!$A$1:$I$89,5,0)</f>
        <v>160.72367999999997</v>
      </c>
      <c r="CA76" s="13">
        <f t="shared" si="93"/>
        <v>41.005700554955503</v>
      </c>
      <c r="CB76" s="20">
        <f t="shared" si="64"/>
        <v>351.34533779988072</v>
      </c>
      <c r="CC76" s="59">
        <f t="shared" si="65"/>
        <v>644.67867113321404</v>
      </c>
      <c r="CD76" s="59">
        <f ca="1">AVERAGE(OFFSET($CC$3,0,0,'Données projet'!$E$12+1,1))-AVERAGE(OFFSET($H$3,0,0,'Données projet'!$E$12+1,1))</f>
        <v>254.8851926268614</v>
      </c>
      <c r="CE76" s="59">
        <f t="shared" si="94"/>
        <v>182.11500693273973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1.2996717837177247</v>
      </c>
      <c r="CL76" s="21">
        <f>EXP(-LN(2)/25)*CL75+(1-EXP(-LN(2)/25))/(LN(2)/25)*Calculateur!CG76*Calculateur!CI76*VLOOKUP('Données projet'!$B$12,Paramètres!$A$1:$I$89,3,0)*0.475*44/12</f>
        <v>1.1637013978237809</v>
      </c>
      <c r="CM76" s="21">
        <f>EXP(-LN(2)/2)*CM75+(1-EXP(-LN(2)/2))/(LN(2)/2)*CG76*CJ76*VLOOKUP('Données projet'!$B$12,Paramètres!$A$1:$I$89,3,0)*0.475*44/12</f>
        <v>1.5255240940750626E-6</v>
      </c>
      <c r="CN76" s="22">
        <f t="shared" si="66"/>
        <v>2.4633747070655998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256.66666666666669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1.4210854715202004E-13</v>
      </c>
      <c r="O77" s="13">
        <f>N77*VLOOKUP('Données projet'!$B$9,Paramètres!$A$1:$I$89,3,0)*VLOOKUP('Données projet'!$B$9,Paramètres!$A$1:$I$89,5,0)</f>
        <v>1.4853185348329134E-13</v>
      </c>
      <c r="P77" s="13">
        <f t="shared" si="87"/>
        <v>2.1309431512949395E-12</v>
      </c>
      <c r="Q77" s="20">
        <f t="shared" si="54"/>
        <v>3.9700856333220852E-12</v>
      </c>
      <c r="R77" s="59">
        <f t="shared" si="55"/>
        <v>293.33333333333729</v>
      </c>
      <c r="S77" s="59">
        <f ca="1">AVERAGE(OFFSET($R$3,0,0,'Données projet'!$E$9+1,1))-AVERAGE(OFFSET($H$3,0,0,'Données projet'!$E$9+1,1))</f>
        <v>241.84492910369795</v>
      </c>
      <c r="T77" s="59">
        <f t="shared" si="88"/>
        <v>338.04336767245667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2.5331894421579579</v>
      </c>
      <c r="AA77" s="21">
        <f>EXP(-LN(2)/25)*AA76+(1-EXP(-LN(2)/25))/(LN(2)/25)*Calculateur!V77*Calculateur!X77*VLOOKUP('Données projet'!$B$9,Paramètres!$A$1:$I$89,3,0)*0.475*44/12</f>
        <v>4.1026217790606063</v>
      </c>
      <c r="AB77" s="21">
        <f>EXP(-LN(2)/2)*AB76+(1-EXP(-LN(2)/2))/(LN(2)/2)*V77*Y77*VLOOKUP('Données projet'!$B$9,Paramètres!$A$1:$I$89,3,0)*0.475*44/12</f>
        <v>2.0613334914800734E-6</v>
      </c>
      <c r="AC77" s="22">
        <f t="shared" si="57"/>
        <v>6.6358132825520553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>
        <f>VLOOKUP(A77,'Données projet'!$A$61:$I$81,2,0)</f>
        <v>533</v>
      </c>
      <c r="AG77" s="12">
        <f>VLOOKUP(A77,'Données projet'!$A$61:$I$81,9,0)</f>
        <v>12.875</v>
      </c>
      <c r="AH77" s="12">
        <f t="array" ref="AH77">INDEX(AG:AG,MIN(IF(ISNUMBER(AG77:AG273),ROW(AG77:AG273),"")))</f>
        <v>12.875</v>
      </c>
      <c r="AI77" s="13">
        <f>IF('Données projet'!$A$62&gt;35,AI76+AH77-AQ76,IF(A77&lt;'Données projet'!$A$62,$AF$205^A77,IF(A77='Données projet'!$A$62,'Données projet'!$B$62,AI76+AH77-AQ76)))</f>
        <v>533</v>
      </c>
      <c r="AJ77" s="13">
        <f>AI77*VLOOKUP('Données projet'!$B$10,Paramètres!$A$1:$I$89,3,0)*VLOOKUP('Données projet'!$B$10,Paramètres!$A$1:$I$89,5,0)</f>
        <v>318.73400000000004</v>
      </c>
      <c r="AK77" s="13">
        <f t="shared" si="89"/>
        <v>75.089876999925679</v>
      </c>
      <c r="AL77" s="20">
        <f t="shared" si="58"/>
        <v>685.90991910820378</v>
      </c>
      <c r="AM77" s="59">
        <f t="shared" si="59"/>
        <v>979.24325244153715</v>
      </c>
      <c r="AN77" s="59">
        <f ca="1">AVERAGE(OFFSET($AM$3,0,0,'Données projet'!$E$10+1,1))-AVERAGE(OFFSET($H$3,0,0,'Données projet'!$E$10+1,1))</f>
        <v>370.12772664814923</v>
      </c>
      <c r="AO77" s="59">
        <f t="shared" si="90"/>
        <v>292.26503163353146</v>
      </c>
      <c r="AP77" s="15">
        <f>IF(ISNA(VLOOKUP(A77,'Données projet'!$A$61:$I$81,3,0)),0,VLOOKUP(A77,'Données projet'!$A$61:$I$81,3,0))</f>
        <v>10</v>
      </c>
      <c r="AQ77" s="15">
        <f>IF(ISNA(VLOOKUP(A77,'Données projet'!$A$61:$I$81,4,0)),0,VLOOKUP(A77,'Données projet'!$A$61:$I$81,4,0))</f>
        <v>37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3.1289247471614585</v>
      </c>
      <c r="AV77" s="21">
        <f>EXP(-LN(2)/25)*AV76+(1-EXP(-LN(2)/25))/(LN(2)/25)*Calculateur!AQ77*Calculateur!AS77*VLOOKUP('Données projet'!$B$10,Paramètres!$A$1:$I$89,3,0)*0.475*44/12</f>
        <v>1.9614010780152549</v>
      </c>
      <c r="AW77" s="21">
        <f>EXP(-LN(2)/2)*AW76+(1-EXP(-LN(2)/2))/(LN(2)/2)*AQ77*AT77*VLOOKUP('Données projet'!$B$10,Paramètres!$A$1:$I$89,3,0)*0.475*44/12</f>
        <v>1.8889507068815152E-6</v>
      </c>
      <c r="AX77" s="21">
        <f t="shared" si="60"/>
        <v>5.0903277141274206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7.6</v>
      </c>
      <c r="BD77" s="12">
        <f>IF('Données projet'!$A$88&gt;35,BD76+BC77-BL76,IF(A77&lt;'Données projet'!$A$88,$BA$205^A77,IF(A77='Données projet'!$A$88,'Données projet'!$B$88,BD76+BC77-BL76)))</f>
        <v>304.40000000000003</v>
      </c>
      <c r="BE77" s="13">
        <f>BD77*VLOOKUP('Données projet'!$B$11,Paramètres!$A$1:$I$89,3,0)*VLOOKUP('Données projet'!$B$11,Paramètres!$A$1:$I$89,5,0)</f>
        <v>327.65616</v>
      </c>
      <c r="BF77" s="13">
        <f t="shared" si="91"/>
        <v>76.94416793638409</v>
      </c>
      <c r="BG77" s="20">
        <f t="shared" si="61"/>
        <v>704.67890448920218</v>
      </c>
      <c r="BH77" s="59">
        <f t="shared" si="62"/>
        <v>998.01223782253555</v>
      </c>
      <c r="BI77" s="59">
        <f ca="1">AVERAGE(OFFSET($BH$3,0,0,'Données projet'!$E$11+1,1))-AVERAGE(OFFSET($H$3,0,0,'Données projet'!$E$11+1,1))</f>
        <v>475.01366239340246</v>
      </c>
      <c r="BJ77" s="59">
        <f t="shared" si="92"/>
        <v>322.81767004794284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3.6375447473365705</v>
      </c>
      <c r="BQ77" s="21">
        <f>EXP(-LN(2)/25)*BQ76+(1-EXP(-LN(2)/25))/(LN(2)/25)*Calculateur!BL77*Calculateur!BN77*VLOOKUP('Données projet'!$B$11,Paramètres!$A$1:$I$89,3,0)*0.475*44/12</f>
        <v>3.2893132974517183</v>
      </c>
      <c r="BR77" s="21">
        <f>EXP(-LN(2)/2)*BR76+(1-EXP(-LN(2)/2))/(LN(2)/2)*BL77*BO77*VLOOKUP('Données projet'!$B$11,Paramètres!$A$1:$I$89,3,0)*0.475*44/12</f>
        <v>2.4207848872164276E-6</v>
      </c>
      <c r="BS77" s="22">
        <f t="shared" si="63"/>
        <v>6.926860465573176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6.2</v>
      </c>
      <c r="BY77" s="12">
        <f>IF('Données projet'!$A$114&gt;35,BY76+BX77-CG76,IF(A77&lt;'Données projet'!$A$114,$BV$205^A77,IF(A77='Données projet'!$A$114,'Données projet'!$B$114,BY76+BX77-CG76)))</f>
        <v>245.79999999999993</v>
      </c>
      <c r="BZ77" s="13">
        <f>BY77*VLOOKUP('Données projet'!$B$12,Paramètres!$A$1:$I$89,3,0)*VLOOKUP('Données projet'!$B$12,Paramètres!$A$1:$I$89,5,0)</f>
        <v>164.88263999999995</v>
      </c>
      <c r="CA77" s="13">
        <f t="shared" si="93"/>
        <v>41.941874385207427</v>
      </c>
      <c r="CB77" s="20">
        <f t="shared" si="64"/>
        <v>360.21936255423617</v>
      </c>
      <c r="CC77" s="59">
        <f t="shared" si="65"/>
        <v>653.55269588756948</v>
      </c>
      <c r="CD77" s="59">
        <f ca="1">AVERAGE(OFFSET($CC$3,0,0,'Données projet'!$E$12+1,1))-AVERAGE(OFFSET($H$3,0,0,'Données projet'!$E$12+1,1))</f>
        <v>254.8851926268614</v>
      </c>
      <c r="CE77" s="59">
        <f t="shared" si="94"/>
        <v>182.11500693273973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1.2741860127605336</v>
      </c>
      <c r="CL77" s="21">
        <f>EXP(-LN(2)/25)*CL76+(1-EXP(-LN(2)/25))/(LN(2)/25)*Calculateur!CG77*Calculateur!CI77*VLOOKUP('Données projet'!$B$12,Paramètres!$A$1:$I$89,3,0)*0.475*44/12</f>
        <v>1.1318799219038929</v>
      </c>
      <c r="CM77" s="21">
        <f>EXP(-LN(2)/2)*CM76+(1-EXP(-LN(2)/2))/(LN(2)/2)*CG77*CJ77*VLOOKUP('Données projet'!$B$12,Paramètres!$A$1:$I$89,3,0)*0.475*44/12</f>
        <v>1.0787084317839414E-6</v>
      </c>
      <c r="CN77" s="22">
        <f t="shared" si="66"/>
        <v>2.4060670133728586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256.66666666666669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1.4210854715202004E-13</v>
      </c>
      <c r="O78" s="13">
        <f>N78*VLOOKUP('Données projet'!$B$9,Paramètres!$A$1:$I$89,3,0)*VLOOKUP('Données projet'!$B$9,Paramètres!$A$1:$I$89,5,0)</f>
        <v>1.4853185348329134E-13</v>
      </c>
      <c r="P78" s="13">
        <f t="shared" si="87"/>
        <v>2.1309431512949395E-12</v>
      </c>
      <c r="Q78" s="20">
        <f t="shared" si="54"/>
        <v>3.9700856333220852E-12</v>
      </c>
      <c r="R78" s="59">
        <f t="shared" si="55"/>
        <v>293.33333333333729</v>
      </c>
      <c r="S78" s="59">
        <f ca="1">AVERAGE(OFFSET($R$3,0,0,'Données projet'!$E$9+1,1))-AVERAGE(OFFSET($H$3,0,0,'Données projet'!$E$9+1,1))</f>
        <v>241.84492910369795</v>
      </c>
      <c r="T78" s="59">
        <f t="shared" si="88"/>
        <v>338.04336767245667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2.4835151422902348</v>
      </c>
      <c r="AA78" s="21">
        <f>EXP(-LN(2)/25)*AA77+(1-EXP(-LN(2)/25))/(LN(2)/25)*Calculateur!V78*Calculateur!X78*VLOOKUP('Données projet'!$B$9,Paramètres!$A$1:$I$89,3,0)*0.475*44/12</f>
        <v>3.9904353707646916</v>
      </c>
      <c r="AB78" s="21">
        <f>EXP(-LN(2)/2)*AB77+(1-EXP(-LN(2)/2))/(LN(2)/2)*V78*Y78*VLOOKUP('Données projet'!$B$9,Paramètres!$A$1:$I$89,3,0)*0.475*44/12</f>
        <v>1.4575828901125023E-6</v>
      </c>
      <c r="AC78" s="22">
        <f t="shared" si="57"/>
        <v>6.4739519706378168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8.875</v>
      </c>
      <c r="AI78" s="13">
        <f>IF('Données projet'!$A$62&gt;35,AI77+AH78-AQ77,IF(A78&lt;'Données projet'!$A$62,$AF$205^A78,IF(A78='Données projet'!$A$62,'Données projet'!$B$62,AI77+AH78-AQ77)))</f>
        <v>504.875</v>
      </c>
      <c r="AJ78" s="13">
        <f>AI78*VLOOKUP('Données projet'!$B$10,Paramètres!$A$1:$I$89,3,0)*VLOOKUP('Données projet'!$B$10,Paramètres!$A$1:$I$89,5,0)</f>
        <v>301.91525000000001</v>
      </c>
      <c r="AK78" s="13">
        <f t="shared" si="89"/>
        <v>71.577824610045951</v>
      </c>
      <c r="AL78" s="20">
        <f t="shared" si="58"/>
        <v>650.50043827916329</v>
      </c>
      <c r="AM78" s="59">
        <f t="shared" si="59"/>
        <v>943.83377161249655</v>
      </c>
      <c r="AN78" s="59">
        <f ca="1">AVERAGE(OFFSET($AM$3,0,0,'Données projet'!$E$10+1,1))-AVERAGE(OFFSET($H$3,0,0,'Données projet'!$E$10+1,1))</f>
        <v>370.12772664814923</v>
      </c>
      <c r="AO78" s="59">
        <f t="shared" si="90"/>
        <v>292.26503163353146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3.0675684413252737</v>
      </c>
      <c r="AV78" s="21">
        <f>EXP(-LN(2)/25)*AV77+(1-EXP(-LN(2)/25))/(LN(2)/25)*Calculateur!AQ78*Calculateur!AS78*VLOOKUP('Données projet'!$B$10,Paramètres!$A$1:$I$89,3,0)*0.475*44/12</f>
        <v>1.907766462391328</v>
      </c>
      <c r="AW78" s="21">
        <f>EXP(-LN(2)/2)*AW77+(1-EXP(-LN(2)/2))/(LN(2)/2)*AQ78*AT78*VLOOKUP('Données projet'!$B$10,Paramètres!$A$1:$I$89,3,0)*0.475*44/12</f>
        <v>1.335689854163042E-6</v>
      </c>
      <c r="AX78" s="21">
        <f t="shared" si="60"/>
        <v>4.975336239406456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312</v>
      </c>
      <c r="BB78" s="12">
        <f>VLOOKUP(A78,'Données projet'!$A$87:$I$107,9,0)</f>
        <v>7.6</v>
      </c>
      <c r="BC78" s="12">
        <f t="array" ref="BC78">INDEX(BB:BB,MIN(IF(ISNUMBER(BB78:BB274),ROW(BB78:BB274),"")))</f>
        <v>7.6</v>
      </c>
      <c r="BD78" s="12">
        <f>IF('Données projet'!$A$88&gt;35,BD77+BC78-BL77,IF(A78&lt;'Données projet'!$A$88,$BA$205^A78,IF(A78='Données projet'!$A$88,'Données projet'!$B$88,BD77+BC78-BL77)))</f>
        <v>312.00000000000006</v>
      </c>
      <c r="BE78" s="13">
        <f>BD78*VLOOKUP('Données projet'!$B$11,Paramètres!$A$1:$I$89,3,0)*VLOOKUP('Données projet'!$B$11,Paramètres!$A$1:$I$89,5,0)</f>
        <v>335.83680000000004</v>
      </c>
      <c r="BF78" s="13">
        <f t="shared" si="91"/>
        <v>78.639187157507763</v>
      </c>
      <c r="BG78" s="20">
        <f t="shared" si="61"/>
        <v>721.87901096599273</v>
      </c>
      <c r="BH78" s="59">
        <f t="shared" si="62"/>
        <v>1015.2123442993261</v>
      </c>
      <c r="BI78" s="59">
        <f ca="1">AVERAGE(OFFSET($BH$3,0,0,'Données projet'!$E$11+1,1))-AVERAGE(OFFSET($H$3,0,0,'Données projet'!$E$11+1,1))</f>
        <v>475.01366239340246</v>
      </c>
      <c r="BJ78" s="59">
        <f t="shared" si="92"/>
        <v>322.81767004794284</v>
      </c>
      <c r="BK78" s="15">
        <f>IF(ISNA(VLOOKUP(A78,'Données projet'!$A$87:$I$107,3,0)),0,VLOOKUP(A78,'Données projet'!$A$87:$I$107,3,0))</f>
        <v>12</v>
      </c>
      <c r="BL78" s="15">
        <f>IF(ISNA(VLOOKUP(A78,'Données projet'!$A$87:$I$107,4,0)),0,VLOOKUP(A78,'Données projet'!$A$87:$I$107,4,0))</f>
        <v>28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3.5662147135245195</v>
      </c>
      <c r="BQ78" s="21">
        <f>EXP(-LN(2)/25)*BQ77+(1-EXP(-LN(2)/25))/(LN(2)/25)*Calculateur!BL78*Calculateur!BN78*VLOOKUP('Données projet'!$B$11,Paramètres!$A$1:$I$89,3,0)*0.475*44/12</f>
        <v>3.1993668523554324</v>
      </c>
      <c r="BR78" s="21">
        <f>EXP(-LN(2)/2)*BR77+(1-EXP(-LN(2)/2))/(LN(2)/2)*BL78*BO78*VLOOKUP('Données projet'!$B$11,Paramètres!$A$1:$I$89,3,0)*0.475*44/12</f>
        <v>1.7117534095446476E-6</v>
      </c>
      <c r="BS78" s="22">
        <f t="shared" si="63"/>
        <v>6.7655832776333611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252</v>
      </c>
      <c r="BW78" s="12">
        <f>VLOOKUP(A78,'Données projet'!$A$113:$I$133,9,0)</f>
        <v>6.2</v>
      </c>
      <c r="BX78" s="12">
        <f t="array" ref="BX78">INDEX(BW:BW,MIN(IF(ISNUMBER(BW78:BW274),ROW(BW78:BW274),"")))</f>
        <v>6.2</v>
      </c>
      <c r="BY78" s="12">
        <f>IF('Données projet'!$A$114&gt;35,BY77+BX78-CG77,IF(A78&lt;'Données projet'!$A$114,$BV$205^A78,IF(A78='Données projet'!$A$114,'Données projet'!$B$114,BY77+BX78-CG77)))</f>
        <v>251.99999999999991</v>
      </c>
      <c r="BZ78" s="13">
        <f>BY78*VLOOKUP('Données projet'!$B$12,Paramètres!$A$1:$I$89,3,0)*VLOOKUP('Données projet'!$B$12,Paramètres!$A$1:$I$89,5,0)</f>
        <v>169.04159999999993</v>
      </c>
      <c r="CA78" s="13">
        <f t="shared" si="93"/>
        <v>42.875303289962908</v>
      </c>
      <c r="CB78" s="20">
        <f t="shared" si="64"/>
        <v>369.08860656335196</v>
      </c>
      <c r="CC78" s="59">
        <f t="shared" si="65"/>
        <v>662.42193989668522</v>
      </c>
      <c r="CD78" s="59">
        <f ca="1">AVERAGE(OFFSET($CC$3,0,0,'Données projet'!$E$12+1,1))-AVERAGE(OFFSET($H$3,0,0,'Données projet'!$E$12+1,1))</f>
        <v>254.8851926268614</v>
      </c>
      <c r="CE78" s="59">
        <f t="shared" si="94"/>
        <v>182.11500693273973</v>
      </c>
      <c r="CF78" s="15">
        <f>IF(ISNA(VLOOKUP(A78,'Données projet'!$A$113:$I$133,3,0)),0,VLOOKUP(A78,'Données projet'!$A$113:$I$133,3,0))</f>
        <v>11</v>
      </c>
      <c r="CG78" s="15">
        <f>IF(ISNA(VLOOKUP(A78,'Données projet'!$A$113:$I$133,4,0)),0,VLOOKUP(A78,'Données projet'!$A$113:$I$133,4,0))</f>
        <v>21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1.2492000022270275</v>
      </c>
      <c r="CL78" s="21">
        <f>EXP(-LN(2)/25)*CL77+(1-EXP(-LN(2)/25))/(LN(2)/25)*Calculateur!CG78*Calculateur!CI78*VLOOKUP('Données projet'!$B$12,Paramètres!$A$1:$I$89,3,0)*0.475*44/12</f>
        <v>1.1009286059164527</v>
      </c>
      <c r="CM78" s="21">
        <f>EXP(-LN(2)/2)*CM77+(1-EXP(-LN(2)/2))/(LN(2)/2)*CG78*CJ78*VLOOKUP('Données projet'!$B$12,Paramètres!$A$1:$I$89,3,0)*0.475*44/12</f>
        <v>7.6276204703753129E-7</v>
      </c>
      <c r="CN78" s="22">
        <f t="shared" si="66"/>
        <v>2.3501293709055271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256.66666666666669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1.4210854715202004E-13</v>
      </c>
      <c r="O79" s="13">
        <f>N79*VLOOKUP('Données projet'!$B$9,Paramètres!$A$1:$I$89,3,0)*VLOOKUP('Données projet'!$B$9,Paramètres!$A$1:$I$89,5,0)</f>
        <v>1.4853185348329134E-13</v>
      </c>
      <c r="P79" s="13">
        <f t="shared" si="87"/>
        <v>2.1309431512949395E-12</v>
      </c>
      <c r="Q79" s="20">
        <f t="shared" si="54"/>
        <v>3.9700856333220852E-12</v>
      </c>
      <c r="R79" s="59">
        <f t="shared" si="55"/>
        <v>293.33333333333729</v>
      </c>
      <c r="S79" s="59">
        <f ca="1">AVERAGE(OFFSET($R$3,0,0,'Données projet'!$E$9+1,1))-AVERAGE(OFFSET($H$3,0,0,'Données projet'!$E$9+1,1))</f>
        <v>241.84492910369795</v>
      </c>
      <c r="T79" s="59">
        <f t="shared" si="88"/>
        <v>338.04336767245667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2.4348149251445865</v>
      </c>
      <c r="AA79" s="21">
        <f>EXP(-LN(2)/25)*AA78+(1-EXP(-LN(2)/25))/(LN(2)/25)*Calculateur!V79*Calculateur!X79*VLOOKUP('Données projet'!$B$9,Paramètres!$A$1:$I$89,3,0)*0.475*44/12</f>
        <v>3.8813167057032554</v>
      </c>
      <c r="AB79" s="21">
        <f>EXP(-LN(2)/2)*AB78+(1-EXP(-LN(2)/2))/(LN(2)/2)*V79*Y79*VLOOKUP('Données projet'!$B$9,Paramètres!$A$1:$I$89,3,0)*0.475*44/12</f>
        <v>1.0306667457400367E-6</v>
      </c>
      <c r="AC79" s="22">
        <f t="shared" si="57"/>
        <v>6.3161326615145876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8.875</v>
      </c>
      <c r="AI79" s="13">
        <f>IF('Données projet'!$A$62&gt;35,AI78+AH79-AQ78,IF(A79&lt;'Données projet'!$A$62,$AF$205^A79,IF(A79='Données projet'!$A$62,'Données projet'!$B$62,AI78+AH79-AQ78)))</f>
        <v>513.75</v>
      </c>
      <c r="AJ79" s="13">
        <f>AI79*VLOOKUP('Données projet'!$B$10,Paramètres!$A$1:$I$89,3,0)*VLOOKUP('Données projet'!$B$10,Paramètres!$A$1:$I$89,5,0)</f>
        <v>307.22250000000003</v>
      </c>
      <c r="AK79" s="13">
        <f t="shared" si="89"/>
        <v>72.68847414066191</v>
      </c>
      <c r="AL79" s="20">
        <f t="shared" si="58"/>
        <v>661.67827996165295</v>
      </c>
      <c r="AM79" s="59">
        <f t="shared" si="59"/>
        <v>955.01161329498632</v>
      </c>
      <c r="AN79" s="59">
        <f ca="1">AVERAGE(OFFSET($AM$3,0,0,'Données projet'!$E$10+1,1))-AVERAGE(OFFSET($H$3,0,0,'Données projet'!$E$10+1,1))</f>
        <v>370.12772664814923</v>
      </c>
      <c r="AO79" s="59">
        <f t="shared" si="90"/>
        <v>292.26503163353146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3.0074152952228852</v>
      </c>
      <c r="AV79" s="21">
        <f>EXP(-LN(2)/25)*AV78+(1-EXP(-LN(2)/25))/(LN(2)/25)*Calculateur!AQ79*Calculateur!AS79*VLOOKUP('Données projet'!$B$10,Paramètres!$A$1:$I$89,3,0)*0.475*44/12</f>
        <v>1.855598488152159</v>
      </c>
      <c r="AW79" s="21">
        <f>EXP(-LN(2)/2)*AW78+(1-EXP(-LN(2)/2))/(LN(2)/2)*AQ79*AT79*VLOOKUP('Données projet'!$B$10,Paramètres!$A$1:$I$89,3,0)*0.475*44/12</f>
        <v>9.444753534407578E-7</v>
      </c>
      <c r="AX79" s="21">
        <f t="shared" si="60"/>
        <v>4.8630147278503975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7.2</v>
      </c>
      <c r="BD79" s="12">
        <f>IF('Données projet'!$A$88&gt;35,BD78+BC79-BL78,IF(A79&lt;'Données projet'!$A$88,$BA$205^A79,IF(A79='Données projet'!$A$88,'Données projet'!$B$88,BD78+BC79-BL78)))</f>
        <v>291.20000000000005</v>
      </c>
      <c r="BE79" s="13">
        <f>BD79*VLOOKUP('Données projet'!$B$11,Paramètres!$A$1:$I$89,3,0)*VLOOKUP('Données projet'!$B$11,Paramètres!$A$1:$I$89,5,0)</f>
        <v>313.44768000000005</v>
      </c>
      <c r="BF79" s="13">
        <f t="shared" si="91"/>
        <v>73.988378849122171</v>
      </c>
      <c r="BG79" s="20">
        <f t="shared" si="61"/>
        <v>674.78446916222117</v>
      </c>
      <c r="BH79" s="59">
        <f t="shared" si="62"/>
        <v>968.11780249555454</v>
      </c>
      <c r="BI79" s="59">
        <f ca="1">AVERAGE(OFFSET($BH$3,0,0,'Données projet'!$E$11+1,1))-AVERAGE(OFFSET($H$3,0,0,'Données projet'!$E$11+1,1))</f>
        <v>475.01366239340246</v>
      </c>
      <c r="BJ79" s="59">
        <f t="shared" si="92"/>
        <v>322.81767004794284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3.4962834181684981</v>
      </c>
      <c r="BQ79" s="21">
        <f>EXP(-LN(2)/25)*BQ78+(1-EXP(-LN(2)/25))/(LN(2)/25)*Calculateur!BL79*Calculateur!BN79*VLOOKUP('Données projet'!$B$11,Paramètres!$A$1:$I$89,3,0)*0.475*44/12</f>
        <v>3.1118799975303824</v>
      </c>
      <c r="BR79" s="21">
        <f>EXP(-LN(2)/2)*BR78+(1-EXP(-LN(2)/2))/(LN(2)/2)*BL79*BO79*VLOOKUP('Données projet'!$B$11,Paramètres!$A$1:$I$89,3,0)*0.475*44/12</f>
        <v>1.2103924436082138E-6</v>
      </c>
      <c r="BS79" s="22">
        <f t="shared" si="63"/>
        <v>6.6081646260913249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6</v>
      </c>
      <c r="BY79" s="12">
        <f>IF('Données projet'!$A$114&gt;35,BY78+BX79-CG78,IF(A79&lt;'Données projet'!$A$114,$BV$205^A79,IF(A79='Données projet'!$A$114,'Données projet'!$B$114,BY78+BX79-CG78)))</f>
        <v>236.99999999999989</v>
      </c>
      <c r="BZ79" s="13">
        <f>BY79*VLOOKUP('Données projet'!$B$12,Paramètres!$A$1:$I$89,3,0)*VLOOKUP('Données projet'!$B$12,Paramètres!$A$1:$I$89,5,0)</f>
        <v>158.97959999999992</v>
      </c>
      <c r="CA79" s="13">
        <f t="shared" si="93"/>
        <v>40.6122757085909</v>
      </c>
      <c r="CB79" s="20">
        <f t="shared" si="64"/>
        <v>347.62251685912901</v>
      </c>
      <c r="CC79" s="59">
        <f t="shared" si="65"/>
        <v>640.95585019246232</v>
      </c>
      <c r="CD79" s="59">
        <f ca="1">AVERAGE(OFFSET($CC$3,0,0,'Données projet'!$E$12+1,1))-AVERAGE(OFFSET($H$3,0,0,'Données projet'!$E$12+1,1))</f>
        <v>254.8851926268614</v>
      </c>
      <c r="CE79" s="59">
        <f t="shared" si="94"/>
        <v>182.11500693273973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1.224703952120122</v>
      </c>
      <c r="CL79" s="21">
        <f>EXP(-LN(2)/25)*CL78+(1-EXP(-LN(2)/25))/(LN(2)/25)*Calculateur!CG79*Calculateur!CI79*VLOOKUP('Données projet'!$B$12,Paramètres!$A$1:$I$89,3,0)*0.475*44/12</f>
        <v>1.070823655292348</v>
      </c>
      <c r="CM79" s="21">
        <f>EXP(-LN(2)/2)*CM78+(1-EXP(-LN(2)/2))/(LN(2)/2)*CG79*CJ79*VLOOKUP('Données projet'!$B$12,Paramètres!$A$1:$I$89,3,0)*0.475*44/12</f>
        <v>5.393542158919707E-7</v>
      </c>
      <c r="CN79" s="22">
        <f t="shared" si="66"/>
        <v>2.2955281467666859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256.66666666666669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1.4210854715202004E-13</v>
      </c>
      <c r="O80" s="13">
        <f>N80*VLOOKUP('Données projet'!$B$9,Paramètres!$A$1:$I$89,3,0)*VLOOKUP('Données projet'!$B$9,Paramètres!$A$1:$I$89,5,0)</f>
        <v>1.4853185348329134E-13</v>
      </c>
      <c r="P80" s="13">
        <f t="shared" si="87"/>
        <v>2.1309431512949395E-12</v>
      </c>
      <c r="Q80" s="20">
        <f t="shared" si="54"/>
        <v>3.9700856333220852E-12</v>
      </c>
      <c r="R80" s="59">
        <f t="shared" si="55"/>
        <v>293.33333333333729</v>
      </c>
      <c r="S80" s="59">
        <f ca="1">AVERAGE(OFFSET($R$3,0,0,'Données projet'!$E$9+1,1))-AVERAGE(OFFSET($H$3,0,0,'Données projet'!$E$9+1,1))</f>
        <v>241.84492910369795</v>
      </c>
      <c r="T80" s="59">
        <f t="shared" si="88"/>
        <v>338.04336767245667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2.3870696895529648</v>
      </c>
      <c r="AA80" s="21">
        <f>EXP(-LN(2)/25)*AA79+(1-EXP(-LN(2)/25))/(LN(2)/25)*Calculateur!V80*Calculateur!X80*VLOOKUP('Données projet'!$B$9,Paramètres!$A$1:$I$89,3,0)*0.475*44/12</f>
        <v>3.7751818962762251</v>
      </c>
      <c r="AB80" s="21">
        <f>EXP(-LN(2)/2)*AB79+(1-EXP(-LN(2)/2))/(LN(2)/2)*V80*Y80*VLOOKUP('Données projet'!$B$9,Paramètres!$A$1:$I$89,3,0)*0.475*44/12</f>
        <v>7.2879144505625114E-7</v>
      </c>
      <c r="AC80" s="22">
        <f t="shared" si="57"/>
        <v>6.1622523146206349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8.875</v>
      </c>
      <c r="AI80" s="13">
        <f>IF('Données projet'!$A$62&gt;35,AI79+AH80-AQ79,IF(A80&lt;'Données projet'!$A$62,$AF$205^A80,IF(A80='Données projet'!$A$62,'Données projet'!$B$62,AI79+AH80-AQ79)))</f>
        <v>522.625</v>
      </c>
      <c r="AJ80" s="13">
        <f>AI80*VLOOKUP('Données projet'!$B$10,Paramètres!$A$1:$I$89,3,0)*VLOOKUP('Données projet'!$B$10,Paramètres!$A$1:$I$89,5,0)</f>
        <v>312.52975000000004</v>
      </c>
      <c r="AK80" s="13">
        <f t="shared" si="89"/>
        <v>73.796892500493684</v>
      </c>
      <c r="AL80" s="20">
        <f t="shared" si="58"/>
        <v>672.85223568835988</v>
      </c>
      <c r="AM80" s="59">
        <f t="shared" si="59"/>
        <v>966.18556902169325</v>
      </c>
      <c r="AN80" s="59">
        <f ca="1">AVERAGE(OFFSET($AM$3,0,0,'Données projet'!$E$10+1,1))-AVERAGE(OFFSET($H$3,0,0,'Données projet'!$E$10+1,1))</f>
        <v>370.12772664814923</v>
      </c>
      <c r="AO80" s="59">
        <f t="shared" si="90"/>
        <v>292.26503163353146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2.9484417156257683</v>
      </c>
      <c r="AV80" s="21">
        <f>EXP(-LN(2)/25)*AV79+(1-EXP(-LN(2)/25))/(LN(2)/25)*Calculateur!AQ80*Calculateur!AS80*VLOOKUP('Données projet'!$B$10,Paramètres!$A$1:$I$89,3,0)*0.475*44/12</f>
        <v>1.8048570499119547</v>
      </c>
      <c r="AW80" s="21">
        <f>EXP(-LN(2)/2)*AW79+(1-EXP(-LN(2)/2))/(LN(2)/2)*AQ80*AT80*VLOOKUP('Données projet'!$B$10,Paramètres!$A$1:$I$89,3,0)*0.475*44/12</f>
        <v>6.6784492708152111E-7</v>
      </c>
      <c r="AX80" s="21">
        <f t="shared" si="60"/>
        <v>4.7532994333826499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7.2</v>
      </c>
      <c r="BD80" s="12">
        <f>IF('Données projet'!$A$88&gt;35,BD79+BC80-BL79,IF(A80&lt;'Données projet'!$A$88,$BA$205^A80,IF(A80='Données projet'!$A$88,'Données projet'!$B$88,BD79+BC80-BL79)))</f>
        <v>298.40000000000003</v>
      </c>
      <c r="BE80" s="13">
        <f>BD80*VLOOKUP('Données projet'!$B$11,Paramètres!$A$1:$I$89,3,0)*VLOOKUP('Données projet'!$B$11,Paramètres!$A$1:$I$89,5,0)</f>
        <v>321.19776000000002</v>
      </c>
      <c r="BF80" s="13">
        <f t="shared" si="91"/>
        <v>75.602516709962615</v>
      </c>
      <c r="BG80" s="20">
        <f t="shared" si="61"/>
        <v>691.09381526985146</v>
      </c>
      <c r="BH80" s="59">
        <f t="shared" si="62"/>
        <v>984.42714860318483</v>
      </c>
      <c r="BI80" s="59">
        <f ca="1">AVERAGE(OFFSET($BH$3,0,0,'Données projet'!$E$11+1,1))-AVERAGE(OFFSET($H$3,0,0,'Données projet'!$E$11+1,1))</f>
        <v>475.01366239340246</v>
      </c>
      <c r="BJ80" s="59">
        <f t="shared" si="92"/>
        <v>322.81767004794284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3.4277234328605299</v>
      </c>
      <c r="BQ80" s="21">
        <f>EXP(-LN(2)/25)*BQ79+(1-EXP(-LN(2)/25))/(LN(2)/25)*Calculateur!BL80*Calculateur!BN80*VLOOKUP('Données projet'!$B$11,Paramètres!$A$1:$I$89,3,0)*0.475*44/12</f>
        <v>3.0267854753512573</v>
      </c>
      <c r="BR80" s="21">
        <f>EXP(-LN(2)/2)*BR79+(1-EXP(-LN(2)/2))/(LN(2)/2)*BL80*BO80*VLOOKUP('Données projet'!$B$11,Paramètres!$A$1:$I$89,3,0)*0.475*44/12</f>
        <v>8.5587670477232381E-7</v>
      </c>
      <c r="BS80" s="22">
        <f t="shared" si="63"/>
        <v>6.4545097640884919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6</v>
      </c>
      <c r="BY80" s="12">
        <f>IF('Données projet'!$A$114&gt;35,BY79+BX80-CG79,IF(A80&lt;'Données projet'!$A$114,$BV$205^A80,IF(A80='Données projet'!$A$114,'Données projet'!$B$114,BY79+BX80-CG79)))</f>
        <v>242.99999999999989</v>
      </c>
      <c r="BZ80" s="13">
        <f>BY80*VLOOKUP('Données projet'!$B$12,Paramètres!$A$1:$I$89,3,0)*VLOOKUP('Données projet'!$B$12,Paramètres!$A$1:$I$89,5,0)</f>
        <v>163.00439999999992</v>
      </c>
      <c r="CA80" s="13">
        <f t="shared" si="93"/>
        <v>41.519430766049126</v>
      </c>
      <c r="CB80" s="20">
        <f t="shared" si="64"/>
        <v>356.21233858420209</v>
      </c>
      <c r="CC80" s="59">
        <f t="shared" si="65"/>
        <v>649.5456719175354</v>
      </c>
      <c r="CD80" s="59">
        <f ca="1">AVERAGE(OFFSET($CC$3,0,0,'Données projet'!$E$12+1,1))-AVERAGE(OFFSET($H$3,0,0,'Données projet'!$E$12+1,1))</f>
        <v>254.8851926268614</v>
      </c>
      <c r="CE80" s="59">
        <f t="shared" si="94"/>
        <v>182.11500693273973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1.2006882546146975</v>
      </c>
      <c r="CL80" s="21">
        <f>EXP(-LN(2)/25)*CL79+(1-EXP(-LN(2)/25))/(LN(2)/25)*Calculateur!CG80*Calculateur!CI80*VLOOKUP('Données projet'!$B$12,Paramètres!$A$1:$I$89,3,0)*0.475*44/12</f>
        <v>1.0415419261262102</v>
      </c>
      <c r="CM80" s="21">
        <f>EXP(-LN(2)/2)*CM79+(1-EXP(-LN(2)/2))/(LN(2)/2)*CG80*CJ80*VLOOKUP('Données projet'!$B$12,Paramètres!$A$1:$I$89,3,0)*0.475*44/12</f>
        <v>3.8138102351876564E-7</v>
      </c>
      <c r="CN80" s="22">
        <f t="shared" si="66"/>
        <v>2.2422305621219314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256.66666666666669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1.4210854715202004E-13</v>
      </c>
      <c r="O81" s="13">
        <f>N81*VLOOKUP('Données projet'!$B$9,Paramètres!$A$1:$I$89,3,0)*VLOOKUP('Données projet'!$B$9,Paramètres!$A$1:$I$89,5,0)</f>
        <v>1.4853185348329134E-13</v>
      </c>
      <c r="P81" s="13">
        <f t="shared" si="87"/>
        <v>2.1309431512949395E-12</v>
      </c>
      <c r="Q81" s="20">
        <f t="shared" si="54"/>
        <v>3.9700856333220852E-12</v>
      </c>
      <c r="R81" s="59">
        <f t="shared" si="55"/>
        <v>293.33333333333729</v>
      </c>
      <c r="S81" s="59">
        <f ca="1">AVERAGE(OFFSET($R$3,0,0,'Données projet'!$E$9+1,1))-AVERAGE(OFFSET($H$3,0,0,'Données projet'!$E$9+1,1))</f>
        <v>241.84492910369795</v>
      </c>
      <c r="T81" s="59">
        <f t="shared" si="88"/>
        <v>338.04336767245667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2.340260708909577</v>
      </c>
      <c r="AA81" s="21">
        <f>EXP(-LN(2)/25)*AA80+(1-EXP(-LN(2)/25))/(LN(2)/25)*Calculateur!V81*Calculateur!X81*VLOOKUP('Données projet'!$B$9,Paramètres!$A$1:$I$89,3,0)*0.475*44/12</f>
        <v>3.6719493487943642</v>
      </c>
      <c r="AB81" s="21">
        <f>EXP(-LN(2)/2)*AB80+(1-EXP(-LN(2)/2))/(LN(2)/2)*V81*Y81*VLOOKUP('Données projet'!$B$9,Paramètres!$A$1:$I$89,3,0)*0.475*44/12</f>
        <v>5.1533337287001835E-7</v>
      </c>
      <c r="AC81" s="22">
        <f t="shared" si="57"/>
        <v>6.0122105730373141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8.875</v>
      </c>
      <c r="AI81" s="13">
        <f>IF('Données projet'!$A$62&gt;35,AI80+AH81-AQ80,IF(A81&lt;'Données projet'!$A$62,$AF$205^A81,IF(A81='Données projet'!$A$62,'Données projet'!$B$62,AI80+AH81-AQ80)))</f>
        <v>531.5</v>
      </c>
      <c r="AJ81" s="13">
        <f>AI81*VLOOKUP('Données projet'!$B$10,Paramètres!$A$1:$I$89,3,0)*VLOOKUP('Données projet'!$B$10,Paramètres!$A$1:$I$89,5,0)</f>
        <v>317.83700000000005</v>
      </c>
      <c r="AK81" s="13">
        <f t="shared" si="89"/>
        <v>74.903121950927684</v>
      </c>
      <c r="AL81" s="20">
        <f t="shared" si="58"/>
        <v>684.0223790645324</v>
      </c>
      <c r="AM81" s="59">
        <f t="shared" si="59"/>
        <v>977.35571239786577</v>
      </c>
      <c r="AN81" s="59">
        <f ca="1">AVERAGE(OFFSET($AM$3,0,0,'Données projet'!$E$10+1,1))-AVERAGE(OFFSET($H$3,0,0,'Données projet'!$E$10+1,1))</f>
        <v>370.12772664814923</v>
      </c>
      <c r="AO81" s="59">
        <f t="shared" si="90"/>
        <v>292.26503163353146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2.890624571954219</v>
      </c>
      <c r="AV81" s="21">
        <f>EXP(-LN(2)/25)*AV80+(1-EXP(-LN(2)/25))/(LN(2)/25)*Calculateur!AQ81*Calculateur!AS81*VLOOKUP('Données projet'!$B$10,Paramètres!$A$1:$I$89,3,0)*0.475*44/12</f>
        <v>1.7555031389688052</v>
      </c>
      <c r="AW81" s="21">
        <f>EXP(-LN(2)/2)*AW80+(1-EXP(-LN(2)/2))/(LN(2)/2)*AQ81*AT81*VLOOKUP('Données projet'!$B$10,Paramètres!$A$1:$I$89,3,0)*0.475*44/12</f>
        <v>4.7223767672037896E-7</v>
      </c>
      <c r="AX81" s="21">
        <f t="shared" si="60"/>
        <v>4.6461281831607009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7.2</v>
      </c>
      <c r="BD81" s="12">
        <f>IF('Données projet'!$A$88&gt;35,BD80+BC81-BL80,IF(A81&lt;'Données projet'!$A$88,$BA$205^A81,IF(A81='Données projet'!$A$88,'Données projet'!$B$88,BD80+BC81-BL80)))</f>
        <v>305.60000000000002</v>
      </c>
      <c r="BE81" s="13">
        <f>BD81*VLOOKUP('Données projet'!$B$11,Paramètres!$A$1:$I$89,3,0)*VLOOKUP('Données projet'!$B$11,Paramètres!$A$1:$I$89,5,0)</f>
        <v>328.94784000000004</v>
      </c>
      <c r="BF81" s="13">
        <f t="shared" si="91"/>
        <v>77.212127032960666</v>
      </c>
      <c r="BG81" s="20">
        <f t="shared" si="61"/>
        <v>707.39527591573994</v>
      </c>
      <c r="BH81" s="59">
        <f t="shared" si="62"/>
        <v>1000.7286092490733</v>
      </c>
      <c r="BI81" s="59">
        <f ca="1">AVERAGE(OFFSET($BH$3,0,0,'Données projet'!$E$11+1,1))-AVERAGE(OFFSET($H$3,0,0,'Données projet'!$E$11+1,1))</f>
        <v>475.01366239340246</v>
      </c>
      <c r="BJ81" s="59">
        <f t="shared" si="92"/>
        <v>322.81767004794284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3.360507867046989</v>
      </c>
      <c r="BQ81" s="21">
        <f>EXP(-LN(2)/25)*BQ80+(1-EXP(-LN(2)/25))/(LN(2)/25)*Calculateur!BL81*Calculateur!BN81*VLOOKUP('Données projet'!$B$11,Paramètres!$A$1:$I$89,3,0)*0.475*44/12</f>
        <v>2.9440178673560466</v>
      </c>
      <c r="BR81" s="21">
        <f>EXP(-LN(2)/2)*BR80+(1-EXP(-LN(2)/2))/(LN(2)/2)*BL81*BO81*VLOOKUP('Données projet'!$B$11,Paramètres!$A$1:$I$89,3,0)*0.475*44/12</f>
        <v>6.051962218041069E-7</v>
      </c>
      <c r="BS81" s="22">
        <f t="shared" si="63"/>
        <v>6.3045263395992581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6</v>
      </c>
      <c r="BY81" s="12">
        <f>IF('Données projet'!$A$114&gt;35,BY80+BX81-CG80,IF(A81&lt;'Données projet'!$A$114,$BV$205^A81,IF(A81='Données projet'!$A$114,'Données projet'!$B$114,BY80+BX81-CG80)))</f>
        <v>248.99999999999989</v>
      </c>
      <c r="BZ81" s="13">
        <f>BY81*VLOOKUP('Données projet'!$B$12,Paramètres!$A$1:$I$89,3,0)*VLOOKUP('Données projet'!$B$12,Paramètres!$A$1:$I$89,5,0)</f>
        <v>167.02919999999992</v>
      </c>
      <c r="CA81" s="13">
        <f t="shared" si="93"/>
        <v>42.423982056168619</v>
      </c>
      <c r="CB81" s="20">
        <f t="shared" si="64"/>
        <v>364.7976254144935</v>
      </c>
      <c r="CC81" s="59">
        <f t="shared" si="65"/>
        <v>658.13095874782675</v>
      </c>
      <c r="CD81" s="59">
        <f ca="1">AVERAGE(OFFSET($CC$3,0,0,'Données projet'!$E$12+1,1))-AVERAGE(OFFSET($H$3,0,0,'Données projet'!$E$12+1,1))</f>
        <v>254.8851926268614</v>
      </c>
      <c r="CE81" s="59">
        <f t="shared" si="94"/>
        <v>182.11500693273973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1.1771434902892253</v>
      </c>
      <c r="CL81" s="21">
        <f>EXP(-LN(2)/25)*CL80+(1-EXP(-LN(2)/25))/(LN(2)/25)*Calculateur!CG81*Calculateur!CI81*VLOOKUP('Données projet'!$B$12,Paramètres!$A$1:$I$89,3,0)*0.475*44/12</f>
        <v>1.0130609073839796</v>
      </c>
      <c r="CM81" s="21">
        <f>EXP(-LN(2)/2)*CM80+(1-EXP(-LN(2)/2))/(LN(2)/2)*CG81*CJ81*VLOOKUP('Données projet'!$B$12,Paramètres!$A$1:$I$89,3,0)*0.475*44/12</f>
        <v>2.6967710794598535E-7</v>
      </c>
      <c r="CN81" s="22">
        <f t="shared" si="66"/>
        <v>2.1902046673503128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256.66666666666669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1.4210854715202004E-13</v>
      </c>
      <c r="O82" s="13">
        <f>N82*VLOOKUP('Données projet'!$B$9,Paramètres!$A$1:$I$89,3,0)*VLOOKUP('Données projet'!$B$9,Paramètres!$A$1:$I$89,5,0)</f>
        <v>1.4853185348329134E-13</v>
      </c>
      <c r="P82" s="13">
        <f t="shared" si="87"/>
        <v>2.1309431512949395E-12</v>
      </c>
      <c r="Q82" s="20">
        <f t="shared" si="54"/>
        <v>3.9700856333220852E-12</v>
      </c>
      <c r="R82" s="59">
        <f t="shared" si="55"/>
        <v>293.33333333333729</v>
      </c>
      <c r="S82" s="59">
        <f ca="1">AVERAGE(OFFSET($R$3,0,0,'Données projet'!$E$9+1,1))-AVERAGE(OFFSET($H$3,0,0,'Données projet'!$E$9+1,1))</f>
        <v>241.84492910369795</v>
      </c>
      <c r="T82" s="59">
        <f t="shared" si="88"/>
        <v>338.04336767245667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2.294369623825947</v>
      </c>
      <c r="AA82" s="21">
        <f>EXP(-LN(2)/25)*AA81+(1-EXP(-LN(2)/25))/(LN(2)/25)*Calculateur!V82*Calculateur!X82*VLOOKUP('Données projet'!$B$9,Paramètres!$A$1:$I$89,3,0)*0.475*44/12</f>
        <v>3.5715397007521585</v>
      </c>
      <c r="AB82" s="21">
        <f>EXP(-LN(2)/2)*AB81+(1-EXP(-LN(2)/2))/(LN(2)/2)*V82*Y82*VLOOKUP('Données projet'!$B$9,Paramètres!$A$1:$I$89,3,0)*0.475*44/12</f>
        <v>3.6439572252812557E-7</v>
      </c>
      <c r="AC82" s="22">
        <f t="shared" si="57"/>
        <v>5.8659096889738276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8.875</v>
      </c>
      <c r="AI82" s="13">
        <f>IF('Données projet'!$A$62&gt;35,AI81+AH82-AQ81,IF(A82&lt;'Données projet'!$A$62,$AF$205^A82,IF(A82='Données projet'!$A$62,'Données projet'!$B$62,AI81+AH82-AQ81)))</f>
        <v>540.375</v>
      </c>
      <c r="AJ82" s="13">
        <f>AI82*VLOOKUP('Données projet'!$B$10,Paramètres!$A$1:$I$89,3,0)*VLOOKUP('Données projet'!$B$10,Paramètres!$A$1:$I$89,5,0)</f>
        <v>323.14425000000006</v>
      </c>
      <c r="AK82" s="13">
        <f t="shared" si="89"/>
        <v>76.007203261088534</v>
      </c>
      <c r="AL82" s="20">
        <f t="shared" si="58"/>
        <v>695.18878109639593</v>
      </c>
      <c r="AM82" s="59">
        <f t="shared" si="59"/>
        <v>988.5221144297293</v>
      </c>
      <c r="AN82" s="59">
        <f ca="1">AVERAGE(OFFSET($AM$3,0,0,'Données projet'!$E$10+1,1))-AVERAGE(OFFSET($H$3,0,0,'Données projet'!$E$10+1,1))</f>
        <v>370.12772664814923</v>
      </c>
      <c r="AO82" s="59">
        <f t="shared" si="90"/>
        <v>292.26503163353146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2.8339411872050935</v>
      </c>
      <c r="AV82" s="21">
        <f>EXP(-LN(2)/25)*AV81+(1-EXP(-LN(2)/25))/(LN(2)/25)*Calculateur!AQ82*Calculateur!AS82*VLOOKUP('Données projet'!$B$10,Paramètres!$A$1:$I$89,3,0)*0.475*44/12</f>
        <v>1.7074988133158053</v>
      </c>
      <c r="AW82" s="21">
        <f>EXP(-LN(2)/2)*AW81+(1-EXP(-LN(2)/2))/(LN(2)/2)*AQ82*AT82*VLOOKUP('Données projet'!$B$10,Paramètres!$A$1:$I$89,3,0)*0.475*44/12</f>
        <v>3.3392246354076061E-7</v>
      </c>
      <c r="AX82" s="21">
        <f t="shared" si="60"/>
        <v>4.5414403344433625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7.2</v>
      </c>
      <c r="BD82" s="12">
        <f>IF('Données projet'!$A$88&gt;35,BD81+BC82-BL81,IF(A82&lt;'Données projet'!$A$88,$BA$205^A82,IF(A82='Données projet'!$A$88,'Données projet'!$B$88,BD81+BC82-BL81)))</f>
        <v>312.8</v>
      </c>
      <c r="BE82" s="13">
        <f>BD82*VLOOKUP('Données projet'!$B$11,Paramètres!$A$1:$I$89,3,0)*VLOOKUP('Données projet'!$B$11,Paramètres!$A$1:$I$89,5,0)</f>
        <v>336.69792000000001</v>
      </c>
      <c r="BF82" s="13">
        <f t="shared" si="91"/>
        <v>78.817328763317647</v>
      </c>
      <c r="BG82" s="20">
        <f t="shared" si="61"/>
        <v>723.6890582627783</v>
      </c>
      <c r="BH82" s="59">
        <f t="shared" si="62"/>
        <v>1017.0223915961117</v>
      </c>
      <c r="BI82" s="59">
        <f ca="1">AVERAGE(OFFSET($BH$3,0,0,'Données projet'!$E$11+1,1))-AVERAGE(OFFSET($H$3,0,0,'Données projet'!$E$11+1,1))</f>
        <v>475.01366239340246</v>
      </c>
      <c r="BJ82" s="59">
        <f t="shared" si="92"/>
        <v>322.81767004794284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3.2946103574816048</v>
      </c>
      <c r="BQ82" s="21">
        <f>EXP(-LN(2)/25)*BQ81+(1-EXP(-LN(2)/25))/(LN(2)/25)*Calculateur!BL82*Calculateur!BN82*VLOOKUP('Données projet'!$B$11,Paramètres!$A$1:$I$89,3,0)*0.475*44/12</f>
        <v>2.8635135439540247</v>
      </c>
      <c r="BR82" s="21">
        <f>EXP(-LN(2)/2)*BR81+(1-EXP(-LN(2)/2))/(LN(2)/2)*BL82*BO82*VLOOKUP('Données projet'!$B$11,Paramètres!$A$1:$I$89,3,0)*0.475*44/12</f>
        <v>4.2793835238616191E-7</v>
      </c>
      <c r="BS82" s="22">
        <f t="shared" si="63"/>
        <v>6.1581243293739822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6</v>
      </c>
      <c r="BY82" s="12">
        <f>IF('Données projet'!$A$114&gt;35,BY81+BX82-CG81,IF(A82&lt;'Données projet'!$A$114,$BV$205^A82,IF(A82='Données projet'!$A$114,'Données projet'!$B$114,BY81+BX82-CG81)))</f>
        <v>254.99999999999989</v>
      </c>
      <c r="BZ82" s="13">
        <f>BY82*VLOOKUP('Données projet'!$B$12,Paramètres!$A$1:$I$89,3,0)*VLOOKUP('Données projet'!$B$12,Paramètres!$A$1:$I$89,5,0)</f>
        <v>171.05399999999992</v>
      </c>
      <c r="CA82" s="13">
        <f t="shared" si="93"/>
        <v>43.325999538979005</v>
      </c>
      <c r="CB82" s="20">
        <f t="shared" si="64"/>
        <v>373.37849919705491</v>
      </c>
      <c r="CC82" s="59">
        <f t="shared" si="65"/>
        <v>666.71183253038816</v>
      </c>
      <c r="CD82" s="59">
        <f ca="1">AVERAGE(OFFSET($CC$3,0,0,'Données projet'!$E$12+1,1))-AVERAGE(OFFSET($H$3,0,0,'Données projet'!$E$12+1,1))</f>
        <v>254.8851926268614</v>
      </c>
      <c r="CE82" s="59">
        <f t="shared" si="94"/>
        <v>182.11500693273973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1.1540604244312873</v>
      </c>
      <c r="CL82" s="21">
        <f>EXP(-LN(2)/25)*CL81+(1-EXP(-LN(2)/25))/(LN(2)/25)*Calculateur!CG82*Calculateur!CI82*VLOOKUP('Données projet'!$B$12,Paramètres!$A$1:$I$89,3,0)*0.475*44/12</f>
        <v>0.98535870359700695</v>
      </c>
      <c r="CM82" s="21">
        <f>EXP(-LN(2)/2)*CM81+(1-EXP(-LN(2)/2))/(LN(2)/2)*CG82*CJ82*VLOOKUP('Données projet'!$B$12,Paramètres!$A$1:$I$89,3,0)*0.475*44/12</f>
        <v>1.9069051175938282E-7</v>
      </c>
      <c r="CN82" s="22">
        <f t="shared" si="66"/>
        <v>2.1394193187188062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256.66666666666669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1.4210854715202004E-13</v>
      </c>
      <c r="O83" s="13">
        <f>N83*VLOOKUP('Données projet'!$B$9,Paramètres!$A$1:$I$89,3,0)*VLOOKUP('Données projet'!$B$9,Paramètres!$A$1:$I$89,5,0)</f>
        <v>1.4853185348329134E-13</v>
      </c>
      <c r="P83" s="13">
        <f t="shared" si="87"/>
        <v>2.1309431512949395E-12</v>
      </c>
      <c r="Q83" s="20">
        <f t="shared" si="54"/>
        <v>3.9700856333220852E-12</v>
      </c>
      <c r="R83" s="59">
        <f t="shared" si="55"/>
        <v>293.33333333333729</v>
      </c>
      <c r="S83" s="59">
        <f ca="1">AVERAGE(OFFSET($R$3,0,0,'Données projet'!$E$9+1,1))-AVERAGE(OFFSET($H$3,0,0,'Données projet'!$E$9+1,1))</f>
        <v>241.84492910369795</v>
      </c>
      <c r="T83" s="59">
        <f t="shared" si="88"/>
        <v>338.04336767245667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2.2493784349300086</v>
      </c>
      <c r="AA83" s="21">
        <f>EXP(-LN(2)/25)*AA82+(1-EXP(-LN(2)/25))/(LN(2)/25)*Calculateur!V83*Calculateur!X83*VLOOKUP('Données projet'!$B$9,Paramètres!$A$1:$I$89,3,0)*0.475*44/12</f>
        <v>3.4738757598159808</v>
      </c>
      <c r="AB83" s="21">
        <f>EXP(-LN(2)/2)*AB82+(1-EXP(-LN(2)/2))/(LN(2)/2)*V83*Y83*VLOOKUP('Données projet'!$B$9,Paramètres!$A$1:$I$89,3,0)*0.475*44/12</f>
        <v>2.5766668643500918E-7</v>
      </c>
      <c r="AC83" s="22">
        <f t="shared" si="57"/>
        <v>5.7232544524126752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8.875</v>
      </c>
      <c r="AI83" s="13">
        <f>IF('Données projet'!$A$62&gt;35,AI82+AH83-AQ82,IF(A83&lt;'Données projet'!$A$62,$AF$205^A83,IF(A83='Données projet'!$A$62,'Données projet'!$B$62,AI82+AH83-AQ82)))</f>
        <v>549.25</v>
      </c>
      <c r="AJ83" s="13">
        <f>AI83*VLOOKUP('Données projet'!$B$10,Paramètres!$A$1:$I$89,3,0)*VLOOKUP('Données projet'!$B$10,Paramètres!$A$1:$I$89,5,0)</f>
        <v>328.45150000000001</v>
      </c>
      <c r="AK83" s="13">
        <f t="shared" si="89"/>
        <v>77.109175784158708</v>
      </c>
      <c r="AL83" s="20">
        <f t="shared" si="58"/>
        <v>706.35151032407646</v>
      </c>
      <c r="AM83" s="59">
        <f t="shared" si="59"/>
        <v>999.68484365740983</v>
      </c>
      <c r="AN83" s="59">
        <f ca="1">AVERAGE(OFFSET($AM$3,0,0,'Données projet'!$E$10+1,1))-AVERAGE(OFFSET($H$3,0,0,'Données projet'!$E$10+1,1))</f>
        <v>370.12772664814923</v>
      </c>
      <c r="AO83" s="59">
        <f t="shared" si="90"/>
        <v>292.26503163353146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2.7783693290574472</v>
      </c>
      <c r="AV83" s="21">
        <f>EXP(-LN(2)/25)*AV82+(1-EXP(-LN(2)/25))/(LN(2)/25)*Calculateur!AQ83*Calculateur!AS83*VLOOKUP('Données projet'!$B$10,Paramètres!$A$1:$I$89,3,0)*0.475*44/12</f>
        <v>1.6608071684722245</v>
      </c>
      <c r="AW83" s="21">
        <f>EXP(-LN(2)/2)*AW82+(1-EXP(-LN(2)/2))/(LN(2)/2)*AQ83*AT83*VLOOKUP('Données projet'!$B$10,Paramètres!$A$1:$I$89,3,0)*0.475*44/12</f>
        <v>2.3611883836018953E-7</v>
      </c>
      <c r="AX83" s="21">
        <f t="shared" si="60"/>
        <v>4.4391767336485097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320</v>
      </c>
      <c r="BB83" s="12">
        <f>VLOOKUP(A83,'Données projet'!$A$87:$I$107,9,0)</f>
        <v>7.2</v>
      </c>
      <c r="BC83" s="12">
        <f t="array" ref="BC83">INDEX(BB:BB,MIN(IF(ISNUMBER(BB83:BB279),ROW(BB83:BB279),"")))</f>
        <v>7.2</v>
      </c>
      <c r="BD83" s="12">
        <f>IF('Données projet'!$A$88&gt;35,BD82+BC83-BL82,IF(A83&lt;'Données projet'!$A$88,$BA$205^A83,IF(A83='Données projet'!$A$88,'Données projet'!$B$88,BD82+BC83-BL82)))</f>
        <v>320</v>
      </c>
      <c r="BE83" s="13">
        <f>BD83*VLOOKUP('Données projet'!$B$11,Paramètres!$A$1:$I$89,3,0)*VLOOKUP('Données projet'!$B$11,Paramètres!$A$1:$I$89,5,0)</f>
        <v>344.44799999999998</v>
      </c>
      <c r="BF83" s="13">
        <f t="shared" si="91"/>
        <v>80.418235058027051</v>
      </c>
      <c r="BG83" s="20">
        <f t="shared" si="61"/>
        <v>739.9753593927303</v>
      </c>
      <c r="BH83" s="59">
        <f t="shared" si="62"/>
        <v>1033.3086927260636</v>
      </c>
      <c r="BI83" s="59">
        <f ca="1">AVERAGE(OFFSET($BH$3,0,0,'Données projet'!$E$11+1,1))-AVERAGE(OFFSET($H$3,0,0,'Données projet'!$E$11+1,1))</f>
        <v>475.01366239340246</v>
      </c>
      <c r="BJ83" s="59">
        <f t="shared" si="92"/>
        <v>322.81767004794284</v>
      </c>
      <c r="BK83" s="15">
        <f>IF(ISNA(VLOOKUP(A83,'Données projet'!$A$87:$I$107,3,0)),0,VLOOKUP(A83,'Données projet'!$A$87:$I$107,3,0))</f>
        <v>13</v>
      </c>
      <c r="BL83" s="21">
        <f>IF(ISNA(VLOOKUP(A83,'Données projet'!$A$87:$I$107,4,0)),0,VLOOKUP(A83,'Données projet'!$A$87:$I$107,4,0))</f>
        <v>28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3.2300050578852857</v>
      </c>
      <c r="BQ83" s="21">
        <f>EXP(-LN(2)/25)*BQ82+(1-EXP(-LN(2)/25))/(LN(2)/25)*Calculateur!BL83*Calculateur!BN83*VLOOKUP('Données projet'!$B$11,Paramètres!$A$1:$I$89,3,0)*0.475*44/12</f>
        <v>2.7852106155089693</v>
      </c>
      <c r="BR83" s="21">
        <f>EXP(-LN(2)/2)*BR82+(1-EXP(-LN(2)/2))/(LN(2)/2)*BL83*BO83*VLOOKUP('Données projet'!$B$11,Paramètres!$A$1:$I$89,3,0)*0.475*44/12</f>
        <v>3.0259811090205345E-7</v>
      </c>
      <c r="BS83" s="22">
        <f t="shared" si="63"/>
        <v>6.0152159759923665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261</v>
      </c>
      <c r="BW83" s="12">
        <f>VLOOKUP(A83,'Données projet'!$A$113:$I$133,9,0)</f>
        <v>6</v>
      </c>
      <c r="BX83" s="12">
        <f t="array" ref="BX83">INDEX(BW:BW,MIN(IF(ISNUMBER(BW83:BW279),ROW(BW83:BW279),"")))</f>
        <v>6</v>
      </c>
      <c r="BY83" s="12">
        <f>IF('Données projet'!$A$114&gt;35,BY82+BX83-CG82,IF(A83&lt;'Données projet'!$A$114,$BV$205^A83,IF(A83='Données projet'!$A$114,'Données projet'!$B$114,BY82+BX83-CG82)))</f>
        <v>260.99999999999989</v>
      </c>
      <c r="BZ83" s="13">
        <f>BY83*VLOOKUP('Données projet'!$B$12,Paramètres!$A$1:$I$89,3,0)*VLOOKUP('Données projet'!$B$12,Paramètres!$A$1:$I$89,5,0)</f>
        <v>175.07879999999992</v>
      </c>
      <c r="CA83" s="13">
        <f t="shared" si="93"/>
        <v>44.225549694464867</v>
      </c>
      <c r="CB83" s="20">
        <f t="shared" si="64"/>
        <v>381.95507571785947</v>
      </c>
      <c r="CC83" s="59">
        <f t="shared" si="65"/>
        <v>675.28840905119273</v>
      </c>
      <c r="CD83" s="59">
        <f ca="1">AVERAGE(OFFSET($CC$3,0,0,'Données projet'!$E$12+1,1))-AVERAGE(OFFSET($H$3,0,0,'Données projet'!$E$12+1,1))</f>
        <v>254.8851926268614</v>
      </c>
      <c r="CE83" s="59">
        <f t="shared" si="94"/>
        <v>182.11500693273973</v>
      </c>
      <c r="CF83" s="15">
        <f>IF(ISNA(VLOOKUP(A83,'Données projet'!$A$113:$I$133,3,0)),0,VLOOKUP(A83,'Données projet'!$A$113:$I$133,3,0))</f>
        <v>12</v>
      </c>
      <c r="CG83" s="15">
        <f>IF(ISNA(VLOOKUP(A83,'Données projet'!$A$113:$I$133,4,0)),0,VLOOKUP(A83,'Données projet'!$A$113:$I$133,4,0))</f>
        <v>21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1.1314300034155436</v>
      </c>
      <c r="CL83" s="21">
        <f>EXP(-LN(2)/25)*CL82+(1-EXP(-LN(2)/25))/(LN(2)/25)*Calculateur!CG83*Calculateur!CI83*VLOOKUP('Données projet'!$B$12,Paramètres!$A$1:$I$89,3,0)*0.475*44/12</f>
        <v>0.95841401802938464</v>
      </c>
      <c r="CM83" s="21">
        <f>EXP(-LN(2)/2)*CM82+(1-EXP(-LN(2)/2))/(LN(2)/2)*CG83*CJ83*VLOOKUP('Données projet'!$B$12,Paramètres!$A$1:$I$89,3,0)*0.475*44/12</f>
        <v>1.3483855397299268E-7</v>
      </c>
      <c r="CN83" s="22">
        <f t="shared" si="66"/>
        <v>2.0898441562834824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256.66666666666669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1.4210854715202004E-13</v>
      </c>
      <c r="O84" s="13">
        <f>N84*VLOOKUP('Données projet'!$B$9,Paramètres!$A$1:$I$89,3,0)*VLOOKUP('Données projet'!$B$9,Paramètres!$A$1:$I$89,5,0)</f>
        <v>1.4853185348329134E-13</v>
      </c>
      <c r="P84" s="13">
        <f t="shared" si="87"/>
        <v>2.1309431512949395E-12</v>
      </c>
      <c r="Q84" s="20">
        <f t="shared" si="54"/>
        <v>3.9700856333220852E-12</v>
      </c>
      <c r="R84" s="59">
        <f t="shared" si="55"/>
        <v>293.33333333333729</v>
      </c>
      <c r="S84" s="59">
        <f ca="1">AVERAGE(OFFSET($R$3,0,0,'Données projet'!$E$9+1,1))-AVERAGE(OFFSET($H$3,0,0,'Données projet'!$E$9+1,1))</f>
        <v>241.84492910369795</v>
      </c>
      <c r="T84" s="59">
        <f t="shared" si="88"/>
        <v>338.04336767245667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2.2052694958064043</v>
      </c>
      <c r="AA84" s="21">
        <f>EXP(-LN(2)/25)*AA83+(1-EXP(-LN(2)/25))/(LN(2)/25)*Calculateur!V84*Calculateur!X84*VLOOKUP('Données projet'!$B$9,Paramètres!$A$1:$I$89,3,0)*0.475*44/12</f>
        <v>3.3788824444806265</v>
      </c>
      <c r="AB84" s="21">
        <f>EXP(-LN(2)/2)*AB83+(1-EXP(-LN(2)/2))/(LN(2)/2)*V84*Y84*VLOOKUP('Données projet'!$B$9,Paramètres!$A$1:$I$89,3,0)*0.475*44/12</f>
        <v>1.8219786126406279E-7</v>
      </c>
      <c r="AC84" s="22">
        <f t="shared" si="57"/>
        <v>5.584152122484892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8.875</v>
      </c>
      <c r="AI84" s="13">
        <f>IF('Données projet'!$A$62&gt;35,AI83+AH84-AQ83,IF(A84&lt;'Données projet'!$A$62,$AF$205^A84,IF(A84='Données projet'!$A$62,'Données projet'!$B$62,AI83+AH84-AQ83)))</f>
        <v>558.125</v>
      </c>
      <c r="AJ84" s="13">
        <f>AI84*VLOOKUP('Données projet'!$B$10,Paramètres!$A$1:$I$89,3,0)*VLOOKUP('Données projet'!$B$10,Paramètres!$A$1:$I$89,5,0)</f>
        <v>333.75875000000002</v>
      </c>
      <c r="AK84" s="13">
        <f t="shared" si="89"/>
        <v>78.209077528625059</v>
      </c>
      <c r="AL84" s="20">
        <f t="shared" si="58"/>
        <v>717.5106329456886</v>
      </c>
      <c r="AM84" s="59">
        <f t="shared" si="59"/>
        <v>1010.843966279022</v>
      </c>
      <c r="AN84" s="59">
        <f ca="1">AVERAGE(OFFSET($AM$3,0,0,'Données projet'!$E$10+1,1))-AVERAGE(OFFSET($H$3,0,0,'Données projet'!$E$10+1,1))</f>
        <v>370.12772664814923</v>
      </c>
      <c r="AO84" s="59">
        <f t="shared" si="90"/>
        <v>292.26503163353146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2.7238872011525896</v>
      </c>
      <c r="AV84" s="21">
        <f>EXP(-LN(2)/25)*AV83+(1-EXP(-LN(2)/25))/(LN(2)/25)*Calculateur!AQ84*Calculateur!AS84*VLOOKUP('Données projet'!$B$10,Paramètres!$A$1:$I$89,3,0)*0.475*44/12</f>
        <v>1.6153923091122984</v>
      </c>
      <c r="AW84" s="21">
        <f>EXP(-LN(2)/2)*AW83+(1-EXP(-LN(2)/2))/(LN(2)/2)*AQ84*AT84*VLOOKUP('Données projet'!$B$10,Paramètres!$A$1:$I$89,3,0)*0.475*44/12</f>
        <v>1.6696123177038033E-7</v>
      </c>
      <c r="AX84" s="21">
        <f t="shared" si="60"/>
        <v>4.3392796772261191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6.8</v>
      </c>
      <c r="BD84" s="12">
        <f>IF('Données projet'!$A$88&gt;35,BD83+BC84-BL83,IF(A84&lt;'Données projet'!$A$88,$BA$205^A84,IF(A84='Données projet'!$A$88,'Données projet'!$B$88,BD83+BC84-BL83)))</f>
        <v>298.8</v>
      </c>
      <c r="BE84" s="13">
        <f>BD84*VLOOKUP('Données projet'!$B$11,Paramètres!$A$1:$I$89,3,0)*VLOOKUP('Données projet'!$B$11,Paramètres!$A$1:$I$89,5,0)</f>
        <v>321.62832000000003</v>
      </c>
      <c r="BF84" s="13">
        <f t="shared" si="91"/>
        <v>75.692057158625346</v>
      </c>
      <c r="BG84" s="20">
        <f t="shared" si="61"/>
        <v>691.99965688460588</v>
      </c>
      <c r="BH84" s="59">
        <f t="shared" si="62"/>
        <v>985.33299021793914</v>
      </c>
      <c r="BI84" s="59">
        <f ca="1">AVERAGE(OFFSET($BH$3,0,0,'Données projet'!$E$11+1,1))-AVERAGE(OFFSET($H$3,0,0,'Données projet'!$E$11+1,1))</f>
        <v>475.01366239340246</v>
      </c>
      <c r="BJ84" s="59">
        <f t="shared" si="92"/>
        <v>322.81767004794284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3.1666666288087084</v>
      </c>
      <c r="BQ84" s="21">
        <f>EXP(-LN(2)/25)*BQ83+(1-EXP(-LN(2)/25))/(LN(2)/25)*Calculateur!BL84*Calculateur!BN84*VLOOKUP('Données projet'!$B$11,Paramètres!$A$1:$I$89,3,0)*0.475*44/12</f>
        <v>2.709048884760016</v>
      </c>
      <c r="BR84" s="21">
        <f>EXP(-LN(2)/2)*BR83+(1-EXP(-LN(2)/2))/(LN(2)/2)*BL84*BO84*VLOOKUP('Données projet'!$B$11,Paramètres!$A$1:$I$89,3,0)*0.475*44/12</f>
        <v>2.1396917619308095E-7</v>
      </c>
      <c r="BS84" s="22">
        <f t="shared" si="63"/>
        <v>5.8757157275379015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5.8</v>
      </c>
      <c r="BY84" s="12">
        <f>IF('Données projet'!$A$114&gt;35,BY83+BX84-CG83,IF(A84&lt;'Données projet'!$A$114,$BV$205^A84,IF(A84='Données projet'!$A$114,'Données projet'!$B$114,BY83+BX84-CG83)))</f>
        <v>245.7999999999999</v>
      </c>
      <c r="BZ84" s="13">
        <f>BY84*VLOOKUP('Données projet'!$B$12,Paramètres!$A$1:$I$89,3,0)*VLOOKUP('Données projet'!$B$12,Paramètres!$A$1:$I$89,5,0)</f>
        <v>164.88263999999995</v>
      </c>
      <c r="CA84" s="13">
        <f t="shared" si="93"/>
        <v>41.941874385207427</v>
      </c>
      <c r="CB84" s="20">
        <f t="shared" si="64"/>
        <v>360.21936255423617</v>
      </c>
      <c r="CC84" s="59">
        <f t="shared" si="65"/>
        <v>653.55269588756948</v>
      </c>
      <c r="CD84" s="59">
        <f ca="1">AVERAGE(OFFSET($CC$3,0,0,'Données projet'!$E$12+1,1))-AVERAGE(OFFSET($H$3,0,0,'Données projet'!$E$12+1,1))</f>
        <v>254.8851926268614</v>
      </c>
      <c r="CE84" s="59">
        <f t="shared" si="94"/>
        <v>182.11500693273973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1.1092433511527247</v>
      </c>
      <c r="CL84" s="21">
        <f>EXP(-LN(2)/25)*CL83+(1-EXP(-LN(2)/25))/(LN(2)/25)*Calculateur!CG84*Calculateur!CI84*VLOOKUP('Données projet'!$B$12,Paramètres!$A$1:$I$89,3,0)*0.475*44/12</f>
        <v>0.93220613630556837</v>
      </c>
      <c r="CM84" s="21">
        <f>EXP(-LN(2)/2)*CM83+(1-EXP(-LN(2)/2))/(LN(2)/2)*CG84*CJ84*VLOOKUP('Données projet'!$B$12,Paramètres!$A$1:$I$89,3,0)*0.475*44/12</f>
        <v>9.5345255879691411E-8</v>
      </c>
      <c r="CN84" s="22">
        <f t="shared" si="66"/>
        <v>2.0414495828035486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256.66666666666669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1.4210854715202004E-13</v>
      </c>
      <c r="O85" s="13">
        <f>N85*VLOOKUP('Données projet'!$B$9,Paramètres!$A$1:$I$89,3,0)*VLOOKUP('Données projet'!$B$9,Paramètres!$A$1:$I$89,5,0)</f>
        <v>1.4853185348329134E-13</v>
      </c>
      <c r="P85" s="13">
        <f t="shared" si="87"/>
        <v>2.1309431512949395E-12</v>
      </c>
      <c r="Q85" s="20">
        <f t="shared" si="54"/>
        <v>3.9700856333220852E-12</v>
      </c>
      <c r="R85" s="59">
        <f t="shared" si="55"/>
        <v>293.33333333333729</v>
      </c>
      <c r="S85" s="59">
        <f ca="1">AVERAGE(OFFSET($R$3,0,0,'Données projet'!$E$9+1,1))-AVERAGE(OFFSET($H$3,0,0,'Données projet'!$E$9+1,1))</f>
        <v>241.84492910369795</v>
      </c>
      <c r="T85" s="59">
        <f t="shared" si="88"/>
        <v>338.04336767245667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2.1620255060752176</v>
      </c>
      <c r="AA85" s="21">
        <f>EXP(-LN(2)/25)*AA84+(1-EXP(-LN(2)/25))/(LN(2)/25)*Calculateur!V85*Calculateur!X85*VLOOKUP('Données projet'!$B$9,Paramètres!$A$1:$I$89,3,0)*0.475*44/12</f>
        <v>3.2864867263485986</v>
      </c>
      <c r="AB85" s="21">
        <f>EXP(-LN(2)/2)*AB84+(1-EXP(-LN(2)/2))/(LN(2)/2)*V85*Y85*VLOOKUP('Données projet'!$B$9,Paramètres!$A$1:$I$89,3,0)*0.475*44/12</f>
        <v>1.2883334321750459E-7</v>
      </c>
      <c r="AC85" s="22">
        <f t="shared" si="57"/>
        <v>5.4485123612571593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>
        <f>VLOOKUP(A85,'Données projet'!$A$61:$I$81,2,0)</f>
        <v>567</v>
      </c>
      <c r="AG85" s="12">
        <f>VLOOKUP(A85,'Données projet'!$A$61:$I$81,9,0)</f>
        <v>8.875</v>
      </c>
      <c r="AH85" s="12">
        <f t="array" ref="AH85">INDEX(AG:AG,MIN(IF(ISNUMBER(AG85:AG281),ROW(AG85:AG281),"")))</f>
        <v>8.875</v>
      </c>
      <c r="AI85" s="13">
        <f>IF('Données projet'!$A$62&gt;35,AI84+AH85-AQ84,IF(A85&lt;'Données projet'!$A$62,$AF$205^A85,IF(A85='Données projet'!$A$62,'Données projet'!$B$62,AI84+AH85-AQ84)))</f>
        <v>567</v>
      </c>
      <c r="AJ85" s="13">
        <f>AI85*VLOOKUP('Données projet'!$B$10,Paramètres!$A$1:$I$89,3,0)*VLOOKUP('Données projet'!$B$10,Paramètres!$A$1:$I$89,5,0)</f>
        <v>339.06600000000003</v>
      </c>
      <c r="AK85" s="13">
        <f t="shared" si="89"/>
        <v>79.30694522486489</v>
      </c>
      <c r="AL85" s="20">
        <f t="shared" si="58"/>
        <v>728.66621293330627</v>
      </c>
      <c r="AM85" s="59">
        <f t="shared" si="59"/>
        <v>1021.9995462666395</v>
      </c>
      <c r="AN85" s="59">
        <f ca="1">AVERAGE(OFFSET($AM$3,0,0,'Données projet'!$E$10+1,1))-AVERAGE(OFFSET($H$3,0,0,'Données projet'!$E$10+1,1))</f>
        <v>370.12772664814923</v>
      </c>
      <c r="AO85" s="59">
        <f t="shared" si="90"/>
        <v>292.26503163353146</v>
      </c>
      <c r="AP85" s="15">
        <f>IF(ISNA(VLOOKUP(A85,'Données projet'!$A$61:$I$81,3,0)),0,VLOOKUP(A85,'Données projet'!$A$61:$I$81,3,0))</f>
        <v>11</v>
      </c>
      <c r="AQ85" s="15">
        <f>IF(ISNA(VLOOKUP(A85,'Données projet'!$A$61:$I$81,4,0)),0,VLOOKUP(A85,'Données projet'!$A$61:$I$81,4,0))</f>
        <v>567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2.6704734345451295</v>
      </c>
      <c r="AV85" s="21">
        <f>EXP(-LN(2)/25)*AV84+(1-EXP(-LN(2)/25))/(LN(2)/25)*Calculateur!AQ85*Calculateur!AS85*VLOOKUP('Données projet'!$B$10,Paramètres!$A$1:$I$89,3,0)*0.475*44/12</f>
        <v>1.5712193214698331</v>
      </c>
      <c r="AW85" s="21">
        <f>EXP(-LN(2)/2)*AW84+(1-EXP(-LN(2)/2))/(LN(2)/2)*AQ85*AT85*VLOOKUP('Données projet'!$B$10,Paramètres!$A$1:$I$89,3,0)*0.475*44/12</f>
        <v>1.1805941918009478E-7</v>
      </c>
      <c r="AX85" s="21">
        <f t="shared" si="60"/>
        <v>4.2416928740743822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6.8</v>
      </c>
      <c r="BD85" s="12">
        <f>IF('Données projet'!$A$88&gt;35,BD84+BC85-BL84,IF(A85&lt;'Données projet'!$A$88,$BA$205^A85,IF(A85='Données projet'!$A$88,'Données projet'!$B$88,BD84+BC85-BL84)))</f>
        <v>305.60000000000002</v>
      </c>
      <c r="BE85" s="13">
        <f>BD85*VLOOKUP('Données projet'!$B$11,Paramètres!$A$1:$I$89,3,0)*VLOOKUP('Données projet'!$B$11,Paramètres!$A$1:$I$89,5,0)</f>
        <v>328.94784000000004</v>
      </c>
      <c r="BF85" s="13">
        <f t="shared" si="91"/>
        <v>77.212127032960666</v>
      </c>
      <c r="BG85" s="20">
        <f t="shared" si="61"/>
        <v>707.39527591573994</v>
      </c>
      <c r="BH85" s="59">
        <f t="shared" si="62"/>
        <v>1000.7286092490733</v>
      </c>
      <c r="BI85" s="59">
        <f ca="1">AVERAGE(OFFSET($BH$3,0,0,'Données projet'!$E$11+1,1))-AVERAGE(OFFSET($H$3,0,0,'Données projet'!$E$11+1,1))</f>
        <v>475.01366239340246</v>
      </c>
      <c r="BJ85" s="59">
        <f t="shared" si="92"/>
        <v>322.81767004794284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3.1045702276936957</v>
      </c>
      <c r="BQ85" s="21">
        <f>EXP(-LN(2)/25)*BQ84+(1-EXP(-LN(2)/25))/(LN(2)/25)*Calculateur!BL85*Calculateur!BN85*VLOOKUP('Données projet'!$B$11,Paramètres!$A$1:$I$89,3,0)*0.475*44/12</f>
        <v>2.6349698005435642</v>
      </c>
      <c r="BR85" s="21">
        <f>EXP(-LN(2)/2)*BR84+(1-EXP(-LN(2)/2))/(LN(2)/2)*BL85*BO85*VLOOKUP('Données projet'!$B$11,Paramètres!$A$1:$I$89,3,0)*0.475*44/12</f>
        <v>1.5129905545102673E-7</v>
      </c>
      <c r="BS85" s="22">
        <f t="shared" si="63"/>
        <v>5.7395401795363146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5.8</v>
      </c>
      <c r="BY85" s="12">
        <f>IF('Données projet'!$A$114&gt;35,BY84+BX85-CG84,IF(A85&lt;'Données projet'!$A$114,$BV$205^A85,IF(A85='Données projet'!$A$114,'Données projet'!$B$114,BY84+BX85-CG84)))</f>
        <v>251.59999999999991</v>
      </c>
      <c r="BZ85" s="13">
        <f>BY85*VLOOKUP('Données projet'!$B$12,Paramètres!$A$1:$I$89,3,0)*VLOOKUP('Données projet'!$B$12,Paramètres!$A$1:$I$89,5,0)</f>
        <v>168.77327999999994</v>
      </c>
      <c r="CA85" s="13">
        <f t="shared" si="93"/>
        <v>42.815163417148412</v>
      </c>
      <c r="CB85" s="20">
        <f t="shared" si="64"/>
        <v>368.51653895153339</v>
      </c>
      <c r="CC85" s="59">
        <f t="shared" si="65"/>
        <v>661.84987228486671</v>
      </c>
      <c r="CD85" s="59">
        <f ca="1">AVERAGE(OFFSET($CC$3,0,0,'Données projet'!$E$12+1,1))-AVERAGE(OFFSET($H$3,0,0,'Données projet'!$E$12+1,1))</f>
        <v>254.8851926268614</v>
      </c>
      <c r="CE85" s="59">
        <f t="shared" si="94"/>
        <v>182.11500693273973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1.0874917656082581</v>
      </c>
      <c r="CL85" s="21">
        <f>EXP(-LN(2)/25)*CL84+(1-EXP(-LN(2)/25))/(LN(2)/25)*Calculateur!CG85*Calculateur!CI85*VLOOKUP('Données projet'!$B$12,Paramètres!$A$1:$I$89,3,0)*0.475*44/12</f>
        <v>0.90671491048570252</v>
      </c>
      <c r="CM85" s="21">
        <f>EXP(-LN(2)/2)*CM84+(1-EXP(-LN(2)/2))/(LN(2)/2)*CG85*CJ85*VLOOKUP('Données projet'!$B$12,Paramètres!$A$1:$I$89,3,0)*0.475*44/12</f>
        <v>6.7419276986496338E-8</v>
      </c>
      <c r="CN85" s="22">
        <f t="shared" si="66"/>
        <v>1.9942067435132376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256.66666666666669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1.4210854715202004E-13</v>
      </c>
      <c r="O86" s="13">
        <f>N86*VLOOKUP('Données projet'!$B$9,Paramètres!$A$1:$I$89,3,0)*VLOOKUP('Données projet'!$B$9,Paramètres!$A$1:$I$89,5,0)</f>
        <v>1.4853185348329134E-13</v>
      </c>
      <c r="P86" s="13">
        <f t="shared" si="87"/>
        <v>2.1309431512949395E-12</v>
      </c>
      <c r="Q86" s="20">
        <f t="shared" si="54"/>
        <v>3.9700856333220852E-12</v>
      </c>
      <c r="R86" s="59">
        <f t="shared" si="55"/>
        <v>293.33333333333729</v>
      </c>
      <c r="S86" s="59">
        <f ca="1">AVERAGE(OFFSET($R$3,0,0,'Données projet'!$E$9+1,1))-AVERAGE(OFFSET($H$3,0,0,'Données projet'!$E$9+1,1))</f>
        <v>241.84492910369795</v>
      </c>
      <c r="T86" s="59">
        <f t="shared" si="88"/>
        <v>338.04336767245667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2.1196295046064297</v>
      </c>
      <c r="AA86" s="21">
        <f>EXP(-LN(2)/25)*AA85+(1-EXP(-LN(2)/25))/(LN(2)/25)*Calculateur!V86*Calculateur!X86*VLOOKUP('Données projet'!$B$9,Paramètres!$A$1:$I$89,3,0)*0.475*44/12</f>
        <v>3.1966175739877705</v>
      </c>
      <c r="AB86" s="21">
        <f>EXP(-LN(2)/2)*AB85+(1-EXP(-LN(2)/2))/(LN(2)/2)*V86*Y86*VLOOKUP('Données projet'!$B$9,Paramètres!$A$1:$I$89,3,0)*0.475*44/12</f>
        <v>9.1098930632031393E-8</v>
      </c>
      <c r="AC86" s="22">
        <f t="shared" si="57"/>
        <v>5.3162471696931313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>
        <f>AI86*VLOOKUP('Données projet'!$B$10,Paramètres!$A$1:$I$89,3,0)*VLOOKUP('Données projet'!$B$10,Paramètres!$A$1:$I$89,5,0)</f>
        <v>0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370.12772664814923</v>
      </c>
      <c r="AO86" s="59">
        <f t="shared" si="90"/>
        <v>292.26503163353146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2.6181070793216614</v>
      </c>
      <c r="AV86" s="21">
        <f>EXP(-LN(2)/25)*AV85+(1-EXP(-LN(2)/25))/(LN(2)/25)*Calculateur!AQ86*Calculateur!AS86*VLOOKUP('Données projet'!$B$10,Paramètres!$A$1:$I$89,3,0)*0.475*44/12</f>
        <v>1.5282542464974074</v>
      </c>
      <c r="AW86" s="21">
        <f>EXP(-LN(2)/2)*AW85+(1-EXP(-LN(2)/2))/(LN(2)/2)*AQ86*AT86*VLOOKUP('Données projet'!$B$10,Paramètres!$A$1:$I$89,3,0)*0.475*44/12</f>
        <v>8.3480615885190178E-8</v>
      </c>
      <c r="AX86" s="21">
        <f t="shared" si="60"/>
        <v>4.1463614092996846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6.8</v>
      </c>
      <c r="BD86" s="12">
        <f>IF('Données projet'!$A$88&gt;35,BD85+BC86-BL85,IF(A86&lt;'Données projet'!$A$88,$BA$205^A86,IF(A86='Données projet'!$A$88,'Données projet'!$B$88,BD85+BC86-BL85)))</f>
        <v>312.40000000000003</v>
      </c>
      <c r="BE86" s="13">
        <f>BD86*VLOOKUP('Données projet'!$B$11,Paramètres!$A$1:$I$89,3,0)*VLOOKUP('Données projet'!$B$11,Paramètres!$A$1:$I$89,5,0)</f>
        <v>336.26736000000005</v>
      </c>
      <c r="BF86" s="13">
        <f t="shared" si="91"/>
        <v>78.728264597957192</v>
      </c>
      <c r="BG86" s="20">
        <f t="shared" si="61"/>
        <v>722.78404617477554</v>
      </c>
      <c r="BH86" s="59">
        <f t="shared" si="62"/>
        <v>1016.1173795081088</v>
      </c>
      <c r="BI86" s="59">
        <f ca="1">AVERAGE(OFFSET($BH$3,0,0,'Données projet'!$E$11+1,1))-AVERAGE(OFFSET($H$3,0,0,'Données projet'!$E$11+1,1))</f>
        <v>475.01366239340246</v>
      </c>
      <c r="BJ86" s="59">
        <f t="shared" si="92"/>
        <v>322.81767004794284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3.0436914991294839</v>
      </c>
      <c r="BQ86" s="21">
        <f>EXP(-LN(2)/25)*BQ85+(1-EXP(-LN(2)/25))/(LN(2)/25)*Calculateur!BL86*Calculateur!BN86*VLOOKUP('Données projet'!$B$11,Paramètres!$A$1:$I$89,3,0)*0.475*44/12</f>
        <v>2.5629164127806607</v>
      </c>
      <c r="BR86" s="21">
        <f>EXP(-LN(2)/2)*BR85+(1-EXP(-LN(2)/2))/(LN(2)/2)*BL86*BO86*VLOOKUP('Données projet'!$B$11,Paramètres!$A$1:$I$89,3,0)*0.475*44/12</f>
        <v>1.0698458809654048E-7</v>
      </c>
      <c r="BS86" s="22">
        <f t="shared" si="63"/>
        <v>5.6066080188947325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5.8</v>
      </c>
      <c r="BY86" s="12">
        <f>IF('Données projet'!$A$114&gt;35,BY85+BX86-CG85,IF(A86&lt;'Données projet'!$A$114,$BV$205^A86,IF(A86='Données projet'!$A$114,'Données projet'!$B$114,BY85+BX86-CG85)))</f>
        <v>257.39999999999992</v>
      </c>
      <c r="BZ86" s="13">
        <f>BY86*VLOOKUP('Données projet'!$B$12,Paramètres!$A$1:$I$89,3,0)*VLOOKUP('Données projet'!$B$12,Paramètres!$A$1:$I$89,5,0)</f>
        <v>172.66391999999993</v>
      </c>
      <c r="CA86" s="13">
        <f t="shared" si="93"/>
        <v>43.686112068665423</v>
      </c>
      <c r="CB86" s="20">
        <f t="shared" si="64"/>
        <v>376.80963918625883</v>
      </c>
      <c r="CC86" s="59">
        <f t="shared" si="65"/>
        <v>670.14297251959215</v>
      </c>
      <c r="CD86" s="59">
        <f ca="1">AVERAGE(OFFSET($CC$3,0,0,'Données projet'!$E$12+1,1))-AVERAGE(OFFSET($H$3,0,0,'Données projet'!$E$12+1,1))</f>
        <v>254.8851926268614</v>
      </c>
      <c r="CE86" s="59">
        <f t="shared" si="94"/>
        <v>182.11500693273973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1.0661667153891614</v>
      </c>
      <c r="CL86" s="21">
        <f>EXP(-LN(2)/25)*CL85+(1-EXP(-LN(2)/25))/(LN(2)/25)*Calculateur!CG86*Calculateur!CI86*VLOOKUP('Données projet'!$B$12,Paramètres!$A$1:$I$89,3,0)*0.475*44/12</f>
        <v>0.88192074357640615</v>
      </c>
      <c r="CM86" s="21">
        <f>EXP(-LN(2)/2)*CM85+(1-EXP(-LN(2)/2))/(LN(2)/2)*CG86*CJ86*VLOOKUP('Données projet'!$B$12,Paramètres!$A$1:$I$89,3,0)*0.475*44/12</f>
        <v>4.7672627939845705E-8</v>
      </c>
      <c r="CN86" s="22">
        <f t="shared" si="66"/>
        <v>1.9480875066381953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256.66666666666669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1.4210854715202004E-13</v>
      </c>
      <c r="O87" s="13">
        <f>N87*VLOOKUP('Données projet'!$B$9,Paramètres!$A$1:$I$89,3,0)*VLOOKUP('Données projet'!$B$9,Paramètres!$A$1:$I$89,5,0)</f>
        <v>1.4853185348329134E-13</v>
      </c>
      <c r="P87" s="13">
        <f t="shared" si="87"/>
        <v>2.1309431512949395E-12</v>
      </c>
      <c r="Q87" s="20">
        <f t="shared" si="54"/>
        <v>3.9700856333220852E-12</v>
      </c>
      <c r="R87" s="59">
        <f t="shared" si="55"/>
        <v>293.33333333333729</v>
      </c>
      <c r="S87" s="59">
        <f ca="1">AVERAGE(OFFSET($R$3,0,0,'Données projet'!$E$9+1,1))-AVERAGE(OFFSET($H$3,0,0,'Données projet'!$E$9+1,1))</f>
        <v>241.84492910369795</v>
      </c>
      <c r="T87" s="59">
        <f t="shared" si="88"/>
        <v>338.04336767245667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2.0780648628674374</v>
      </c>
      <c r="AA87" s="21">
        <f>EXP(-LN(2)/25)*AA86+(1-EXP(-LN(2)/25))/(LN(2)/25)*Calculateur!V87*Calculateur!X87*VLOOKUP('Données projet'!$B$9,Paramètres!$A$1:$I$89,3,0)*0.475*44/12</f>
        <v>3.1092058983242628</v>
      </c>
      <c r="AB87" s="21">
        <f>EXP(-LN(2)/2)*AB86+(1-EXP(-LN(2)/2))/(LN(2)/2)*V87*Y87*VLOOKUP('Données projet'!$B$9,Paramètres!$A$1:$I$89,3,0)*0.475*44/12</f>
        <v>6.4416671608752294E-8</v>
      </c>
      <c r="AC87" s="22">
        <f t="shared" si="57"/>
        <v>5.1872708256083717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>
        <f>AI87*VLOOKUP('Données projet'!$B$10,Paramètres!$A$1:$I$89,3,0)*VLOOKUP('Données projet'!$B$10,Paramètres!$A$1:$I$89,5,0)</f>
        <v>0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370.12772664814923</v>
      </c>
      <c r="AO87" s="59">
        <f t="shared" si="90"/>
        <v>292.26503163353146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2.5667675963838024</v>
      </c>
      <c r="AV87" s="21">
        <f>EXP(-LN(2)/25)*AV86+(1-EXP(-LN(2)/25))/(LN(2)/25)*Calculateur!AQ87*Calculateur!AS87*VLOOKUP('Données projet'!$B$10,Paramètres!$A$1:$I$89,3,0)*0.475*44/12</f>
        <v>1.4864640537595377</v>
      </c>
      <c r="AW87" s="21">
        <f>EXP(-LN(2)/2)*AW86+(1-EXP(-LN(2)/2))/(LN(2)/2)*AQ87*AT87*VLOOKUP('Données projet'!$B$10,Paramètres!$A$1:$I$89,3,0)*0.475*44/12</f>
        <v>5.9029709590047396E-8</v>
      </c>
      <c r="AX87" s="21">
        <f t="shared" si="60"/>
        <v>4.0532317091730503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6.8</v>
      </c>
      <c r="BD87" s="12">
        <f>IF('Données projet'!$A$88&gt;35,BD86+BC87-BL86,IF(A87&lt;'Données projet'!$A$88,$BA$205^A87,IF(A87='Données projet'!$A$88,'Données projet'!$B$88,BD86+BC87-BL86)))</f>
        <v>319.20000000000005</v>
      </c>
      <c r="BE87" s="13">
        <f>BD87*VLOOKUP('Données projet'!$B$11,Paramètres!$A$1:$I$89,3,0)*VLOOKUP('Données projet'!$B$11,Paramètres!$A$1:$I$89,5,0)</f>
        <v>343.58688000000006</v>
      </c>
      <c r="BF87" s="13">
        <f t="shared" si="91"/>
        <v>80.240565305520732</v>
      </c>
      <c r="BG87" s="20">
        <f t="shared" si="61"/>
        <v>738.1661339071153</v>
      </c>
      <c r="BH87" s="59">
        <f t="shared" si="62"/>
        <v>1031.4994672404487</v>
      </c>
      <c r="BI87" s="59">
        <f ca="1">AVERAGE(OFFSET($BH$3,0,0,'Données projet'!$E$11+1,1))-AVERAGE(OFFSET($H$3,0,0,'Données projet'!$E$11+1,1))</f>
        <v>475.01366239340246</v>
      </c>
      <c r="BJ87" s="59">
        <f t="shared" si="92"/>
        <v>322.81767004794284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2.9840065653000583</v>
      </c>
      <c r="BQ87" s="21">
        <f>EXP(-LN(2)/25)*BQ86+(1-EXP(-LN(2)/25))/(LN(2)/25)*Calculateur!BL87*Calculateur!BN87*VLOOKUP('Données projet'!$B$11,Paramètres!$A$1:$I$89,3,0)*0.475*44/12</f>
        <v>2.4928333286952569</v>
      </c>
      <c r="BR87" s="21">
        <f>EXP(-LN(2)/2)*BR86+(1-EXP(-LN(2)/2))/(LN(2)/2)*BL87*BO87*VLOOKUP('Données projet'!$B$11,Paramètres!$A$1:$I$89,3,0)*0.475*44/12</f>
        <v>7.5649527725513363E-8</v>
      </c>
      <c r="BS87" s="22">
        <f t="shared" si="63"/>
        <v>5.4768399696448427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5.8</v>
      </c>
      <c r="BY87" s="12">
        <f>IF('Données projet'!$A$114&gt;35,BY86+BX87-CG86,IF(A87&lt;'Données projet'!$A$114,$BV$205^A87,IF(A87='Données projet'!$A$114,'Données projet'!$B$114,BY86+BX87-CG86)))</f>
        <v>263.19999999999993</v>
      </c>
      <c r="BZ87" s="13">
        <f>BY87*VLOOKUP('Données projet'!$B$12,Paramètres!$A$1:$I$89,3,0)*VLOOKUP('Données projet'!$B$12,Paramètres!$A$1:$I$89,5,0)</f>
        <v>176.55455999999995</v>
      </c>
      <c r="CA87" s="13">
        <f t="shared" si="93"/>
        <v>44.554779146969786</v>
      </c>
      <c r="CB87" s="20">
        <f t="shared" si="64"/>
        <v>385.09876568097229</v>
      </c>
      <c r="CC87" s="59">
        <f t="shared" si="65"/>
        <v>678.43209901430555</v>
      </c>
      <c r="CD87" s="59">
        <f ca="1">AVERAGE(OFFSET($CC$3,0,0,'Données projet'!$E$12+1,1))-AVERAGE(OFFSET($H$3,0,0,'Données projet'!$E$12+1,1))</f>
        <v>254.8851926268614</v>
      </c>
      <c r="CE87" s="59">
        <f t="shared" si="94"/>
        <v>182.11500693273973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1.0452598363978649</v>
      </c>
      <c r="CL87" s="21">
        <f>EXP(-LN(2)/25)*CL86+(1-EXP(-LN(2)/25))/(LN(2)/25)*Calculateur!CG87*Calculateur!CI87*VLOOKUP('Données projet'!$B$12,Paramètres!$A$1:$I$89,3,0)*0.475*44/12</f>
        <v>0.85780457446511305</v>
      </c>
      <c r="CM87" s="21">
        <f>EXP(-LN(2)/2)*CM86+(1-EXP(-LN(2)/2))/(LN(2)/2)*CG87*CJ87*VLOOKUP('Données projet'!$B$12,Paramètres!$A$1:$I$89,3,0)*0.475*44/12</f>
        <v>3.3709638493248169E-8</v>
      </c>
      <c r="CN87" s="22">
        <f t="shared" si="66"/>
        <v>1.9030644445726164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256.66666666666669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1.4210854715202004E-13</v>
      </c>
      <c r="O88" s="13">
        <f>N88*VLOOKUP('Données projet'!$B$9,Paramètres!$A$1:$I$89,3,0)*VLOOKUP('Données projet'!$B$9,Paramètres!$A$1:$I$89,5,0)</f>
        <v>1.4853185348329134E-13</v>
      </c>
      <c r="P88" s="13">
        <f t="shared" si="87"/>
        <v>2.1309431512949395E-12</v>
      </c>
      <c r="Q88" s="20">
        <f t="shared" si="54"/>
        <v>3.9700856333220852E-12</v>
      </c>
      <c r="R88" s="59">
        <f t="shared" si="55"/>
        <v>293.33333333333729</v>
      </c>
      <c r="S88" s="59">
        <f ca="1">AVERAGE(OFFSET($R$3,0,0,'Données projet'!$E$9+1,1))-AVERAGE(OFFSET($H$3,0,0,'Données projet'!$E$9+1,1))</f>
        <v>241.84492910369795</v>
      </c>
      <c r="T88" s="59">
        <f t="shared" si="88"/>
        <v>338.04336767245667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2.0373152784010187</v>
      </c>
      <c r="AA88" s="21">
        <f>EXP(-LN(2)/25)*AA87+(1-EXP(-LN(2)/25))/(LN(2)/25)*Calculateur!V88*Calculateur!X88*VLOOKUP('Données projet'!$B$9,Paramètres!$A$1:$I$89,3,0)*0.475*44/12</f>
        <v>3.0241844995285536</v>
      </c>
      <c r="AB88" s="21">
        <f>EXP(-LN(2)/2)*AB87+(1-EXP(-LN(2)/2))/(LN(2)/2)*V88*Y88*VLOOKUP('Données projet'!$B$9,Paramètres!$A$1:$I$89,3,0)*0.475*44/12</f>
        <v>4.5549465316015697E-8</v>
      </c>
      <c r="AC88" s="22">
        <f t="shared" si="57"/>
        <v>5.0614998234790383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>
        <f>AI88*VLOOKUP('Données projet'!$B$10,Paramètres!$A$1:$I$89,3,0)*VLOOKUP('Données projet'!$B$10,Paramètres!$A$1:$I$89,5,0)</f>
        <v>0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370.12772664814923</v>
      </c>
      <c r="AO88" s="59">
        <f t="shared" si="90"/>
        <v>292.26503163353146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2.5164348493923621</v>
      </c>
      <c r="AV88" s="21">
        <f>EXP(-LN(2)/25)*AV87+(1-EXP(-LN(2)/25))/(LN(2)/25)*Calculateur!AQ88*Calculateur!AS88*VLOOKUP('Données projet'!$B$10,Paramètres!$A$1:$I$89,3,0)*0.475*44/12</f>
        <v>1.4458166160397359</v>
      </c>
      <c r="AW88" s="21">
        <f>EXP(-LN(2)/2)*AW87+(1-EXP(-LN(2)/2))/(LN(2)/2)*AQ88*AT88*VLOOKUP('Données projet'!$B$10,Paramètres!$A$1:$I$89,3,0)*0.475*44/12</f>
        <v>4.1740307942595096E-8</v>
      </c>
      <c r="AX88" s="21">
        <f t="shared" si="60"/>
        <v>3.962251507172406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>
        <f>VLOOKUP(A88,'Données projet'!$A$87:$I$107,2,0)</f>
        <v>326</v>
      </c>
      <c r="BB88" s="12">
        <f>VLOOKUP(A88,'Données projet'!$A$87:$I$107,9,0)</f>
        <v>6.8</v>
      </c>
      <c r="BC88" s="12">
        <f t="array" ref="BC88">INDEX(BB:BB,MIN(IF(ISNUMBER(BB88:BB284),ROW(BB88:BB284),"")))</f>
        <v>6.8</v>
      </c>
      <c r="BD88" s="12">
        <f>IF('Données projet'!$A$88&gt;35,BD87+BC88-BL87,IF(A88&lt;'Données projet'!$A$88,$BA$205^A88,IF(A88='Données projet'!$A$88,'Données projet'!$B$88,BD87+BC88-BL87)))</f>
        <v>326.00000000000006</v>
      </c>
      <c r="BE88" s="13">
        <f>BD88*VLOOKUP('Données projet'!$B$11,Paramètres!$A$1:$I$89,3,0)*VLOOKUP('Données projet'!$B$11,Paramètres!$A$1:$I$89,5,0)</f>
        <v>350.90640000000008</v>
      </c>
      <c r="BF88" s="13">
        <f t="shared" si="91"/>
        <v>81.749120308346747</v>
      </c>
      <c r="BG88" s="20">
        <f t="shared" si="61"/>
        <v>753.54169787037063</v>
      </c>
      <c r="BH88" s="59">
        <f t="shared" si="62"/>
        <v>1046.8750312037039</v>
      </c>
      <c r="BI88" s="59">
        <f ca="1">AVERAGE(OFFSET($BH$3,0,0,'Données projet'!$E$11+1,1))-AVERAGE(OFFSET($H$3,0,0,'Données projet'!$E$11+1,1))</f>
        <v>475.01366239340246</v>
      </c>
      <c r="BJ88" s="59">
        <f t="shared" si="92"/>
        <v>322.81767004794284</v>
      </c>
      <c r="BK88" s="15">
        <f>IF(ISNA(VLOOKUP(A88,'Données projet'!$A$87:$I$107,3,0)),0,VLOOKUP(A88,'Données projet'!$A$87:$I$107,3,0))</f>
        <v>14</v>
      </c>
      <c r="BL88" s="15">
        <f>IF(ISNA(VLOOKUP(A88,'Données projet'!$A$87:$I$107,4,0)),0,VLOOKUP(A88,'Données projet'!$A$87:$I$107,4,0))</f>
        <v>28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2.9254920166188123</v>
      </c>
      <c r="BQ88" s="21">
        <f>EXP(-LN(2)/25)*BQ87+(1-EXP(-LN(2)/25))/(LN(2)/25)*Calculateur!BL88*Calculateur!BN88*VLOOKUP('Données projet'!$B$11,Paramètres!$A$1:$I$89,3,0)*0.475*44/12</f>
        <v>2.4246666702296777</v>
      </c>
      <c r="BR88" s="21">
        <f>EXP(-LN(2)/2)*BR87+(1-EXP(-LN(2)/2))/(LN(2)/2)*BL88*BO88*VLOOKUP('Données projet'!$B$11,Paramètres!$A$1:$I$89,3,0)*0.475*44/12</f>
        <v>5.3492294048270238E-8</v>
      </c>
      <c r="BS88" s="22">
        <f t="shared" si="63"/>
        <v>5.3501587403407838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>
        <f>VLOOKUP(A88,'Données projet'!$A$113:$I$133,2,0)</f>
        <v>269</v>
      </c>
      <c r="BW88" s="12">
        <f>VLOOKUP(A88,'Données projet'!$A$113:$I$133,9,0)</f>
        <v>5.8</v>
      </c>
      <c r="BX88" s="12">
        <f t="array" ref="BX88">INDEX(BW:BW,MIN(IF(ISNUMBER(BW88:BW284),ROW(BW88:BW284),"")))</f>
        <v>5.8</v>
      </c>
      <c r="BY88" s="12">
        <f>IF('Données projet'!$A$114&gt;35,BY87+BX88-CG87,IF(A88&lt;'Données projet'!$A$114,$BV$205^A88,IF(A88='Données projet'!$A$114,'Données projet'!$B$114,BY87+BX88-CG87)))</f>
        <v>268.99999999999994</v>
      </c>
      <c r="BZ88" s="13">
        <f>BY88*VLOOKUP('Données projet'!$B$12,Paramètres!$A$1:$I$89,3,0)*VLOOKUP('Données projet'!$B$12,Paramètres!$A$1:$I$89,5,0)</f>
        <v>180.44519999999997</v>
      </c>
      <c r="CA88" s="13">
        <f t="shared" si="93"/>
        <v>45.421220719470305</v>
      </c>
      <c r="CB88" s="20">
        <f t="shared" si="64"/>
        <v>393.38401608641078</v>
      </c>
      <c r="CC88" s="59">
        <f t="shared" si="65"/>
        <v>686.7173494197441</v>
      </c>
      <c r="CD88" s="59">
        <f ca="1">AVERAGE(OFFSET($CC$3,0,0,'Données projet'!$E$12+1,1))-AVERAGE(OFFSET($H$3,0,0,'Données projet'!$E$12+1,1))</f>
        <v>254.8851926268614</v>
      </c>
      <c r="CE88" s="59">
        <f t="shared" si="94"/>
        <v>182.11500693273973</v>
      </c>
      <c r="CF88" s="15">
        <f>IF(ISNA(VLOOKUP(A88,'Données projet'!$A$113:$I$133,3,0)),0,VLOOKUP(A88,'Données projet'!$A$113:$I$133,3,0))</f>
        <v>13</v>
      </c>
      <c r="CG88" s="15">
        <f>IF(ISNA(VLOOKUP(A88,'Données projet'!$A$113:$I$133,4,0)),0,VLOOKUP(A88,'Données projet'!$A$113:$I$133,4,0))</f>
        <v>21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1.0247629285516506</v>
      </c>
      <c r="CL88" s="21">
        <f>EXP(-LN(2)/25)*CL87+(1-EXP(-LN(2)/25))/(LN(2)/25)*Calculateur!CG88*Calculateur!CI88*VLOOKUP('Données projet'!$B$12,Paramètres!$A$1:$I$89,3,0)*0.475*44/12</f>
        <v>0.83434786326638255</v>
      </c>
      <c r="CM88" s="21">
        <f>EXP(-LN(2)/2)*CM87+(1-EXP(-LN(2)/2))/(LN(2)/2)*CG88*CJ88*VLOOKUP('Données projet'!$B$12,Paramètres!$A$1:$I$89,3,0)*0.475*44/12</f>
        <v>2.3836313969922853E-8</v>
      </c>
      <c r="CN88" s="22">
        <f t="shared" si="66"/>
        <v>1.8591108156543472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256.66666666666669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1.4210854715202004E-13</v>
      </c>
      <c r="O89" s="13">
        <f>N89*VLOOKUP('Données projet'!$B$9,Paramètres!$A$1:$I$89,3,0)*VLOOKUP('Données projet'!$B$9,Paramètres!$A$1:$I$89,5,0)</f>
        <v>1.4853185348329134E-13</v>
      </c>
      <c r="P89" s="13">
        <f t="shared" si="87"/>
        <v>2.1309431512949395E-12</v>
      </c>
      <c r="Q89" s="20">
        <f t="shared" si="54"/>
        <v>3.9700856333220852E-12</v>
      </c>
      <c r="R89" s="59">
        <f t="shared" si="55"/>
        <v>293.33333333333729</v>
      </c>
      <c r="S89" s="59">
        <f ca="1">AVERAGE(OFFSET($R$3,0,0,'Données projet'!$E$9+1,1))-AVERAGE(OFFSET($H$3,0,0,'Données projet'!$E$9+1,1))</f>
        <v>241.84492910369795</v>
      </c>
      <c r="T89" s="59">
        <f t="shared" si="88"/>
        <v>338.04336767245667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1.9973647684311941</v>
      </c>
      <c r="AA89" s="21">
        <f>EXP(-LN(2)/25)*AA88+(1-EXP(-LN(2)/25))/(LN(2)/25)*Calculateur!V89*Calculateur!X89*VLOOKUP('Données projet'!$B$9,Paramètres!$A$1:$I$89,3,0)*0.475*44/12</f>
        <v>2.9414880153539942</v>
      </c>
      <c r="AB89" s="21">
        <f>EXP(-LN(2)/2)*AB88+(1-EXP(-LN(2)/2))/(LN(2)/2)*V89*Y89*VLOOKUP('Données projet'!$B$9,Paramètres!$A$1:$I$89,3,0)*0.475*44/12</f>
        <v>3.2208335804376147E-8</v>
      </c>
      <c r="AC89" s="22">
        <f t="shared" si="57"/>
        <v>4.9388528159935241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>
        <f>AI89*VLOOKUP('Données projet'!$B$10,Paramètres!$A$1:$I$89,3,0)*VLOOKUP('Données projet'!$B$10,Paramètres!$A$1:$I$89,5,0)</f>
        <v>0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370.12772664814923</v>
      </c>
      <c r="AO89" s="59">
        <f t="shared" si="90"/>
        <v>292.26503163353146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2.4670890968694796</v>
      </c>
      <c r="AV89" s="21">
        <f>EXP(-LN(2)/25)*AV88+(1-EXP(-LN(2)/25))/(LN(2)/25)*Calculateur!AQ89*Calculateur!AS89*VLOOKUP('Données projet'!$B$10,Paramètres!$A$1:$I$89,3,0)*0.475*44/12</f>
        <v>1.406280684641938</v>
      </c>
      <c r="AW89" s="21">
        <f>EXP(-LN(2)/2)*AW88+(1-EXP(-LN(2)/2))/(LN(2)/2)*AQ89*AT89*VLOOKUP('Données projet'!$B$10,Paramètres!$A$1:$I$89,3,0)*0.475*44/12</f>
        <v>2.9514854795023705E-8</v>
      </c>
      <c r="AX89" s="21">
        <f t="shared" si="60"/>
        <v>3.8733698110262726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6.4</v>
      </c>
      <c r="BD89" s="12">
        <f>IF('Données projet'!$A$88&gt;35,BD88+BC89-BL88,IF(A89&lt;'Données projet'!$A$88,$BA$205^A89,IF(A89='Données projet'!$A$88,'Données projet'!$B$88,BD88+BC89-BL88)))</f>
        <v>304.40000000000003</v>
      </c>
      <c r="BE89" s="13">
        <f>BD89*VLOOKUP('Données projet'!$B$11,Paramètres!$A$1:$I$89,3,0)*VLOOKUP('Données projet'!$B$11,Paramètres!$A$1:$I$89,5,0)</f>
        <v>327.65616</v>
      </c>
      <c r="BF89" s="13">
        <f t="shared" si="91"/>
        <v>76.94416793638409</v>
      </c>
      <c r="BG89" s="20">
        <f t="shared" si="61"/>
        <v>704.67890448920218</v>
      </c>
      <c r="BH89" s="59">
        <f t="shared" si="62"/>
        <v>998.01223782253555</v>
      </c>
      <c r="BI89" s="59">
        <f ca="1">AVERAGE(OFFSET($BH$3,0,0,'Données projet'!$E$11+1,1))-AVERAGE(OFFSET($H$3,0,0,'Données projet'!$E$11+1,1))</f>
        <v>475.01366239340246</v>
      </c>
      <c r="BJ89" s="59">
        <f t="shared" si="92"/>
        <v>322.81767004794284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2.8681249025468554</v>
      </c>
      <c r="BQ89" s="21">
        <f>EXP(-LN(2)/25)*BQ88+(1-EXP(-LN(2)/25))/(LN(2)/25)*Calculateur!BL89*Calculateur!BN89*VLOOKUP('Données projet'!$B$11,Paramètres!$A$1:$I$89,3,0)*0.475*44/12</f>
        <v>2.3583640326245687</v>
      </c>
      <c r="BR89" s="21">
        <f>EXP(-LN(2)/2)*BR88+(1-EXP(-LN(2)/2))/(LN(2)/2)*BL89*BO89*VLOOKUP('Données projet'!$B$11,Paramètres!$A$1:$I$89,3,0)*0.475*44/12</f>
        <v>3.7824763862756681E-8</v>
      </c>
      <c r="BS89" s="22">
        <f t="shared" si="63"/>
        <v>5.2264889729961883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5.4</v>
      </c>
      <c r="BY89" s="12">
        <f>IF('Données projet'!$A$114&gt;35,BY88+BX89-CG88,IF(A89&lt;'Données projet'!$A$114,$BV$205^A89,IF(A89='Données projet'!$A$114,'Données projet'!$B$114,BY88+BX89-CG88)))</f>
        <v>253.39999999999992</v>
      </c>
      <c r="BZ89" s="13">
        <f>BY89*VLOOKUP('Données projet'!$B$12,Paramètres!$A$1:$I$89,3,0)*VLOOKUP('Données projet'!$B$12,Paramètres!$A$1:$I$89,5,0)</f>
        <v>169.98071999999993</v>
      </c>
      <c r="CA89" s="13">
        <f t="shared" si="93"/>
        <v>43.085705478170858</v>
      </c>
      <c r="CB89" s="20">
        <f t="shared" si="64"/>
        <v>371.09069104114747</v>
      </c>
      <c r="CC89" s="59">
        <f t="shared" si="65"/>
        <v>664.42402437448072</v>
      </c>
      <c r="CD89" s="59">
        <f ca="1">AVERAGE(OFFSET($CC$3,0,0,'Données projet'!$E$12+1,1))-AVERAGE(OFFSET($H$3,0,0,'Données projet'!$E$12+1,1))</f>
        <v>254.8851926268614</v>
      </c>
      <c r="CE89" s="59">
        <f t="shared" si="94"/>
        <v>182.11500693273973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1.0046679525664213</v>
      </c>
      <c r="CL89" s="21">
        <f>EXP(-LN(2)/25)*CL88+(1-EXP(-LN(2)/25))/(LN(2)/25)*Calculateur!CG89*Calculateur!CI89*VLOOKUP('Données projet'!$B$12,Paramètres!$A$1:$I$89,3,0)*0.475*44/12</f>
        <v>0.81153257706891613</v>
      </c>
      <c r="CM89" s="21">
        <f>EXP(-LN(2)/2)*CM88+(1-EXP(-LN(2)/2))/(LN(2)/2)*CG89*CJ89*VLOOKUP('Données projet'!$B$12,Paramètres!$A$1:$I$89,3,0)*0.475*44/12</f>
        <v>1.6854819246624085E-8</v>
      </c>
      <c r="CN89" s="22">
        <f t="shared" si="66"/>
        <v>1.8162005464901567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256.66666666666669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1.4210854715202004E-13</v>
      </c>
      <c r="O90" s="13">
        <f>N90*VLOOKUP('Données projet'!$B$9,Paramètres!$A$1:$I$89,3,0)*VLOOKUP('Données projet'!$B$9,Paramètres!$A$1:$I$89,5,0)</f>
        <v>1.4853185348329134E-13</v>
      </c>
      <c r="P90" s="13">
        <f t="shared" si="87"/>
        <v>2.1309431512949395E-12</v>
      </c>
      <c r="Q90" s="20">
        <f t="shared" si="54"/>
        <v>3.9700856333220852E-12</v>
      </c>
      <c r="R90" s="59">
        <f t="shared" si="55"/>
        <v>293.33333333333729</v>
      </c>
      <c r="S90" s="59">
        <f ca="1">AVERAGE(OFFSET($R$3,0,0,'Données projet'!$E$9+1,1))-AVERAGE(OFFSET($H$3,0,0,'Données projet'!$E$9+1,1))</f>
        <v>241.84492910369795</v>
      </c>
      <c r="T90" s="59">
        <f t="shared" si="88"/>
        <v>338.04336767245667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1.9581976635944729</v>
      </c>
      <c r="AA90" s="21">
        <f>EXP(-LN(2)/25)*AA89+(1-EXP(-LN(2)/25))/(LN(2)/25)*Calculateur!V90*Calculateur!X90*VLOOKUP('Données projet'!$B$9,Paramètres!$A$1:$I$89,3,0)*0.475*44/12</f>
        <v>2.8610528708880074</v>
      </c>
      <c r="AB90" s="21">
        <f>EXP(-LN(2)/2)*AB89+(1-EXP(-LN(2)/2))/(LN(2)/2)*V90*Y90*VLOOKUP('Données projet'!$B$9,Paramètres!$A$1:$I$89,3,0)*0.475*44/12</f>
        <v>2.2774732658007848E-8</v>
      </c>
      <c r="AC90" s="22">
        <f t="shared" si="57"/>
        <v>4.8192505572572122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>
        <f>AI90*VLOOKUP('Données projet'!$B$10,Paramètres!$A$1:$I$89,3,0)*VLOOKUP('Données projet'!$B$10,Paramètres!$A$1:$I$89,5,0)</f>
        <v>0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370.12772664814923</v>
      </c>
      <c r="AO90" s="59">
        <f t="shared" si="90"/>
        <v>292.26503163353146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2.4187109844556338</v>
      </c>
      <c r="AV90" s="21">
        <f>EXP(-LN(2)/25)*AV89+(1-EXP(-LN(2)/25))/(LN(2)/25)*Calculateur!AQ90*Calculateur!AS90*VLOOKUP('Données projet'!$B$10,Paramètres!$A$1:$I$89,3,0)*0.475*44/12</f>
        <v>1.3678258653673172</v>
      </c>
      <c r="AW90" s="21">
        <f>EXP(-LN(2)/2)*AW89+(1-EXP(-LN(2)/2))/(LN(2)/2)*AQ90*AT90*VLOOKUP('Données projet'!$B$10,Paramètres!$A$1:$I$89,3,0)*0.475*44/12</f>
        <v>2.0870153971297551E-8</v>
      </c>
      <c r="AX90" s="21">
        <f t="shared" si="60"/>
        <v>3.7865368706931051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6.4</v>
      </c>
      <c r="BD90" s="12">
        <f>IF('Données projet'!$A$88&gt;35,BD89+BC90-BL89,IF(A90&lt;'Données projet'!$A$88,$BA$205^A90,IF(A90='Données projet'!$A$88,'Données projet'!$B$88,BD89+BC90-BL89)))</f>
        <v>310.8</v>
      </c>
      <c r="BE90" s="13">
        <f>BD90*VLOOKUP('Données projet'!$B$11,Paramètres!$A$1:$I$89,3,0)*VLOOKUP('Données projet'!$B$11,Paramètres!$A$1:$I$89,5,0)</f>
        <v>334.54512</v>
      </c>
      <c r="BF90" s="13">
        <f t="shared" si="91"/>
        <v>78.37187499534933</v>
      </c>
      <c r="BG90" s="20">
        <f t="shared" si="61"/>
        <v>719.16376628356682</v>
      </c>
      <c r="BH90" s="59">
        <f t="shared" si="62"/>
        <v>1012.4970996169002</v>
      </c>
      <c r="BI90" s="59">
        <f ca="1">AVERAGE(OFFSET($BH$3,0,0,'Données projet'!$E$11+1,1))-AVERAGE(OFFSET($H$3,0,0,'Données projet'!$E$11+1,1))</f>
        <v>475.01366239340246</v>
      </c>
      <c r="BJ90" s="59">
        <f t="shared" si="92"/>
        <v>322.81767004794284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2.8118827225913647</v>
      </c>
      <c r="BQ90" s="21">
        <f>EXP(-LN(2)/25)*BQ89+(1-EXP(-LN(2)/25))/(LN(2)/25)*Calculateur!BL90*Calculateur!BN90*VLOOKUP('Données projet'!$B$11,Paramètres!$A$1:$I$89,3,0)*0.475*44/12</f>
        <v>2.2938744441314753</v>
      </c>
      <c r="BR90" s="21">
        <f>EXP(-LN(2)/2)*BR89+(1-EXP(-LN(2)/2))/(LN(2)/2)*BL90*BO90*VLOOKUP('Données projet'!$B$11,Paramètres!$A$1:$I$89,3,0)*0.475*44/12</f>
        <v>2.6746147024135119E-8</v>
      </c>
      <c r="BS90" s="22">
        <f t="shared" si="63"/>
        <v>5.1057571934689872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5.4</v>
      </c>
      <c r="BY90" s="12">
        <f>IF('Données projet'!$A$114&gt;35,BY89+BX90-CG89,IF(A90&lt;'Données projet'!$A$114,$BV$205^A90,IF(A90='Données projet'!$A$114,'Données projet'!$B$114,BY89+BX90-CG89)))</f>
        <v>258.7999999999999</v>
      </c>
      <c r="BZ90" s="13">
        <f>BY90*VLOOKUP('Données projet'!$B$12,Paramètres!$A$1:$I$89,3,0)*VLOOKUP('Données projet'!$B$12,Paramètres!$A$1:$I$89,5,0)</f>
        <v>173.60303999999994</v>
      </c>
      <c r="CA90" s="13">
        <f t="shared" si="93"/>
        <v>43.895997056101073</v>
      </c>
      <c r="CB90" s="20">
        <f t="shared" si="64"/>
        <v>378.81082287270925</v>
      </c>
      <c r="CC90" s="59">
        <f t="shared" si="65"/>
        <v>672.14415620604257</v>
      </c>
      <c r="CD90" s="59">
        <f ca="1">AVERAGE(OFFSET($CC$3,0,0,'Données projet'!$E$12+1,1))-AVERAGE(OFFSET($H$3,0,0,'Données projet'!$E$12+1,1))</f>
        <v>254.8851926268614</v>
      </c>
      <c r="CE90" s="59">
        <f t="shared" si="94"/>
        <v>182.11500693273973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0.98496702680353709</v>
      </c>
      <c r="CL90" s="21">
        <f>EXP(-LN(2)/25)*CL89+(1-EXP(-LN(2)/25))/(LN(2)/25)*Calculateur!CG90*Calculateur!CI90*VLOOKUP('Données projet'!$B$12,Paramètres!$A$1:$I$89,3,0)*0.475*44/12</f>
        <v>0.78934117607232313</v>
      </c>
      <c r="CM90" s="21">
        <f>EXP(-LN(2)/2)*CM89+(1-EXP(-LN(2)/2))/(LN(2)/2)*CG90*CJ90*VLOOKUP('Données projet'!$B$12,Paramètres!$A$1:$I$89,3,0)*0.475*44/12</f>
        <v>1.1918156984961426E-8</v>
      </c>
      <c r="CN90" s="22">
        <f t="shared" si="66"/>
        <v>1.774308214794017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256.66666666666669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1.4210854715202004E-13</v>
      </c>
      <c r="O91" s="13">
        <f>N91*VLOOKUP('Données projet'!$B$9,Paramètres!$A$1:$I$89,3,0)*VLOOKUP('Données projet'!$B$9,Paramètres!$A$1:$I$89,5,0)</f>
        <v>1.4853185348329134E-13</v>
      </c>
      <c r="P91" s="13">
        <f t="shared" si="87"/>
        <v>2.1309431512949395E-12</v>
      </c>
      <c r="Q91" s="20">
        <f t="shared" si="54"/>
        <v>3.9700856333220852E-12</v>
      </c>
      <c r="R91" s="59">
        <f t="shared" si="55"/>
        <v>293.33333333333729</v>
      </c>
      <c r="S91" s="59">
        <f ca="1">AVERAGE(OFFSET($R$3,0,0,'Données projet'!$E$9+1,1))-AVERAGE(OFFSET($H$3,0,0,'Données projet'!$E$9+1,1))</f>
        <v>241.84492910369795</v>
      </c>
      <c r="T91" s="59">
        <f t="shared" si="88"/>
        <v>338.04336767245667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1.9197986017940245</v>
      </c>
      <c r="AA91" s="21">
        <f>EXP(-LN(2)/25)*AA90+(1-EXP(-LN(2)/25))/(LN(2)/25)*Calculateur!V91*Calculateur!X91*VLOOKUP('Données projet'!$B$9,Paramètres!$A$1:$I$89,3,0)*0.475*44/12</f>
        <v>2.7828172296773435</v>
      </c>
      <c r="AB91" s="21">
        <f>EXP(-LN(2)/2)*AB90+(1-EXP(-LN(2)/2))/(LN(2)/2)*V91*Y91*VLOOKUP('Données projet'!$B$9,Paramètres!$A$1:$I$89,3,0)*0.475*44/12</f>
        <v>1.6104167902188073E-8</v>
      </c>
      <c r="AC91" s="22">
        <f t="shared" si="57"/>
        <v>4.7026158475755357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>
        <f>AI91*VLOOKUP('Données projet'!$B$10,Paramètres!$A$1:$I$89,3,0)*VLOOKUP('Données projet'!$B$10,Paramètres!$A$1:$I$89,5,0)</f>
        <v>0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370.12772664814923</v>
      </c>
      <c r="AO91" s="59">
        <f t="shared" si="90"/>
        <v>292.26503163353146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2.3712815373184886</v>
      </c>
      <c r="AV91" s="21">
        <f>EXP(-LN(2)/25)*AV90+(1-EXP(-LN(2)/25))/(LN(2)/25)*Calculateur!AQ91*Calculateur!AS91*VLOOKUP('Données projet'!$B$10,Paramètres!$A$1:$I$89,3,0)*0.475*44/12</f>
        <v>1.3304225951480118</v>
      </c>
      <c r="AW91" s="21">
        <f>EXP(-LN(2)/2)*AW90+(1-EXP(-LN(2)/2))/(LN(2)/2)*AQ91*AT91*VLOOKUP('Données projet'!$B$10,Paramètres!$A$1:$I$89,3,0)*0.475*44/12</f>
        <v>1.4757427397511854E-8</v>
      </c>
      <c r="AX91" s="21">
        <f t="shared" si="60"/>
        <v>3.7017041472239276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6.4</v>
      </c>
      <c r="BD91" s="12">
        <f>IF('Données projet'!$A$88&gt;35,BD90+BC91-BL90,IF(A91&lt;'Données projet'!$A$88,$BA$205^A91,IF(A91='Données projet'!$A$88,'Données projet'!$B$88,BD90+BC91-BL90)))</f>
        <v>317.2</v>
      </c>
      <c r="BE91" s="13">
        <f>BD91*VLOOKUP('Données projet'!$B$11,Paramètres!$A$1:$I$89,3,0)*VLOOKUP('Données projet'!$B$11,Paramètres!$A$1:$I$89,5,0)</f>
        <v>341.43407999999994</v>
      </c>
      <c r="BF91" s="13">
        <f t="shared" si="91"/>
        <v>79.796163809870151</v>
      </c>
      <c r="BG91" s="20">
        <f t="shared" si="61"/>
        <v>733.64267463552369</v>
      </c>
      <c r="BH91" s="59">
        <f t="shared" si="62"/>
        <v>1026.9760079688569</v>
      </c>
      <c r="BI91" s="59">
        <f ca="1">AVERAGE(OFFSET($BH$3,0,0,'Données projet'!$E$11+1,1))-AVERAGE(OFFSET($H$3,0,0,'Données projet'!$E$11+1,1))</f>
        <v>475.01366239340246</v>
      </c>
      <c r="BJ91" s="59">
        <f t="shared" si="92"/>
        <v>322.81767004794284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2.7567434174804588</v>
      </c>
      <c r="BQ91" s="21">
        <f>EXP(-LN(2)/25)*BQ90+(1-EXP(-LN(2)/25))/(LN(2)/25)*Calculateur!BL91*Calculateur!BN91*VLOOKUP('Données projet'!$B$11,Paramètres!$A$1:$I$89,3,0)*0.475*44/12</f>
        <v>2.231148326827086</v>
      </c>
      <c r="BR91" s="21">
        <f>EXP(-LN(2)/2)*BR90+(1-EXP(-LN(2)/2))/(LN(2)/2)*BL91*BO91*VLOOKUP('Données projet'!$B$11,Paramètres!$A$1:$I$89,3,0)*0.475*44/12</f>
        <v>1.8912381931378341E-8</v>
      </c>
      <c r="BS91" s="22">
        <f t="shared" si="63"/>
        <v>4.9878917632199267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5.4</v>
      </c>
      <c r="BY91" s="12">
        <f>IF('Données projet'!$A$114&gt;35,BY90+BX91-CG90,IF(A91&lt;'Données projet'!$A$114,$BV$205^A91,IF(A91='Données projet'!$A$114,'Données projet'!$B$114,BY90+BX91-CG90)))</f>
        <v>264.19999999999987</v>
      </c>
      <c r="BZ91" s="13">
        <f>BY91*VLOOKUP('Données projet'!$B$12,Paramètres!$A$1:$I$89,3,0)*VLOOKUP('Données projet'!$B$12,Paramètres!$A$1:$I$89,5,0)</f>
        <v>177.22535999999991</v>
      </c>
      <c r="CA91" s="13">
        <f t="shared" si="93"/>
        <v>44.70432287710112</v>
      </c>
      <c r="CB91" s="20">
        <f t="shared" si="64"/>
        <v>386.5275310109509</v>
      </c>
      <c r="CC91" s="59">
        <f t="shared" si="65"/>
        <v>679.86086434428421</v>
      </c>
      <c r="CD91" s="59">
        <f ca="1">AVERAGE(OFFSET($CC$3,0,0,'Données projet'!$E$12+1,1))-AVERAGE(OFFSET($H$3,0,0,'Données projet'!$E$12+1,1))</f>
        <v>254.8851926268614</v>
      </c>
      <c r="CE91" s="59">
        <f t="shared" si="94"/>
        <v>182.11500693273973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0.96565242417848496</v>
      </c>
      <c r="CL91" s="21">
        <f>EXP(-LN(2)/25)*CL90+(1-EXP(-LN(2)/25))/(LN(2)/25)*Calculateur!CG91*Calculateur!CI91*VLOOKUP('Données projet'!$B$12,Paramètres!$A$1:$I$89,3,0)*0.475*44/12</f>
        <v>0.76775660010297708</v>
      </c>
      <c r="CM91" s="21">
        <f>EXP(-LN(2)/2)*CM90+(1-EXP(-LN(2)/2))/(LN(2)/2)*CG91*CJ91*VLOOKUP('Données projet'!$B$12,Paramètres!$A$1:$I$89,3,0)*0.475*44/12</f>
        <v>8.4274096233120423E-9</v>
      </c>
      <c r="CN91" s="22">
        <f t="shared" si="66"/>
        <v>1.7334090327088718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256.66666666666669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1.4210854715202004E-13</v>
      </c>
      <c r="O92" s="13">
        <f>N92*VLOOKUP('Données projet'!$B$9,Paramètres!$A$1:$I$89,3,0)*VLOOKUP('Données projet'!$B$9,Paramètres!$A$1:$I$89,5,0)</f>
        <v>1.4853185348329134E-13</v>
      </c>
      <c r="P92" s="13">
        <f t="shared" si="87"/>
        <v>2.1309431512949395E-12</v>
      </c>
      <c r="Q92" s="20">
        <f t="shared" si="54"/>
        <v>3.9700856333220852E-12</v>
      </c>
      <c r="R92" s="59">
        <f t="shared" si="55"/>
        <v>293.33333333333729</v>
      </c>
      <c r="S92" s="59">
        <f ca="1">AVERAGE(OFFSET($R$3,0,0,'Données projet'!$E$9+1,1))-AVERAGE(OFFSET($H$3,0,0,'Données projet'!$E$9+1,1))</f>
        <v>241.84492910369795</v>
      </c>
      <c r="T92" s="59">
        <f t="shared" si="88"/>
        <v>338.04336767245667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1.882152522174368</v>
      </c>
      <c r="AA92" s="21">
        <f>EXP(-LN(2)/25)*AA91+(1-EXP(-LN(2)/25))/(LN(2)/25)*Calculateur!V92*Calculateur!X92*VLOOKUP('Données projet'!$B$9,Paramètres!$A$1:$I$89,3,0)*0.475*44/12</f>
        <v>2.7067209461898187</v>
      </c>
      <c r="AB92" s="21">
        <f>EXP(-LN(2)/2)*AB91+(1-EXP(-LN(2)/2))/(LN(2)/2)*V92*Y92*VLOOKUP('Données projet'!$B$9,Paramètres!$A$1:$I$89,3,0)*0.475*44/12</f>
        <v>1.1387366329003924E-8</v>
      </c>
      <c r="AC92" s="22">
        <f t="shared" si="57"/>
        <v>4.5888734797515536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>
        <f>AI92*VLOOKUP('Données projet'!$B$10,Paramètres!$A$1:$I$89,3,0)*VLOOKUP('Données projet'!$B$10,Paramètres!$A$1:$I$89,5,0)</f>
        <v>0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370.12772664814923</v>
      </c>
      <c r="AO92" s="59">
        <f t="shared" si="90"/>
        <v>292.26503163353146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2.3247821527105965</v>
      </c>
      <c r="AV92" s="21">
        <f>EXP(-LN(2)/25)*AV91+(1-EXP(-LN(2)/25))/(LN(2)/25)*Calculateur!AQ92*Calculateur!AS92*VLOOKUP('Données projet'!$B$10,Paramètres!$A$1:$I$89,3,0)*0.475*44/12</f>
        <v>1.2940421193198057</v>
      </c>
      <c r="AW92" s="21">
        <f>EXP(-LN(2)/2)*AW91+(1-EXP(-LN(2)/2))/(LN(2)/2)*AQ92*AT92*VLOOKUP('Données projet'!$B$10,Paramètres!$A$1:$I$89,3,0)*0.475*44/12</f>
        <v>1.0435076985648777E-8</v>
      </c>
      <c r="AX92" s="21">
        <f t="shared" si="60"/>
        <v>3.618824282465479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6.4</v>
      </c>
      <c r="BD92" s="12">
        <f>IF('Données projet'!$A$88&gt;35,BD91+BC92-BL91,IF(A92&lt;'Données projet'!$A$88,$BA$205^A92,IF(A92='Données projet'!$A$88,'Données projet'!$B$88,BD91+BC92-BL91)))</f>
        <v>323.59999999999997</v>
      </c>
      <c r="BE92" s="13">
        <f>BD92*VLOOKUP('Données projet'!$B$11,Paramètres!$A$1:$I$89,3,0)*VLOOKUP('Données projet'!$B$11,Paramètres!$A$1:$I$89,5,0)</f>
        <v>348.32303999999993</v>
      </c>
      <c r="BF92" s="13">
        <f t="shared" si="91"/>
        <v>81.217111296415496</v>
      </c>
      <c r="BG92" s="20">
        <f t="shared" si="61"/>
        <v>748.11576350792348</v>
      </c>
      <c r="BH92" s="59">
        <f t="shared" si="62"/>
        <v>1041.4490968412567</v>
      </c>
      <c r="BI92" s="59">
        <f ca="1">AVERAGE(OFFSET($BH$3,0,0,'Données projet'!$E$11+1,1))-AVERAGE(OFFSET($H$3,0,0,'Données projet'!$E$11+1,1))</f>
        <v>475.01366239340246</v>
      </c>
      <c r="BJ92" s="59">
        <f t="shared" si="92"/>
        <v>322.81767004794284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2.7026853605111225</v>
      </c>
      <c r="BQ92" s="21">
        <f>EXP(-LN(2)/25)*BQ91+(1-EXP(-LN(2)/25))/(LN(2)/25)*Calculateur!BL92*Calculateur!BN92*VLOOKUP('Données projet'!$B$11,Paramètres!$A$1:$I$89,3,0)*0.475*44/12</f>
        <v>2.1701374584990081</v>
      </c>
      <c r="BR92" s="21">
        <f>EXP(-LN(2)/2)*BR91+(1-EXP(-LN(2)/2))/(LN(2)/2)*BL92*BO92*VLOOKUP('Données projet'!$B$11,Paramètres!$A$1:$I$89,3,0)*0.475*44/12</f>
        <v>1.337307351206756E-8</v>
      </c>
      <c r="BS92" s="22">
        <f t="shared" si="63"/>
        <v>4.8728228323832035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5.4</v>
      </c>
      <c r="BY92" s="12">
        <f>IF('Données projet'!$A$114&gt;35,BY91+BX92-CG91,IF(A92&lt;'Données projet'!$A$114,$BV$205^A92,IF(A92='Données projet'!$A$114,'Données projet'!$B$114,BY91+BX92-CG91)))</f>
        <v>269.59999999999985</v>
      </c>
      <c r="BZ92" s="13">
        <f>BY92*VLOOKUP('Données projet'!$B$12,Paramètres!$A$1:$I$89,3,0)*VLOOKUP('Données projet'!$B$12,Paramètres!$A$1:$I$89,5,0)</f>
        <v>180.84767999999991</v>
      </c>
      <c r="CA92" s="13">
        <f t="shared" si="93"/>
        <v>45.510727749125792</v>
      </c>
      <c r="CB92" s="20">
        <f t="shared" si="64"/>
        <v>394.24089349639394</v>
      </c>
      <c r="CC92" s="59">
        <f t="shared" si="65"/>
        <v>687.57422682972719</v>
      </c>
      <c r="CD92" s="59">
        <f ca="1">AVERAGE(OFFSET($CC$3,0,0,'Données projet'!$E$12+1,1))-AVERAGE(OFFSET($H$3,0,0,'Données projet'!$E$12+1,1))</f>
        <v>254.8851926268614</v>
      </c>
      <c r="CE92" s="59">
        <f t="shared" si="94"/>
        <v>182.11500693273973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0.94671656913016566</v>
      </c>
      <c r="CL92" s="21">
        <f>EXP(-LN(2)/25)*CL91+(1-EXP(-LN(2)/25))/(LN(2)/25)*Calculateur!CG92*Calculateur!CI92*VLOOKUP('Données projet'!$B$12,Paramètres!$A$1:$I$89,3,0)*0.475*44/12</f>
        <v>0.74676225549859632</v>
      </c>
      <c r="CM92" s="21">
        <f>EXP(-LN(2)/2)*CM91+(1-EXP(-LN(2)/2))/(LN(2)/2)*CG92*CJ92*VLOOKUP('Données projet'!$B$12,Paramètres!$A$1:$I$89,3,0)*0.475*44/12</f>
        <v>5.9590784924807132E-9</v>
      </c>
      <c r="CN92" s="22">
        <f t="shared" si="66"/>
        <v>1.6934788305878405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256.66666666666669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1.4210854715202004E-13</v>
      </c>
      <c r="O93" s="13">
        <f>N93*VLOOKUP('Données projet'!$B$9,Paramètres!$A$1:$I$89,3,0)*VLOOKUP('Données projet'!$B$9,Paramètres!$A$1:$I$89,5,0)</f>
        <v>1.4853185348329134E-13</v>
      </c>
      <c r="P93" s="13">
        <f t="shared" si="87"/>
        <v>2.1309431512949395E-12</v>
      </c>
      <c r="Q93" s="20">
        <f t="shared" si="54"/>
        <v>3.9700856333220852E-12</v>
      </c>
      <c r="R93" s="59">
        <f t="shared" si="55"/>
        <v>293.33333333333729</v>
      </c>
      <c r="S93" s="59">
        <f ca="1">AVERAGE(OFFSET($R$3,0,0,'Données projet'!$E$9+1,1))-AVERAGE(OFFSET($H$3,0,0,'Données projet'!$E$9+1,1))</f>
        <v>241.84492910369795</v>
      </c>
      <c r="T93" s="59">
        <f t="shared" si="88"/>
        <v>338.04336767245667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1.8452446592142115</v>
      </c>
      <c r="AA93" s="21">
        <f>EXP(-LN(2)/25)*AA92+(1-EXP(-LN(2)/25))/(LN(2)/25)*Calculateur!V93*Calculateur!X93*VLOOKUP('Données projet'!$B$9,Paramètres!$A$1:$I$89,3,0)*0.475*44/12</f>
        <v>2.6327055195759899</v>
      </c>
      <c r="AB93" s="21">
        <f>EXP(-LN(2)/2)*AB92+(1-EXP(-LN(2)/2))/(LN(2)/2)*V93*Y93*VLOOKUP('Données projet'!$B$9,Paramètres!$A$1:$I$89,3,0)*0.475*44/12</f>
        <v>8.0520839510940367E-9</v>
      </c>
      <c r="AC93" s="22">
        <f t="shared" si="57"/>
        <v>4.4779501868422855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>
        <f>AI93*VLOOKUP('Données projet'!$B$10,Paramètres!$A$1:$I$89,3,0)*VLOOKUP('Données projet'!$B$10,Paramètres!$A$1:$I$89,5,0)</f>
        <v>0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370.12772664814923</v>
      </c>
      <c r="AO93" s="59">
        <f t="shared" si="90"/>
        <v>292.26503163353146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2.2791945926730413</v>
      </c>
      <c r="AV93" s="21">
        <f>EXP(-LN(2)/25)*AV92+(1-EXP(-LN(2)/25))/(LN(2)/25)*Calculateur!AQ93*Calculateur!AS93*VLOOKUP('Données projet'!$B$10,Paramètres!$A$1:$I$89,3,0)*0.475*44/12</f>
        <v>1.2586564695162881</v>
      </c>
      <c r="AW93" s="21">
        <f>EXP(-LN(2)/2)*AW92+(1-EXP(-LN(2)/2))/(LN(2)/2)*AQ93*AT93*VLOOKUP('Données projet'!$B$10,Paramètres!$A$1:$I$89,3,0)*0.475*44/12</f>
        <v>7.3787136987559286E-9</v>
      </c>
      <c r="AX93" s="21">
        <f t="shared" si="60"/>
        <v>3.5378510695680427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330</v>
      </c>
      <c r="BB93" s="12">
        <f>VLOOKUP(A93,'Données projet'!$A$87:$I$107,9,0)</f>
        <v>6.4</v>
      </c>
      <c r="BC93" s="12">
        <f t="array" ref="BC93">INDEX(BB:BB,MIN(IF(ISNUMBER(BB93:BB289),ROW(BB93:BB289),"")))</f>
        <v>6.4</v>
      </c>
      <c r="BD93" s="12">
        <f>IF('Données projet'!$A$88&gt;35,BD92+BC93-BL92,IF(A93&lt;'Données projet'!$A$88,$BA$205^A93,IF(A93='Données projet'!$A$88,'Données projet'!$B$88,BD92+BC93-BL92)))</f>
        <v>329.99999999999994</v>
      </c>
      <c r="BE93" s="13">
        <f>BD93*VLOOKUP('Données projet'!$B$11,Paramètres!$A$1:$I$89,3,0)*VLOOKUP('Données projet'!$B$11,Paramètres!$A$1:$I$89,5,0)</f>
        <v>355.21199999999993</v>
      </c>
      <c r="BF93" s="13">
        <f t="shared" si="91"/>
        <v>82.634791155027401</v>
      </c>
      <c r="BG93" s="20">
        <f t="shared" si="61"/>
        <v>762.58316126167256</v>
      </c>
      <c r="BH93" s="59">
        <f t="shared" si="62"/>
        <v>1055.9164945950058</v>
      </c>
      <c r="BI93" s="59">
        <f ca="1">AVERAGE(OFFSET($BH$3,0,0,'Données projet'!$E$11+1,1))-AVERAGE(OFFSET($H$3,0,0,'Données projet'!$E$11+1,1))</f>
        <v>475.01366239340246</v>
      </c>
      <c r="BJ93" s="59">
        <f t="shared" si="92"/>
        <v>322.81767004794284</v>
      </c>
      <c r="BK93" s="15">
        <f>IF(ISNA(VLOOKUP(A93,'Données projet'!$A$87:$I$107,3,0)),0,VLOOKUP(A93,'Données projet'!$A$87:$I$107,3,0))</f>
        <v>15</v>
      </c>
      <c r="BL93" s="15">
        <f>IF(ISNA(VLOOKUP(A93,'Données projet'!$A$87:$I$107,4,0)),0,VLOOKUP(A93,'Données projet'!$A$87:$I$107,4,0))</f>
        <v>28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2.649687349066796</v>
      </c>
      <c r="BQ93" s="21">
        <f>EXP(-LN(2)/25)*BQ92+(1-EXP(-LN(2)/25))/(LN(2)/25)*Calculateur!BL93*Calculateur!BN93*VLOOKUP('Données projet'!$B$11,Paramètres!$A$1:$I$89,3,0)*0.475*44/12</f>
        <v>2.1107949355737836</v>
      </c>
      <c r="BR93" s="21">
        <f>EXP(-LN(2)/2)*BR92+(1-EXP(-LN(2)/2))/(LN(2)/2)*BL93*BO93*VLOOKUP('Données projet'!$B$11,Paramètres!$A$1:$I$89,3,0)*0.475*44/12</f>
        <v>9.4561909656891703E-9</v>
      </c>
      <c r="BS93" s="22">
        <f t="shared" si="63"/>
        <v>4.7604822940967706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>
        <f>VLOOKUP(A93,'Données projet'!$A$113:$I$133,2,0)</f>
        <v>275</v>
      </c>
      <c r="BW93" s="12">
        <f>VLOOKUP(A93,'Données projet'!$A$113:$I$133,9,0)</f>
        <v>5.4</v>
      </c>
      <c r="BX93" s="12">
        <f t="array" ref="BX93">INDEX(BW:BW,MIN(IF(ISNUMBER(BW93:BW289),ROW(BW93:BW289),"")))</f>
        <v>5.4</v>
      </c>
      <c r="BY93" s="12">
        <f>IF('Données projet'!$A$114&gt;35,BY92+BX93-CG92,IF(A93&lt;'Données projet'!$A$114,$BV$205^A93,IF(A93='Données projet'!$A$114,'Données projet'!$B$114,BY92+BX93-CG92)))</f>
        <v>274.99999999999983</v>
      </c>
      <c r="BZ93" s="13">
        <f>BY93*VLOOKUP('Données projet'!$B$12,Paramètres!$A$1:$I$89,3,0)*VLOOKUP('Données projet'!$B$12,Paramètres!$A$1:$I$89,5,0)</f>
        <v>184.46999999999989</v>
      </c>
      <c r="CA93" s="13">
        <f t="shared" si="93"/>
        <v>46.315254582516552</v>
      </c>
      <c r="CB93" s="20">
        <f t="shared" si="64"/>
        <v>401.95098506454946</v>
      </c>
      <c r="CC93" s="59">
        <f t="shared" si="65"/>
        <v>695.28431839788277</v>
      </c>
      <c r="CD93" s="59">
        <f ca="1">AVERAGE(OFFSET($CC$3,0,0,'Données projet'!$E$12+1,1))-AVERAGE(OFFSET($H$3,0,0,'Données projet'!$E$12+1,1))</f>
        <v>254.8851926268614</v>
      </c>
      <c r="CE93" s="59">
        <f t="shared" si="94"/>
        <v>182.11500693273973</v>
      </c>
      <c r="CF93" s="15">
        <f>IF(ISNA(VLOOKUP(A93,'Données projet'!$A$113:$I$133,3,0)),0,VLOOKUP(A93,'Données projet'!$A$113:$I$133,3,0))</f>
        <v>14</v>
      </c>
      <c r="CG93" s="15">
        <f>IF(ISNA(VLOOKUP(A93,'Données projet'!$A$113:$I$133,4,0)),0,VLOOKUP(A93,'Données projet'!$A$113:$I$133,4,0))</f>
        <v>21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0.92815203464961282</v>
      </c>
      <c r="CL93" s="21">
        <f>EXP(-LN(2)/25)*CL92+(1-EXP(-LN(2)/25))/(LN(2)/25)*Calculateur!CG93*Calculateur!CI93*VLOOKUP('Données projet'!$B$12,Paramètres!$A$1:$I$89,3,0)*0.475*44/12</f>
        <v>0.72634200235146695</v>
      </c>
      <c r="CM93" s="21">
        <f>EXP(-LN(2)/2)*CM92+(1-EXP(-LN(2)/2))/(LN(2)/2)*CG93*CJ93*VLOOKUP('Données projet'!$B$12,Paramètres!$A$1:$I$89,3,0)*0.475*44/12</f>
        <v>4.2137048116560211E-9</v>
      </c>
      <c r="CN93" s="22">
        <f t="shared" si="66"/>
        <v>1.6544940412147844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256.66666666666669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1.4210854715202004E-13</v>
      </c>
      <c r="O94" s="13">
        <f>N94*VLOOKUP('Données projet'!$B$9,Paramètres!$A$1:$I$89,3,0)*VLOOKUP('Données projet'!$B$9,Paramètres!$A$1:$I$89,5,0)</f>
        <v>1.4853185348329134E-13</v>
      </c>
      <c r="P94" s="13">
        <f t="shared" si="87"/>
        <v>2.1309431512949395E-12</v>
      </c>
      <c r="Q94" s="20">
        <f t="shared" si="54"/>
        <v>3.9700856333220852E-12</v>
      </c>
      <c r="R94" s="59">
        <f t="shared" si="55"/>
        <v>293.33333333333729</v>
      </c>
      <c r="S94" s="59">
        <f ca="1">AVERAGE(OFFSET($R$3,0,0,'Données projet'!$E$9+1,1))-AVERAGE(OFFSET($H$3,0,0,'Données projet'!$E$9+1,1))</f>
        <v>241.84492910369795</v>
      </c>
      <c r="T94" s="59">
        <f t="shared" si="88"/>
        <v>338.04336767245667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1.8090605369351302</v>
      </c>
      <c r="AA94" s="21">
        <f>EXP(-LN(2)/25)*AA93+(1-EXP(-LN(2)/25))/(LN(2)/25)*Calculateur!V94*Calculateur!X94*VLOOKUP('Données projet'!$B$9,Paramètres!$A$1:$I$89,3,0)*0.475*44/12</f>
        <v>2.5607140486952185</v>
      </c>
      <c r="AB94" s="21">
        <f>EXP(-LN(2)/2)*AB93+(1-EXP(-LN(2)/2))/(LN(2)/2)*V94*Y94*VLOOKUP('Données projet'!$B$9,Paramètres!$A$1:$I$89,3,0)*0.475*44/12</f>
        <v>5.6936831645019621E-9</v>
      </c>
      <c r="AC94" s="22">
        <f t="shared" si="57"/>
        <v>4.369774591324032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>
        <f>AI94*VLOOKUP('Données projet'!$B$10,Paramètres!$A$1:$I$89,3,0)*VLOOKUP('Données projet'!$B$10,Paramètres!$A$1:$I$89,5,0)</f>
        <v>0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370.12772664814923</v>
      </c>
      <c r="AO94" s="59">
        <f t="shared" si="90"/>
        <v>292.26503163353146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2.2345009768821562</v>
      </c>
      <c r="AV94" s="21">
        <f>EXP(-LN(2)/25)*AV93+(1-EXP(-LN(2)/25))/(LN(2)/25)*Calculateur!AQ94*Calculateur!AS94*VLOOKUP('Données projet'!$B$10,Paramètres!$A$1:$I$89,3,0)*0.475*44/12</f>
        <v>1.2242384421674981</v>
      </c>
      <c r="AW94" s="21">
        <f>EXP(-LN(2)/2)*AW93+(1-EXP(-LN(2)/2))/(LN(2)/2)*AQ94*AT94*VLOOKUP('Données projet'!$B$10,Paramètres!$A$1:$I$89,3,0)*0.475*44/12</f>
        <v>5.2175384928243894E-9</v>
      </c>
      <c r="AX94" s="21">
        <f t="shared" si="60"/>
        <v>3.4587394242671925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6.2</v>
      </c>
      <c r="BD94" s="12">
        <f>IF('Données projet'!$A$88&gt;35,BD93+BC94-BL93,IF(A94&lt;'Données projet'!$A$88,$BA$205^A94,IF(A94='Données projet'!$A$88,'Données projet'!$B$88,BD93+BC94-BL93)))</f>
        <v>308.19999999999993</v>
      </c>
      <c r="BE94" s="13">
        <f>BD94*VLOOKUP('Données projet'!$B$11,Paramètres!$A$1:$I$89,3,0)*VLOOKUP('Données projet'!$B$11,Paramètres!$A$1:$I$89,5,0)</f>
        <v>331.74647999999991</v>
      </c>
      <c r="BF94" s="13">
        <f t="shared" si="91"/>
        <v>77.792285724165268</v>
      </c>
      <c r="BG94" s="20">
        <f t="shared" si="61"/>
        <v>713.28001696958756</v>
      </c>
      <c r="BH94" s="59">
        <f t="shared" si="62"/>
        <v>1006.6133503029209</v>
      </c>
      <c r="BI94" s="59">
        <f ca="1">AVERAGE(OFFSET($BH$3,0,0,'Données projet'!$E$11+1,1))-AVERAGE(OFFSET($H$3,0,0,'Données projet'!$E$11+1,1))</f>
        <v>475.01366239340246</v>
      </c>
      <c r="BJ94" s="59">
        <f t="shared" si="92"/>
        <v>322.81767004794284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2.5977285963012977</v>
      </c>
      <c r="BQ94" s="21">
        <f>EXP(-LN(2)/25)*BQ93+(1-EXP(-LN(2)/25))/(LN(2)/25)*Calculateur!BL94*Calculateur!BN94*VLOOKUP('Données projet'!$B$11,Paramètres!$A$1:$I$89,3,0)*0.475*44/12</f>
        <v>2.0530751370586371</v>
      </c>
      <c r="BR94" s="21">
        <f>EXP(-LN(2)/2)*BR93+(1-EXP(-LN(2)/2))/(LN(2)/2)*BL94*BO94*VLOOKUP('Données projet'!$B$11,Paramètres!$A$1:$I$89,3,0)*0.475*44/12</f>
        <v>6.6865367560337798E-9</v>
      </c>
      <c r="BS94" s="22">
        <f t="shared" si="63"/>
        <v>4.650803740046471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5</v>
      </c>
      <c r="BY94" s="12">
        <f>IF('Données projet'!$A$114&gt;35,BY93+BX94-CG93,IF(A94&lt;'Données projet'!$A$114,$BV$205^A94,IF(A94='Données projet'!$A$114,'Données projet'!$B$114,BY93+BX94-CG93)))</f>
        <v>258.99999999999983</v>
      </c>
      <c r="BZ94" s="13">
        <f>BY94*VLOOKUP('Données projet'!$B$12,Paramètres!$A$1:$I$89,3,0)*VLOOKUP('Données projet'!$B$12,Paramètres!$A$1:$I$89,5,0)</f>
        <v>173.73719999999989</v>
      </c>
      <c r="CA94" s="13">
        <f t="shared" si="93"/>
        <v>43.925969821948655</v>
      </c>
      <c r="CB94" s="20">
        <f t="shared" si="64"/>
        <v>379.09668743989369</v>
      </c>
      <c r="CC94" s="59">
        <f t="shared" si="65"/>
        <v>672.43002077322694</v>
      </c>
      <c r="CD94" s="59">
        <f ca="1">AVERAGE(OFFSET($CC$3,0,0,'Données projet'!$E$12+1,1))-AVERAGE(OFFSET($H$3,0,0,'Données projet'!$E$12+1,1))</f>
        <v>254.8851926268614</v>
      </c>
      <c r="CE94" s="59">
        <f t="shared" si="94"/>
        <v>182.11500693273973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0.9099515393669757</v>
      </c>
      <c r="CL94" s="21">
        <f>EXP(-LN(2)/25)*CL93+(1-EXP(-LN(2)/25))/(LN(2)/25)*Calculateur!CG94*Calculateur!CI94*VLOOKUP('Données projet'!$B$12,Paramètres!$A$1:$I$89,3,0)*0.475*44/12</f>
        <v>0.70648014210050025</v>
      </c>
      <c r="CM94" s="21">
        <f>EXP(-LN(2)/2)*CM93+(1-EXP(-LN(2)/2))/(LN(2)/2)*CG94*CJ94*VLOOKUP('Données projet'!$B$12,Paramètres!$A$1:$I$89,3,0)*0.475*44/12</f>
        <v>2.9795392462403566E-9</v>
      </c>
      <c r="CN94" s="22">
        <f t="shared" si="66"/>
        <v>1.6164316844470152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256.66666666666669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1.4210854715202004E-13</v>
      </c>
      <c r="O95" s="13">
        <f>N95*VLOOKUP('Données projet'!$B$9,Paramètres!$A$1:$I$89,3,0)*VLOOKUP('Données projet'!$B$9,Paramètres!$A$1:$I$89,5,0)</f>
        <v>1.4853185348329134E-13</v>
      </c>
      <c r="P95" s="13">
        <f t="shared" si="87"/>
        <v>2.1309431512949395E-12</v>
      </c>
      <c r="Q95" s="20">
        <f t="shared" si="54"/>
        <v>3.9700856333220852E-12</v>
      </c>
      <c r="R95" s="59">
        <f t="shared" si="55"/>
        <v>293.33333333333729</v>
      </c>
      <c r="S95" s="59">
        <f ca="1">AVERAGE(OFFSET($R$3,0,0,'Données projet'!$E$9+1,1))-AVERAGE(OFFSET($H$3,0,0,'Données projet'!$E$9+1,1))</f>
        <v>241.84492910369795</v>
      </c>
      <c r="T95" s="59">
        <f t="shared" si="88"/>
        <v>338.04336767245667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1.7735859632238065</v>
      </c>
      <c r="AA95" s="21">
        <f>EXP(-LN(2)/25)*AA94+(1-EXP(-LN(2)/25))/(LN(2)/25)*Calculateur!V95*Calculateur!X95*VLOOKUP('Données projet'!$B$9,Paramètres!$A$1:$I$89,3,0)*0.475*44/12</f>
        <v>2.4906911883715486</v>
      </c>
      <c r="AB95" s="21">
        <f>EXP(-LN(2)/2)*AB94+(1-EXP(-LN(2)/2))/(LN(2)/2)*V95*Y95*VLOOKUP('Données projet'!$B$9,Paramètres!$A$1:$I$89,3,0)*0.475*44/12</f>
        <v>4.0260419755470184E-9</v>
      </c>
      <c r="AC95" s="22">
        <f t="shared" si="57"/>
        <v>4.2642771556213965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>
        <f>AI95*VLOOKUP('Données projet'!$B$10,Paramètres!$A$1:$I$89,3,0)*VLOOKUP('Données projet'!$B$10,Paramètres!$A$1:$I$89,5,0)</f>
        <v>0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370.12772664814923</v>
      </c>
      <c r="AO95" s="59">
        <f t="shared" si="90"/>
        <v>292.26503163353146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2.1906837756365167</v>
      </c>
      <c r="AV95" s="21">
        <f>EXP(-LN(2)/25)*AV94+(1-EXP(-LN(2)/25))/(LN(2)/25)*Calculateur!AQ95*Calculateur!AS95*VLOOKUP('Données projet'!$B$10,Paramètres!$A$1:$I$89,3,0)*0.475*44/12</f>
        <v>1.1907615775865263</v>
      </c>
      <c r="AW95" s="21">
        <f>EXP(-LN(2)/2)*AW94+(1-EXP(-LN(2)/2))/(LN(2)/2)*AQ95*AT95*VLOOKUP('Données projet'!$B$10,Paramètres!$A$1:$I$89,3,0)*0.475*44/12</f>
        <v>3.6893568493779647E-9</v>
      </c>
      <c r="AX95" s="21">
        <f t="shared" si="60"/>
        <v>3.3814453569123999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6.2</v>
      </c>
      <c r="BD95" s="12">
        <f>IF('Données projet'!$A$88&gt;35,BD94+BC95-BL94,IF(A95&lt;'Données projet'!$A$88,$BA$205^A95,IF(A95='Données projet'!$A$88,'Données projet'!$B$88,BD94+BC95-BL94)))</f>
        <v>314.39999999999992</v>
      </c>
      <c r="BE95" s="13">
        <f>BD95*VLOOKUP('Données projet'!$B$11,Paramètres!$A$1:$I$89,3,0)*VLOOKUP('Données projet'!$B$11,Paramètres!$A$1:$I$89,5,0)</f>
        <v>338.4201599999999</v>
      </c>
      <c r="BF95" s="13">
        <f t="shared" si="91"/>
        <v>79.173453052111782</v>
      </c>
      <c r="BG95" s="20">
        <f t="shared" si="61"/>
        <v>727.30887606576107</v>
      </c>
      <c r="BH95" s="59">
        <f t="shared" si="62"/>
        <v>1020.6422093990943</v>
      </c>
      <c r="BI95" s="59">
        <f ca="1">AVERAGE(OFFSET($BH$3,0,0,'Données projet'!$E$11+1,1))-AVERAGE(OFFSET($H$3,0,0,'Données projet'!$E$11+1,1))</f>
        <v>475.01366239340246</v>
      </c>
      <c r="BJ95" s="59">
        <f t="shared" si="92"/>
        <v>322.81767004794284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2.5467887229858208</v>
      </c>
      <c r="BQ95" s="21">
        <f>EXP(-LN(2)/25)*BQ94+(1-EXP(-LN(2)/25))/(LN(2)/25)*Calculateur!BL95*Calculateur!BN95*VLOOKUP('Données projet'!$B$11,Paramètres!$A$1:$I$89,3,0)*0.475*44/12</f>
        <v>1.9969336894692395</v>
      </c>
      <c r="BR95" s="21">
        <f>EXP(-LN(2)/2)*BR94+(1-EXP(-LN(2)/2))/(LN(2)/2)*BL95*BO95*VLOOKUP('Données projet'!$B$11,Paramètres!$A$1:$I$89,3,0)*0.475*44/12</f>
        <v>4.7280954828445852E-9</v>
      </c>
      <c r="BS95" s="22">
        <f t="shared" si="63"/>
        <v>4.5437224171831554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5</v>
      </c>
      <c r="BY95" s="12">
        <f>IF('Données projet'!$A$114&gt;35,BY94+BX95-CG94,IF(A95&lt;'Données projet'!$A$114,$BV$205^A95,IF(A95='Données projet'!$A$114,'Données projet'!$B$114,BY94+BX95-CG94)))</f>
        <v>263.99999999999983</v>
      </c>
      <c r="BZ95" s="13">
        <f>BY95*VLOOKUP('Données projet'!$B$12,Paramètres!$A$1:$I$89,3,0)*VLOOKUP('Données projet'!$B$12,Paramètres!$A$1:$I$89,5,0)</f>
        <v>177.0911999999999</v>
      </c>
      <c r="CA95" s="13">
        <f t="shared" si="93"/>
        <v>44.674419409659976</v>
      </c>
      <c r="CB95" s="20">
        <f t="shared" si="64"/>
        <v>386.24178713849096</v>
      </c>
      <c r="CC95" s="59">
        <f t="shared" si="65"/>
        <v>679.57512047182422</v>
      </c>
      <c r="CD95" s="59">
        <f ca="1">AVERAGE(OFFSET($CC$3,0,0,'Données projet'!$E$12+1,1))-AVERAGE(OFFSET($H$3,0,0,'Données projet'!$E$12+1,1))</f>
        <v>254.8851926268614</v>
      </c>
      <c r="CE95" s="59">
        <f t="shared" si="94"/>
        <v>182.11500693273973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0.89210794469562504</v>
      </c>
      <c r="CL95" s="21">
        <f>EXP(-LN(2)/25)*CL94+(1-EXP(-LN(2)/25))/(LN(2)/25)*Calculateur!CG95*Calculateur!CI95*VLOOKUP('Données projet'!$B$12,Paramètres!$A$1:$I$89,3,0)*0.475*44/12</f>
        <v>0.68716140546258608</v>
      </c>
      <c r="CM95" s="21">
        <f>EXP(-LN(2)/2)*CM94+(1-EXP(-LN(2)/2))/(LN(2)/2)*CG95*CJ95*VLOOKUP('Données projet'!$B$12,Paramètres!$A$1:$I$89,3,0)*0.475*44/12</f>
        <v>2.1068524058280106E-9</v>
      </c>
      <c r="CN95" s="22">
        <f t="shared" si="66"/>
        <v>1.5792693522650636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256.66666666666669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1.4210854715202004E-13</v>
      </c>
      <c r="O96" s="13">
        <f>N96*VLOOKUP('Données projet'!$B$9,Paramètres!$A$1:$I$89,3,0)*VLOOKUP('Données projet'!$B$9,Paramètres!$A$1:$I$89,5,0)</f>
        <v>1.4853185348329134E-13</v>
      </c>
      <c r="P96" s="13">
        <f t="shared" si="87"/>
        <v>2.1309431512949395E-12</v>
      </c>
      <c r="Q96" s="20">
        <f t="shared" si="54"/>
        <v>3.9700856333220852E-12</v>
      </c>
      <c r="R96" s="59">
        <f t="shared" si="55"/>
        <v>293.33333333333729</v>
      </c>
      <c r="S96" s="59">
        <f ca="1">AVERAGE(OFFSET($R$3,0,0,'Données projet'!$E$9+1,1))-AVERAGE(OFFSET($H$3,0,0,'Données projet'!$E$9+1,1))</f>
        <v>241.84492910369795</v>
      </c>
      <c r="T96" s="59">
        <f t="shared" si="88"/>
        <v>338.04336767245667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1.7388070242656082</v>
      </c>
      <c r="AA96" s="21">
        <f>EXP(-LN(2)/25)*AA95+(1-EXP(-LN(2)/25))/(LN(2)/25)*Calculateur!V96*Calculateur!X96*VLOOKUP('Données projet'!$B$9,Paramètres!$A$1:$I$89,3,0)*0.475*44/12</f>
        <v>2.4225831068457717</v>
      </c>
      <c r="AB96" s="21">
        <f>EXP(-LN(2)/2)*AB95+(1-EXP(-LN(2)/2))/(LN(2)/2)*V96*Y96*VLOOKUP('Données projet'!$B$9,Paramètres!$A$1:$I$89,3,0)*0.475*44/12</f>
        <v>2.846841582250981E-9</v>
      </c>
      <c r="AC96" s="22">
        <f t="shared" si="57"/>
        <v>4.1613901339582222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>
        <f>AI96*VLOOKUP('Données projet'!$B$10,Paramètres!$A$1:$I$89,3,0)*VLOOKUP('Données projet'!$B$10,Paramètres!$A$1:$I$89,5,0)</f>
        <v>0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370.12772664814923</v>
      </c>
      <c r="AO96" s="59">
        <f t="shared" si="90"/>
        <v>292.26503163353146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2.1477258029814505</v>
      </c>
      <c r="AV96" s="21">
        <f>EXP(-LN(2)/25)*AV95+(1-EXP(-LN(2)/25))/(LN(2)/25)*Calculateur!AQ96*Calculateur!AS96*VLOOKUP('Données projet'!$B$10,Paramètres!$A$1:$I$89,3,0)*0.475*44/12</f>
        <v>1.1582001396279928</v>
      </c>
      <c r="AW96" s="21">
        <f>EXP(-LN(2)/2)*AW95+(1-EXP(-LN(2)/2))/(LN(2)/2)*AQ96*AT96*VLOOKUP('Données projet'!$B$10,Paramètres!$A$1:$I$89,3,0)*0.475*44/12</f>
        <v>2.6087692464121951E-9</v>
      </c>
      <c r="AX96" s="21">
        <f t="shared" si="60"/>
        <v>3.3059259452182124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6.2</v>
      </c>
      <c r="BD96" s="12">
        <f>IF('Données projet'!$A$88&gt;35,BD95+BC96-BL95,IF(A96&lt;'Données projet'!$A$88,$BA$205^A96,IF(A96='Données projet'!$A$88,'Données projet'!$B$88,BD95+BC96-BL95)))</f>
        <v>320.59999999999991</v>
      </c>
      <c r="BE96" s="13">
        <f>BD96*VLOOKUP('Données projet'!$B$11,Paramètres!$A$1:$I$89,3,0)*VLOOKUP('Données projet'!$B$11,Paramètres!$A$1:$I$89,5,0)</f>
        <v>345.09383999999989</v>
      </c>
      <c r="BF96" s="13">
        <f t="shared" si="91"/>
        <v>80.551453440052555</v>
      </c>
      <c r="BG96" s="20">
        <f t="shared" si="61"/>
        <v>741.33221940809119</v>
      </c>
      <c r="BH96" s="59">
        <f t="shared" si="62"/>
        <v>1034.6655527414246</v>
      </c>
      <c r="BI96" s="59">
        <f ca="1">AVERAGE(OFFSET($BH$3,0,0,'Données projet'!$E$11+1,1))-AVERAGE(OFFSET($H$3,0,0,'Données projet'!$E$11+1,1))</f>
        <v>475.01366239340246</v>
      </c>
      <c r="BJ96" s="59">
        <f t="shared" si="92"/>
        <v>322.81767004794284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2.4968477495158057</v>
      </c>
      <c r="BQ96" s="21">
        <f>EXP(-LN(2)/25)*BQ95+(1-EXP(-LN(2)/25))/(LN(2)/25)*Calculateur!BL96*Calculateur!BN96*VLOOKUP('Données projet'!$B$11,Paramètres!$A$1:$I$89,3,0)*0.475*44/12</f>
        <v>1.9423274327165245</v>
      </c>
      <c r="BR96" s="21">
        <f>EXP(-LN(2)/2)*BR95+(1-EXP(-LN(2)/2))/(LN(2)/2)*BL96*BO96*VLOOKUP('Données projet'!$B$11,Paramètres!$A$1:$I$89,3,0)*0.475*44/12</f>
        <v>3.3432683780168899E-9</v>
      </c>
      <c r="BS96" s="22">
        <f t="shared" si="63"/>
        <v>4.439175185575599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5</v>
      </c>
      <c r="BY96" s="12">
        <f>IF('Données projet'!$A$114&gt;35,BY95+BX96-CG95,IF(A96&lt;'Données projet'!$A$114,$BV$205^A96,IF(A96='Données projet'!$A$114,'Données projet'!$B$114,BY95+BX96-CG95)))</f>
        <v>268.99999999999983</v>
      </c>
      <c r="BZ96" s="13">
        <f>BY96*VLOOKUP('Données projet'!$B$12,Paramètres!$A$1:$I$89,3,0)*VLOOKUP('Données projet'!$B$12,Paramètres!$A$1:$I$89,5,0)</f>
        <v>180.44519999999989</v>
      </c>
      <c r="CA96" s="13">
        <f t="shared" si="93"/>
        <v>45.421220719470305</v>
      </c>
      <c r="CB96" s="20">
        <f t="shared" si="64"/>
        <v>393.38401608641061</v>
      </c>
      <c r="CC96" s="59">
        <f t="shared" si="65"/>
        <v>686.71734941974387</v>
      </c>
      <c r="CD96" s="59">
        <f ca="1">AVERAGE(OFFSET($CC$3,0,0,'Données projet'!$E$12+1,1))-AVERAGE(OFFSET($H$3,0,0,'Données projet'!$E$12+1,1))</f>
        <v>254.8851926268614</v>
      </c>
      <c r="CE96" s="59">
        <f t="shared" si="94"/>
        <v>182.11500693273973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0.87461425203226151</v>
      </c>
      <c r="CL96" s="21">
        <f>EXP(-LN(2)/25)*CL95+(1-EXP(-LN(2)/25))/(LN(2)/25)*Calculateur!CG96*Calculateur!CI96*VLOOKUP('Données projet'!$B$12,Paramètres!$A$1:$I$89,3,0)*0.475*44/12</f>
        <v>0.66837094069396386</v>
      </c>
      <c r="CM96" s="21">
        <f>EXP(-LN(2)/2)*CM95+(1-EXP(-LN(2)/2))/(LN(2)/2)*CG96*CJ96*VLOOKUP('Données projet'!$B$12,Paramètres!$A$1:$I$89,3,0)*0.475*44/12</f>
        <v>1.4897696231201783E-9</v>
      </c>
      <c r="CN96" s="22">
        <f t="shared" si="66"/>
        <v>1.5429851942159951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256.66666666666669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1.4210854715202004E-13</v>
      </c>
      <c r="O97" s="13">
        <f>N97*VLOOKUP('Données projet'!$B$9,Paramètres!$A$1:$I$89,3,0)*VLOOKUP('Données projet'!$B$9,Paramètres!$A$1:$I$89,5,0)</f>
        <v>1.4853185348329134E-13</v>
      </c>
      <c r="P97" s="13">
        <f t="shared" si="87"/>
        <v>2.1309431512949395E-12</v>
      </c>
      <c r="Q97" s="20">
        <f t="shared" si="54"/>
        <v>3.9700856333220852E-12</v>
      </c>
      <c r="R97" s="59">
        <f t="shared" si="55"/>
        <v>293.33333333333729</v>
      </c>
      <c r="S97" s="59">
        <f ca="1">AVERAGE(OFFSET($R$3,0,0,'Données projet'!$E$9+1,1))-AVERAGE(OFFSET($H$3,0,0,'Données projet'!$E$9+1,1))</f>
        <v>241.84492910369795</v>
      </c>
      <c r="T97" s="59">
        <f t="shared" si="88"/>
        <v>338.04336767245667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1.704710079087322</v>
      </c>
      <c r="AA97" s="21">
        <f>EXP(-LN(2)/25)*AA96+(1-EXP(-LN(2)/25))/(LN(2)/25)*Calculateur!V97*Calculateur!X97*VLOOKUP('Données projet'!$B$9,Paramètres!$A$1:$I$89,3,0)*0.475*44/12</f>
        <v>2.3563374443909653</v>
      </c>
      <c r="AB97" s="21">
        <f>EXP(-LN(2)/2)*AB96+(1-EXP(-LN(2)/2))/(LN(2)/2)*V97*Y97*VLOOKUP('Données projet'!$B$9,Paramètres!$A$1:$I$89,3,0)*0.475*44/12</f>
        <v>2.0130209877735092E-9</v>
      </c>
      <c r="AC97" s="22">
        <f t="shared" si="57"/>
        <v>4.0610475254913077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>
        <f>AI97*VLOOKUP('Données projet'!$B$10,Paramètres!$A$1:$I$89,3,0)*VLOOKUP('Données projet'!$B$10,Paramètres!$A$1:$I$89,5,0)</f>
        <v>0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370.12772664814923</v>
      </c>
      <c r="AO97" s="59">
        <f t="shared" si="90"/>
        <v>292.26503163353146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2.1056102099683742</v>
      </c>
      <c r="AV97" s="21">
        <f>EXP(-LN(2)/25)*AV96+(1-EXP(-LN(2)/25))/(LN(2)/25)*Calculateur!AQ97*Calculateur!AS97*VLOOKUP('Données projet'!$B$10,Paramètres!$A$1:$I$89,3,0)*0.475*44/12</f>
        <v>1.1265290959027672</v>
      </c>
      <c r="AW97" s="21">
        <f>EXP(-LN(2)/2)*AW96+(1-EXP(-LN(2)/2))/(LN(2)/2)*AQ97*AT97*VLOOKUP('Données projet'!$B$10,Paramètres!$A$1:$I$89,3,0)*0.475*44/12</f>
        <v>1.8446784246889826E-9</v>
      </c>
      <c r="AX97" s="21">
        <f t="shared" si="60"/>
        <v>3.23213930771582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6.2</v>
      </c>
      <c r="BD97" s="12">
        <f>IF('Données projet'!$A$88&gt;35,BD96+BC97-BL96,IF(A97&lt;'Données projet'!$A$88,$BA$205^A97,IF(A97='Données projet'!$A$88,'Données projet'!$B$88,BD96+BC97-BL96)))</f>
        <v>326.7999999999999</v>
      </c>
      <c r="BE97" s="13">
        <f>BD97*VLOOKUP('Données projet'!$B$11,Paramètres!$A$1:$I$89,3,0)*VLOOKUP('Données projet'!$B$11,Paramètres!$A$1:$I$89,5,0)</f>
        <v>351.76751999999988</v>
      </c>
      <c r="BF97" s="13">
        <f t="shared" si="91"/>
        <v>81.926355193183625</v>
      </c>
      <c r="BG97" s="20">
        <f t="shared" si="61"/>
        <v>755.35016596146124</v>
      </c>
      <c r="BH97" s="59">
        <f t="shared" si="62"/>
        <v>1048.6834992947945</v>
      </c>
      <c r="BI97" s="59">
        <f ca="1">AVERAGE(OFFSET($BH$3,0,0,'Données projet'!$E$11+1,1))-AVERAGE(OFFSET($H$3,0,0,'Données projet'!$E$11+1,1))</f>
        <v>475.01366239340246</v>
      </c>
      <c r="BJ97" s="59">
        <f t="shared" si="92"/>
        <v>322.81767004794284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2.4478860880745512</v>
      </c>
      <c r="BQ97" s="21">
        <f>EXP(-LN(2)/25)*BQ96+(1-EXP(-LN(2)/25))/(LN(2)/25)*Calculateur!BL97*Calculateur!BN97*VLOOKUP('Données projet'!$B$11,Paramètres!$A$1:$I$89,3,0)*0.475*44/12</f>
        <v>1.8892143869263307</v>
      </c>
      <c r="BR97" s="21">
        <f>EXP(-LN(2)/2)*BR96+(1-EXP(-LN(2)/2))/(LN(2)/2)*BL97*BO97*VLOOKUP('Données projet'!$B$11,Paramètres!$A$1:$I$89,3,0)*0.475*44/12</f>
        <v>2.3640477414222926E-9</v>
      </c>
      <c r="BS97" s="22">
        <f t="shared" si="63"/>
        <v>4.3371004773649293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5</v>
      </c>
      <c r="BY97" s="12">
        <f>IF('Données projet'!$A$114&gt;35,BY96+BX97-CG96,IF(A97&lt;'Données projet'!$A$114,$BV$205^A97,IF(A97='Données projet'!$A$114,'Données projet'!$B$114,BY96+BX97-CG96)))</f>
        <v>273.99999999999983</v>
      </c>
      <c r="BZ97" s="13">
        <f>BY97*VLOOKUP('Données projet'!$B$12,Paramètres!$A$1:$I$89,3,0)*VLOOKUP('Données projet'!$B$12,Paramètres!$A$1:$I$89,5,0)</f>
        <v>183.79919999999987</v>
      </c>
      <c r="CA97" s="13">
        <f t="shared" si="93"/>
        <v>46.166407921672452</v>
      </c>
      <c r="CB97" s="20">
        <f t="shared" si="64"/>
        <v>400.52343379691257</v>
      </c>
      <c r="CC97" s="59">
        <f t="shared" si="65"/>
        <v>693.85676713024588</v>
      </c>
      <c r="CD97" s="59">
        <f ca="1">AVERAGE(OFFSET($CC$3,0,0,'Données projet'!$E$12+1,1))-AVERAGE(OFFSET($H$3,0,0,'Données projet'!$E$12+1,1))</f>
        <v>254.8851926268614</v>
      </c>
      <c r="CE97" s="59">
        <f t="shared" si="94"/>
        <v>182.11500693273973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0.85746360001192756</v>
      </c>
      <c r="CL97" s="21">
        <f>EXP(-LN(2)/25)*CL96+(1-EXP(-LN(2)/25))/(LN(2)/25)*Calculateur!CG97*Calculateur!CI97*VLOOKUP('Données projet'!$B$12,Paramètres!$A$1:$I$89,3,0)*0.475*44/12</f>
        <v>0.65009430217258724</v>
      </c>
      <c r="CM97" s="21">
        <f>EXP(-LN(2)/2)*CM96+(1-EXP(-LN(2)/2))/(LN(2)/2)*CG97*CJ97*VLOOKUP('Données projet'!$B$12,Paramètres!$A$1:$I$89,3,0)*0.475*44/12</f>
        <v>1.0534262029140053E-9</v>
      </c>
      <c r="CN97" s="22">
        <f t="shared" si="66"/>
        <v>1.5075579032379411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256.66666666666669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1.4210854715202004E-13</v>
      </c>
      <c r="O98" s="13">
        <f>N98*VLOOKUP('Données projet'!$B$9,Paramètres!$A$1:$I$89,3,0)*VLOOKUP('Données projet'!$B$9,Paramètres!$A$1:$I$89,5,0)</f>
        <v>1.4853185348329134E-13</v>
      </c>
      <c r="P98" s="13">
        <f t="shared" si="87"/>
        <v>2.1309431512949395E-12</v>
      </c>
      <c r="Q98" s="20">
        <f t="shared" si="54"/>
        <v>3.9700856333220852E-12</v>
      </c>
      <c r="R98" s="59">
        <f t="shared" si="55"/>
        <v>293.33333333333729</v>
      </c>
      <c r="S98" s="59">
        <f ca="1">AVERAGE(OFFSET($R$3,0,0,'Données projet'!$E$9+1,1))-AVERAGE(OFFSET($H$3,0,0,'Données projet'!$E$9+1,1))</f>
        <v>241.84492910369795</v>
      </c>
      <c r="T98" s="59">
        <f t="shared" si="88"/>
        <v>338.04336767245667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1.671281754206899</v>
      </c>
      <c r="AA98" s="21">
        <f>EXP(-LN(2)/25)*AA97+(1-EXP(-LN(2)/25))/(LN(2)/25)*Calculateur!V98*Calculateur!X98*VLOOKUP('Données projet'!$B$9,Paramètres!$A$1:$I$89,3,0)*0.475*44/12</f>
        <v>2.2919032730596935</v>
      </c>
      <c r="AB98" s="21">
        <f>EXP(-LN(2)/2)*AB97+(1-EXP(-LN(2)/2))/(LN(2)/2)*V98*Y98*VLOOKUP('Données projet'!$B$9,Paramètres!$A$1:$I$89,3,0)*0.475*44/12</f>
        <v>1.4234207911254905E-9</v>
      </c>
      <c r="AC98" s="22">
        <f t="shared" si="57"/>
        <v>3.9631850286900137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>
        <f>AI98*VLOOKUP('Données projet'!$B$10,Paramètres!$A$1:$I$89,3,0)*VLOOKUP('Données projet'!$B$10,Paramètres!$A$1:$I$89,5,0)</f>
        <v>0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370.12772664814923</v>
      </c>
      <c r="AO98" s="59">
        <f t="shared" si="90"/>
        <v>292.26503163353146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2.0643204780463087</v>
      </c>
      <c r="AV98" s="21">
        <f>EXP(-LN(2)/25)*AV97+(1-EXP(-LN(2)/25))/(LN(2)/25)*Calculateur!AQ98*Calculateur!AS98*VLOOKUP('Données projet'!$B$10,Paramètres!$A$1:$I$89,3,0)*0.475*44/12</f>
        <v>1.0957240985337156</v>
      </c>
      <c r="AW98" s="21">
        <f>EXP(-LN(2)/2)*AW97+(1-EXP(-LN(2)/2))/(LN(2)/2)*AQ98*AT98*VLOOKUP('Données projet'!$B$10,Paramètres!$A$1:$I$89,3,0)*0.475*44/12</f>
        <v>1.3043846232060978E-9</v>
      </c>
      <c r="AX98" s="21">
        <f t="shared" si="60"/>
        <v>3.1600445778844088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>
        <f>VLOOKUP(A98,'Données projet'!$A$87:$I$107,2,0)</f>
        <v>333</v>
      </c>
      <c r="BB98" s="12">
        <f>VLOOKUP(A98,'Données projet'!$A$87:$I$107,9,0)</f>
        <v>6.2</v>
      </c>
      <c r="BC98" s="12">
        <f t="array" ref="BC98">INDEX(BB:BB,MIN(IF(ISNUMBER(BB98:BB294),ROW(BB98:BB294),"")))</f>
        <v>6.2</v>
      </c>
      <c r="BD98" s="12">
        <f>IF('Données projet'!$A$88&gt;35,BD97+BC98-BL97,IF(A98&lt;'Données projet'!$A$88,$BA$205^A98,IF(A98='Données projet'!$A$88,'Données projet'!$B$88,BD97+BC98-BL97)))</f>
        <v>332.99999999999989</v>
      </c>
      <c r="BE98" s="13">
        <f>BD98*VLOOKUP('Données projet'!$B$11,Paramètres!$A$1:$I$89,3,0)*VLOOKUP('Données projet'!$B$11,Paramètres!$A$1:$I$89,5,0)</f>
        <v>358.44119999999987</v>
      </c>
      <c r="BF98" s="13">
        <f t="shared" si="91"/>
        <v>83.298223876643164</v>
      </c>
      <c r="BG98" s="20">
        <f t="shared" si="61"/>
        <v>769.36282991848657</v>
      </c>
      <c r="BH98" s="59">
        <f t="shared" si="62"/>
        <v>1062.6961632518198</v>
      </c>
      <c r="BI98" s="59">
        <f ca="1">AVERAGE(OFFSET($BH$3,0,0,'Données projet'!$E$11+1,1))-AVERAGE(OFFSET($H$3,0,0,'Données projet'!$E$11+1,1))</f>
        <v>475.01366239340246</v>
      </c>
      <c r="BJ98" s="59">
        <f t="shared" si="92"/>
        <v>322.81767004794284</v>
      </c>
      <c r="BK98" s="15">
        <f>IF(ISNA(VLOOKUP(A98,'Données projet'!$A$87:$I$107,3,0)),0,VLOOKUP(A98,'Données projet'!$A$87:$I$107,3,0))</f>
        <v>16</v>
      </c>
      <c r="BL98" s="15">
        <f>IF(ISNA(VLOOKUP(A98,'Données projet'!$A$87:$I$107,4,0)),0,VLOOKUP(A98,'Données projet'!$A$87:$I$107,4,0))</f>
        <v>28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2.3998845349504951</v>
      </c>
      <c r="BQ98" s="21">
        <f>EXP(-LN(2)/25)*BQ97+(1-EXP(-LN(2)/25))/(LN(2)/25)*Calculateur!BL98*Calculateur!BN98*VLOOKUP('Données projet'!$B$11,Paramètres!$A$1:$I$89,3,0)*0.475*44/12</f>
        <v>1.8375537201663634</v>
      </c>
      <c r="BR98" s="21">
        <f>EXP(-LN(2)/2)*BR97+(1-EXP(-LN(2)/2))/(LN(2)/2)*BL98*BO98*VLOOKUP('Données projet'!$B$11,Paramètres!$A$1:$I$89,3,0)*0.475*44/12</f>
        <v>1.6716341890084449E-9</v>
      </c>
      <c r="BS98" s="22">
        <f t="shared" si="63"/>
        <v>4.2374382567884927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>
        <f>VLOOKUP(A98,'Données projet'!$A$113:$I$133,2,0)</f>
        <v>279</v>
      </c>
      <c r="BW98" s="12">
        <f>VLOOKUP(A98,'Données projet'!$A$113:$I$133,9,0)</f>
        <v>5</v>
      </c>
      <c r="BX98" s="12">
        <f t="array" ref="BX98">INDEX(BW:BW,MIN(IF(ISNUMBER(BW98:BW294),ROW(BW98:BW294),"")))</f>
        <v>5</v>
      </c>
      <c r="BY98" s="12">
        <f>IF('Données projet'!$A$114&gt;35,BY97+BX98-CG97,IF(A98&lt;'Données projet'!$A$114,$BV$205^A98,IF(A98='Données projet'!$A$114,'Données projet'!$B$114,BY97+BX98-CG97)))</f>
        <v>278.99999999999983</v>
      </c>
      <c r="BZ98" s="13">
        <f>BY98*VLOOKUP('Données projet'!$B$12,Paramètres!$A$1:$I$89,3,0)*VLOOKUP('Données projet'!$B$12,Paramètres!$A$1:$I$89,5,0)</f>
        <v>187.15319999999988</v>
      </c>
      <c r="CA98" s="13">
        <f t="shared" si="93"/>
        <v>46.9100138680691</v>
      </c>
      <c r="CB98" s="20">
        <f t="shared" si="64"/>
        <v>407.66009748688685</v>
      </c>
      <c r="CC98" s="59">
        <f t="shared" si="65"/>
        <v>700.99343082022017</v>
      </c>
      <c r="CD98" s="59">
        <f ca="1">AVERAGE(OFFSET($CC$3,0,0,'Données projet'!$E$12+1,1))-AVERAGE(OFFSET($H$3,0,0,'Données projet'!$E$12+1,1))</f>
        <v>254.8851926268614</v>
      </c>
      <c r="CE98" s="59">
        <f t="shared" si="94"/>
        <v>182.11500693273973</v>
      </c>
      <c r="CF98" s="15">
        <f>IF(ISNA(VLOOKUP(A98,'Données projet'!$A$113:$I$133,3,0)),0,VLOOKUP(A98,'Données projet'!$A$113:$I$133,3,0))</f>
        <v>15</v>
      </c>
      <c r="CG98" s="15">
        <f>IF(ISNA(VLOOKUP(A98,'Données projet'!$A$113:$I$133,4,0)),0,VLOOKUP(A98,'Données projet'!$A$113:$I$133,4,0))</f>
        <v>21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0.84064926181684763</v>
      </c>
      <c r="CL98" s="21">
        <f>EXP(-LN(2)/25)*CL97+(1-EXP(-LN(2)/25))/(LN(2)/25)*Calculateur!CG98*Calculateur!CI98*VLOOKUP('Données projet'!$B$12,Paramètres!$A$1:$I$89,3,0)*0.475*44/12</f>
        <v>0.63231743929270434</v>
      </c>
      <c r="CM98" s="21">
        <f>EXP(-LN(2)/2)*CM97+(1-EXP(-LN(2)/2))/(LN(2)/2)*CG98*CJ98*VLOOKUP('Données projet'!$B$12,Paramètres!$A$1:$I$89,3,0)*0.475*44/12</f>
        <v>7.4488481156008915E-10</v>
      </c>
      <c r="CN98" s="22">
        <f t="shared" si="66"/>
        <v>1.4729667018544368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256.66666666666669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1.4210854715202004E-13</v>
      </c>
      <c r="O99" s="13">
        <f>N99*VLOOKUP('Données projet'!$B$9,Paramètres!$A$1:$I$89,3,0)*VLOOKUP('Données projet'!$B$9,Paramètres!$A$1:$I$89,5,0)</f>
        <v>1.4853185348329134E-13</v>
      </c>
      <c r="P99" s="13">
        <f t="shared" si="87"/>
        <v>2.1309431512949395E-12</v>
      </c>
      <c r="Q99" s="20">
        <f t="shared" ref="Q99:Q130" si="107">(O99+P99)*0.475*44/12</f>
        <v>3.9700856333220852E-12</v>
      </c>
      <c r="R99" s="59">
        <f t="shared" si="55"/>
        <v>293.33333333333729</v>
      </c>
      <c r="S99" s="59">
        <f ca="1">AVERAGE(OFFSET($R$3,0,0,'Données projet'!$E$9+1,1))-AVERAGE(OFFSET($H$3,0,0,'Données projet'!$E$9+1,1))</f>
        <v>241.84492910369795</v>
      </c>
      <c r="T99" s="59">
        <f t="shared" si="88"/>
        <v>338.04336767245667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1.6385089383881162</v>
      </c>
      <c r="AA99" s="21">
        <f>EXP(-LN(2)/25)*AA98+(1-EXP(-LN(2)/25))/(LN(2)/25)*Calculateur!V99*Calculateur!X99*VLOOKUP('Données projet'!$B$9,Paramètres!$A$1:$I$89,3,0)*0.475*44/12</f>
        <v>2.2292310575319214</v>
      </c>
      <c r="AB99" s="21">
        <f>EXP(-LN(2)/2)*AB98+(1-EXP(-LN(2)/2))/(LN(2)/2)*V99*Y99*VLOOKUP('Données projet'!$B$9,Paramètres!$A$1:$I$89,3,0)*0.475*44/12</f>
        <v>1.0065104938867546E-9</v>
      </c>
      <c r="AC99" s="22">
        <f t="shared" si="57"/>
        <v>3.8677399969265478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>
        <f>AI99*VLOOKUP('Données projet'!$B$10,Paramètres!$A$1:$I$89,3,0)*VLOOKUP('Données projet'!$B$10,Paramètres!$A$1:$I$89,5,0)</f>
        <v>0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370.12772664814923</v>
      </c>
      <c r="AO99" s="59">
        <f t="shared" si="90"/>
        <v>292.26503163353146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2.0238404125829854</v>
      </c>
      <c r="AV99" s="21">
        <f>EXP(-LN(2)/25)*AV98+(1-EXP(-LN(2)/25))/(LN(2)/25)*Calculateur!AQ99*Calculateur!AS99*VLOOKUP('Données projet'!$B$10,Paramètres!$A$1:$I$89,3,0)*0.475*44/12</f>
        <v>1.065761465437685</v>
      </c>
      <c r="AW99" s="21">
        <f>EXP(-LN(2)/2)*AW98+(1-EXP(-LN(2)/2))/(LN(2)/2)*AQ99*AT99*VLOOKUP('Données projet'!$B$10,Paramètres!$A$1:$I$89,3,0)*0.475*44/12</f>
        <v>9.2233921234449149E-10</v>
      </c>
      <c r="AX99" s="21">
        <f t="shared" si="60"/>
        <v>3.0896018789430095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5.6</v>
      </c>
      <c r="BD99" s="12">
        <f>IF('Données projet'!$A$88&gt;35,BD98+BC99-BL98,IF(A99&lt;'Données projet'!$A$88,$BA$205^A99,IF(A99='Données projet'!$A$88,'Données projet'!$B$88,BD98+BC99-BL98)))</f>
        <v>310.59999999999991</v>
      </c>
      <c r="BE99" s="13">
        <f>BD99*VLOOKUP('Données projet'!$B$11,Paramètres!$A$1:$I$89,3,0)*VLOOKUP('Données projet'!$B$11,Paramètres!$A$1:$I$89,5,0)</f>
        <v>334.32983999999988</v>
      </c>
      <c r="BF99" s="13">
        <f t="shared" si="91"/>
        <v>78.327311299804165</v>
      </c>
      <c r="BG99" s="20">
        <f t="shared" si="61"/>
        <v>718.71120518049202</v>
      </c>
      <c r="BH99" s="59">
        <f t="shared" si="62"/>
        <v>1012.0445385138253</v>
      </c>
      <c r="BI99" s="59">
        <f ca="1">AVERAGE(OFFSET($BH$3,0,0,'Données projet'!$E$11+1,1))-AVERAGE(OFFSET($H$3,0,0,'Données projet'!$E$11+1,1))</f>
        <v>475.01366239340246</v>
      </c>
      <c r="BJ99" s="59">
        <f t="shared" si="92"/>
        <v>322.81767004794284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2.3528242630051457</v>
      </c>
      <c r="BQ99" s="21">
        <f>EXP(-LN(2)/25)*BQ98+(1-EXP(-LN(2)/25))/(LN(2)/25)*Calculateur!BL99*Calculateur!BN99*VLOOKUP('Données projet'!$B$11,Paramètres!$A$1:$I$89,3,0)*0.475*44/12</f>
        <v>1.7873057170556639</v>
      </c>
      <c r="BR99" s="21">
        <f>EXP(-LN(2)/2)*BR98+(1-EXP(-LN(2)/2))/(LN(2)/2)*BL99*BO99*VLOOKUP('Données projet'!$B$11,Paramètres!$A$1:$I$89,3,0)*0.475*44/12</f>
        <v>1.1820238707111463E-9</v>
      </c>
      <c r="BS99" s="22">
        <f t="shared" si="63"/>
        <v>4.1401299812428336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4.8</v>
      </c>
      <c r="BY99" s="12">
        <f>IF('Données projet'!$A$114&gt;35,BY98+BX99-CG98,IF(A99&lt;'Données projet'!$A$114,$BV$205^A99,IF(A99='Données projet'!$A$114,'Données projet'!$B$114,BY98+BX99-CG98)))</f>
        <v>262.79999999999984</v>
      </c>
      <c r="BZ99" s="13">
        <f>BY99*VLOOKUP('Données projet'!$B$12,Paramètres!$A$1:$I$89,3,0)*VLOOKUP('Données projet'!$B$12,Paramètres!$A$1:$I$89,5,0)</f>
        <v>176.28623999999991</v>
      </c>
      <c r="CA99" s="13">
        <f t="shared" si="93"/>
        <v>44.49494314853186</v>
      </c>
      <c r="CB99" s="20">
        <f t="shared" si="64"/>
        <v>384.52722731702607</v>
      </c>
      <c r="CC99" s="59">
        <f t="shared" si="65"/>
        <v>677.86056065035939</v>
      </c>
      <c r="CD99" s="59">
        <f ca="1">AVERAGE(OFFSET($CC$3,0,0,'Données projet'!$E$12+1,1))-AVERAGE(OFFSET($H$3,0,0,'Données projet'!$E$12+1,1))</f>
        <v>254.8851926268614</v>
      </c>
      <c r="CE99" s="59">
        <f t="shared" si="94"/>
        <v>182.11500693273973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0.82416464253803956</v>
      </c>
      <c r="CL99" s="21">
        <f>EXP(-LN(2)/25)*CL98+(1-EXP(-LN(2)/25))/(LN(2)/25)*Calculateur!CG99*Calculateur!CI99*VLOOKUP('Données projet'!$B$12,Paramètres!$A$1:$I$89,3,0)*0.475*44/12</f>
        <v>0.61502668566311636</v>
      </c>
      <c r="CM99" s="21">
        <f>EXP(-LN(2)/2)*CM98+(1-EXP(-LN(2)/2))/(LN(2)/2)*CG99*CJ99*VLOOKUP('Données projet'!$B$12,Paramètres!$A$1:$I$89,3,0)*0.475*44/12</f>
        <v>5.2671310145700264E-10</v>
      </c>
      <c r="CN99" s="22">
        <f t="shared" si="66"/>
        <v>1.439191328727869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256.66666666666669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1.4210854715202004E-13</v>
      </c>
      <c r="O100" s="13">
        <f>N100*VLOOKUP('Données projet'!$B$9,Paramètres!$A$1:$I$89,3,0)*VLOOKUP('Données projet'!$B$9,Paramètres!$A$1:$I$89,5,0)</f>
        <v>1.4853185348329134E-13</v>
      </c>
      <c r="P100" s="13">
        <f t="shared" si="87"/>
        <v>2.1309431512949395E-12</v>
      </c>
      <c r="Q100" s="20">
        <f t="shared" si="107"/>
        <v>3.9700856333220852E-12</v>
      </c>
      <c r="R100" s="59">
        <f t="shared" si="55"/>
        <v>293.33333333333729</v>
      </c>
      <c r="S100" s="59">
        <f ca="1">AVERAGE(OFFSET($R$3,0,0,'Données projet'!$E$9+1,1))-AVERAGE(OFFSET($H$3,0,0,'Données projet'!$E$9+1,1))</f>
        <v>241.84492910369795</v>
      </c>
      <c r="T100" s="59">
        <f t="shared" si="88"/>
        <v>338.04336767245667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1.606378777498096</v>
      </c>
      <c r="AA100" s="21">
        <f>EXP(-LN(2)/25)*AA99+(1-EXP(-LN(2)/25))/(LN(2)/25)*Calculateur!V100*Calculateur!X100*VLOOKUP('Données projet'!$B$9,Paramètres!$A$1:$I$89,3,0)*0.475*44/12</f>
        <v>2.1682726170335447</v>
      </c>
      <c r="AB100" s="21">
        <f>EXP(-LN(2)/2)*AB99+(1-EXP(-LN(2)/2))/(LN(2)/2)*V100*Y100*VLOOKUP('Données projet'!$B$9,Paramètres!$A$1:$I$89,3,0)*0.475*44/12</f>
        <v>7.1171039556274526E-10</v>
      </c>
      <c r="AC100" s="22">
        <f t="shared" si="57"/>
        <v>3.7746513952433509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>
        <f>AI100*VLOOKUP('Données projet'!$B$10,Paramètres!$A$1:$I$89,3,0)*VLOOKUP('Données projet'!$B$10,Paramètres!$A$1:$I$89,5,0)</f>
        <v>0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370.12772664814923</v>
      </c>
      <c r="AO100" s="59">
        <f t="shared" si="90"/>
        <v>292.26503163353146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1.9841541365129958</v>
      </c>
      <c r="AV100" s="21">
        <f>EXP(-LN(2)/25)*AV99+(1-EXP(-LN(2)/25))/(LN(2)/25)*Calculateur!AQ100*Calculateur!AS100*VLOOKUP('Données projet'!$B$10,Paramètres!$A$1:$I$89,3,0)*0.475*44/12</f>
        <v>1.0366181621193318</v>
      </c>
      <c r="AW100" s="21">
        <f>EXP(-LN(2)/2)*AW99+(1-EXP(-LN(2)/2))/(LN(2)/2)*AQ100*AT100*VLOOKUP('Données projet'!$B$10,Paramètres!$A$1:$I$89,3,0)*0.475*44/12</f>
        <v>6.5219231160304899E-10</v>
      </c>
      <c r="AX100" s="21">
        <f t="shared" si="60"/>
        <v>3.0207722992845203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5.6</v>
      </c>
      <c r="BD100" s="12">
        <f>IF('Données projet'!$A$88&gt;35,BD99+BC100-BL99,IF(A100&lt;'Données projet'!$A$88,$BA$205^A100,IF(A100='Données projet'!$A$88,'Données projet'!$B$88,BD99+BC100-BL99)))</f>
        <v>316.19999999999993</v>
      </c>
      <c r="BE100" s="13">
        <f>BD100*VLOOKUP('Données projet'!$B$11,Paramètres!$A$1:$I$89,3,0)*VLOOKUP('Données projet'!$B$11,Paramètres!$A$1:$I$89,5,0)</f>
        <v>340.3576799999999</v>
      </c>
      <c r="BF100" s="13">
        <f t="shared" si="91"/>
        <v>79.573840851595449</v>
      </c>
      <c r="BG100" s="20">
        <f t="shared" si="61"/>
        <v>731.38073214986196</v>
      </c>
      <c r="BH100" s="59">
        <f t="shared" si="62"/>
        <v>1024.7140654831953</v>
      </c>
      <c r="BI100" s="59">
        <f ca="1">AVERAGE(OFFSET($BH$3,0,0,'Données projet'!$E$11+1,1))-AVERAGE(OFFSET($H$3,0,0,'Données projet'!$E$11+1,1))</f>
        <v>475.01366239340246</v>
      </c>
      <c r="BJ100" s="59">
        <f t="shared" si="92"/>
        <v>322.81767004794284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2.3066868142887129</v>
      </c>
      <c r="BQ100" s="21">
        <f>EXP(-LN(2)/25)*BQ99+(1-EXP(-LN(2)/25))/(LN(2)/25)*Calculateur!BL100*Calculateur!BN100*VLOOKUP('Données projet'!$B$11,Paramètres!$A$1:$I$89,3,0)*0.475*44/12</f>
        <v>1.7384317482324541</v>
      </c>
      <c r="BR100" s="21">
        <f>EXP(-LN(2)/2)*BR99+(1-EXP(-LN(2)/2))/(LN(2)/2)*BL100*BO100*VLOOKUP('Données projet'!$B$11,Paramètres!$A$1:$I$89,3,0)*0.475*44/12</f>
        <v>8.3581709450422247E-10</v>
      </c>
      <c r="BS100" s="22">
        <f t="shared" si="63"/>
        <v>4.0451185633569837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4.8</v>
      </c>
      <c r="BY100" s="12">
        <f>IF('Données projet'!$A$114&gt;35,BY99+BX100-CG99,IF(A100&lt;'Données projet'!$A$114,$BV$205^A100,IF(A100='Données projet'!$A$114,'Données projet'!$B$114,BY99+BX100-CG99)))</f>
        <v>267.59999999999985</v>
      </c>
      <c r="BZ100" s="13">
        <f>BY100*VLOOKUP('Données projet'!$B$12,Paramètres!$A$1:$I$89,3,0)*VLOOKUP('Données projet'!$B$12,Paramètres!$A$1:$I$89,5,0)</f>
        <v>179.50607999999991</v>
      </c>
      <c r="CA100" s="13">
        <f t="shared" si="93"/>
        <v>45.212280499336408</v>
      </c>
      <c r="CB100" s="20">
        <f t="shared" si="64"/>
        <v>391.38447786967737</v>
      </c>
      <c r="CC100" s="59">
        <f t="shared" si="65"/>
        <v>684.71781120301068</v>
      </c>
      <c r="CD100" s="59">
        <f ca="1">AVERAGE(OFFSET($CC$3,0,0,'Données projet'!$E$12+1,1))-AVERAGE(OFFSET($H$3,0,0,'Données projet'!$E$12+1,1))</f>
        <v>254.8851926268614</v>
      </c>
      <c r="CE100" s="59">
        <f t="shared" si="94"/>
        <v>182.11500693273973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0.808003276588664</v>
      </c>
      <c r="CL100" s="21">
        <f>EXP(-LN(2)/25)*CL99+(1-EXP(-LN(2)/25))/(LN(2)/25)*Calculateur!CG100*Calculateur!CI100*VLOOKUP('Données projet'!$B$12,Paramètres!$A$1:$I$89,3,0)*0.475*44/12</f>
        <v>0.59820874860081075</v>
      </c>
      <c r="CM100" s="21">
        <f>EXP(-LN(2)/2)*CM99+(1-EXP(-LN(2)/2))/(LN(2)/2)*CG100*CJ100*VLOOKUP('Données projet'!$B$12,Paramètres!$A$1:$I$89,3,0)*0.475*44/12</f>
        <v>3.7244240578004457E-10</v>
      </c>
      <c r="CN100" s="22">
        <f t="shared" si="66"/>
        <v>1.406212025561917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256.66666666666669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1.4210854715202004E-13</v>
      </c>
      <c r="O101" s="13">
        <f>N101*VLOOKUP('Données projet'!$B$9,Paramètres!$A$1:$I$89,3,0)*VLOOKUP('Données projet'!$B$9,Paramètres!$A$1:$I$89,5,0)</f>
        <v>1.4853185348329134E-13</v>
      </c>
      <c r="P101" s="13">
        <f t="shared" si="87"/>
        <v>2.1309431512949395E-12</v>
      </c>
      <c r="Q101" s="20">
        <f t="shared" si="107"/>
        <v>3.9700856333220852E-12</v>
      </c>
      <c r="R101" s="59">
        <f t="shared" si="55"/>
        <v>293.33333333333729</v>
      </c>
      <c r="S101" s="59">
        <f ca="1">AVERAGE(OFFSET($R$3,0,0,'Données projet'!$E$9+1,1))-AVERAGE(OFFSET($H$3,0,0,'Données projet'!$E$9+1,1))</f>
        <v>241.84492910369795</v>
      </c>
      <c r="T101" s="59">
        <f t="shared" si="88"/>
        <v>338.04336767245667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1.574878669465666</v>
      </c>
      <c r="AA101" s="21">
        <f>EXP(-LN(2)/25)*AA100+(1-EXP(-LN(2)/25))/(LN(2)/25)*Calculateur!V101*Calculateur!X101*VLOOKUP('Données projet'!$B$9,Paramètres!$A$1:$I$89,3,0)*0.475*44/12</f>
        <v>2.108981088296261</v>
      </c>
      <c r="AB101" s="21">
        <f>EXP(-LN(2)/2)*AB100+(1-EXP(-LN(2)/2))/(LN(2)/2)*V101*Y101*VLOOKUP('Données projet'!$B$9,Paramètres!$A$1:$I$89,3,0)*0.475*44/12</f>
        <v>5.0325524694337729E-10</v>
      </c>
      <c r="AC101" s="22">
        <f t="shared" si="57"/>
        <v>3.6838597582651822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>
        <f>AI101*VLOOKUP('Données projet'!$B$10,Paramètres!$A$1:$I$89,3,0)*VLOOKUP('Données projet'!$B$10,Paramètres!$A$1:$I$89,5,0)</f>
        <v>0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370.12772664814923</v>
      </c>
      <c r="AO101" s="59">
        <f t="shared" si="90"/>
        <v>292.26503163353146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1.9452460841105004</v>
      </c>
      <c r="AV101" s="21">
        <f>EXP(-LN(2)/25)*AV100+(1-EXP(-LN(2)/25))/(LN(2)/25)*Calculateur!AQ101*Calculateur!AS101*VLOOKUP('Données projet'!$B$10,Paramètres!$A$1:$I$89,3,0)*0.475*44/12</f>
        <v>1.0082717839627988</v>
      </c>
      <c r="AW101" s="21">
        <f>EXP(-LN(2)/2)*AW100+(1-EXP(-LN(2)/2))/(LN(2)/2)*AQ101*AT101*VLOOKUP('Données projet'!$B$10,Paramètres!$A$1:$I$89,3,0)*0.475*44/12</f>
        <v>4.611696061722458E-10</v>
      </c>
      <c r="AX101" s="21">
        <f t="shared" si="60"/>
        <v>2.953517868534469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5.6</v>
      </c>
      <c r="BD101" s="12">
        <f>IF('Données projet'!$A$88&gt;35,BD100+BC101-BL100,IF(A101&lt;'Données projet'!$A$88,$BA$205^A101,IF(A101='Données projet'!$A$88,'Données projet'!$B$88,BD100+BC101-BL100)))</f>
        <v>321.79999999999995</v>
      </c>
      <c r="BE101" s="13">
        <f>BD101*VLOOKUP('Données projet'!$B$11,Paramètres!$A$1:$I$89,3,0)*VLOOKUP('Données projet'!$B$11,Paramètres!$A$1:$I$89,5,0)</f>
        <v>346.38551999999993</v>
      </c>
      <c r="BF101" s="13">
        <f t="shared" si="91"/>
        <v>80.817803212543794</v>
      </c>
      <c r="BG101" s="20">
        <f t="shared" si="61"/>
        <v>744.04578792851362</v>
      </c>
      <c r="BH101" s="59">
        <f t="shared" si="62"/>
        <v>1037.3791212618469</v>
      </c>
      <c r="BI101" s="59">
        <f ca="1">AVERAGE(OFFSET($BH$3,0,0,'Données projet'!$E$11+1,1))-AVERAGE(OFFSET($H$3,0,0,'Données projet'!$E$11+1,1))</f>
        <v>475.01366239340246</v>
      </c>
      <c r="BJ101" s="59">
        <f t="shared" si="92"/>
        <v>322.81767004794284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2.2614540928005442</v>
      </c>
      <c r="BQ101" s="21">
        <f>EXP(-LN(2)/25)*BQ100+(1-EXP(-LN(2)/25))/(LN(2)/25)*Calculateur!BL101*Calculateur!BN101*VLOOKUP('Données projet'!$B$11,Paramètres!$A$1:$I$89,3,0)*0.475*44/12</f>
        <v>1.6908942406568852</v>
      </c>
      <c r="BR101" s="21">
        <f>EXP(-LN(2)/2)*BR100+(1-EXP(-LN(2)/2))/(LN(2)/2)*BL101*BO101*VLOOKUP('Données projet'!$B$11,Paramètres!$A$1:$I$89,3,0)*0.475*44/12</f>
        <v>5.9101193535557315E-10</v>
      </c>
      <c r="BS101" s="22">
        <f t="shared" si="63"/>
        <v>3.9523483340484415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4.8</v>
      </c>
      <c r="BY101" s="12">
        <f>IF('Données projet'!$A$114&gt;35,BY100+BX101-CG100,IF(A101&lt;'Données projet'!$A$114,$BV$205^A101,IF(A101='Données projet'!$A$114,'Données projet'!$B$114,BY100+BX101-CG100)))</f>
        <v>272.39999999999986</v>
      </c>
      <c r="BZ101" s="13">
        <f>BY101*VLOOKUP('Données projet'!$B$12,Paramètres!$A$1:$I$89,3,0)*VLOOKUP('Données projet'!$B$12,Paramètres!$A$1:$I$89,5,0)</f>
        <v>182.72591999999992</v>
      </c>
      <c r="CA101" s="13">
        <f t="shared" si="93"/>
        <v>45.928121604587126</v>
      </c>
      <c r="CB101" s="20">
        <f t="shared" si="64"/>
        <v>398.23912246132232</v>
      </c>
      <c r="CC101" s="59">
        <f t="shared" si="65"/>
        <v>691.57245579465564</v>
      </c>
      <c r="CD101" s="59">
        <f ca="1">AVERAGE(OFFSET($CC$3,0,0,'Données projet'!$E$12+1,1))-AVERAGE(OFFSET($H$3,0,0,'Données projet'!$E$12+1,1))</f>
        <v>254.8851926268614</v>
      </c>
      <c r="CE101" s="59">
        <f t="shared" si="94"/>
        <v>182.11500693273973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0.79215882516809577</v>
      </c>
      <c r="CL101" s="21">
        <f>EXP(-LN(2)/25)*CL100+(1-EXP(-LN(2)/25))/(LN(2)/25)*Calculateur!CG101*Calculateur!CI101*VLOOKUP('Données projet'!$B$12,Paramètres!$A$1:$I$89,3,0)*0.475*44/12</f>
        <v>0.58185069891189067</v>
      </c>
      <c r="CM101" s="21">
        <f>EXP(-LN(2)/2)*CM100+(1-EXP(-LN(2)/2))/(LN(2)/2)*CG101*CJ101*VLOOKUP('Données projet'!$B$12,Paramètres!$A$1:$I$89,3,0)*0.475*44/12</f>
        <v>2.6335655072850132E-10</v>
      </c>
      <c r="CN101" s="22">
        <f t="shared" si="66"/>
        <v>1.374009524343343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256.66666666666669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1.4210854715202004E-13</v>
      </c>
      <c r="O102" s="13">
        <f>N102*VLOOKUP('Données projet'!$B$9,Paramètres!$A$1:$I$89,3,0)*VLOOKUP('Données projet'!$B$9,Paramètres!$A$1:$I$89,5,0)</f>
        <v>1.4853185348329134E-13</v>
      </c>
      <c r="P102" s="13">
        <f t="shared" si="87"/>
        <v>2.1309431512949395E-12</v>
      </c>
      <c r="Q102" s="20">
        <f t="shared" si="107"/>
        <v>3.9700856333220852E-12</v>
      </c>
      <c r="R102" s="59">
        <f t="shared" si="55"/>
        <v>293.33333333333729</v>
      </c>
      <c r="S102" s="59">
        <f ca="1">AVERAGE(OFFSET($R$3,0,0,'Données projet'!$E$9+1,1))-AVERAGE(OFFSET($H$3,0,0,'Données projet'!$E$9+1,1))</f>
        <v>241.84492910369795</v>
      </c>
      <c r="T102" s="59">
        <f t="shared" si="88"/>
        <v>338.04336767245667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1.5439962593385832</v>
      </c>
      <c r="AA102" s="21">
        <f>EXP(-LN(2)/25)*AA101+(1-EXP(-LN(2)/25))/(LN(2)/25)*Calculateur!V102*Calculateur!X102*VLOOKUP('Données projet'!$B$9,Paramètres!$A$1:$I$89,3,0)*0.475*44/12</f>
        <v>2.0513108895303045</v>
      </c>
      <c r="AB102" s="21">
        <f>EXP(-LN(2)/2)*AB101+(1-EXP(-LN(2)/2))/(LN(2)/2)*V102*Y102*VLOOKUP('Données projet'!$B$9,Paramètres!$A$1:$I$89,3,0)*0.475*44/12</f>
        <v>3.5585519778137263E-10</v>
      </c>
      <c r="AC102" s="22">
        <f t="shared" si="57"/>
        <v>3.5953071492247433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>
        <f>AI102*VLOOKUP('Données projet'!$B$10,Paramètres!$A$1:$I$89,3,0)*VLOOKUP('Données projet'!$B$10,Paramètres!$A$1:$I$89,5,0)</f>
        <v>0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370.12772664814923</v>
      </c>
      <c r="AO102" s="59">
        <f t="shared" si="90"/>
        <v>292.26503163353146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1.9071009948840494</v>
      </c>
      <c r="AV102" s="21">
        <f>EXP(-LN(2)/25)*AV101+(1-EXP(-LN(2)/25))/(LN(2)/25)*Calculateur!AQ102*Calculateur!AS102*VLOOKUP('Données projet'!$B$10,Paramètres!$A$1:$I$89,3,0)*0.475*44/12</f>
        <v>0.98070053900762744</v>
      </c>
      <c r="AW102" s="21">
        <f>EXP(-LN(2)/2)*AW101+(1-EXP(-LN(2)/2))/(LN(2)/2)*AQ102*AT102*VLOOKUP('Données projet'!$B$10,Paramètres!$A$1:$I$89,3,0)*0.475*44/12</f>
        <v>3.2609615580152455E-10</v>
      </c>
      <c r="AX102" s="21">
        <f t="shared" si="60"/>
        <v>2.8878015342177727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5.6</v>
      </c>
      <c r="BD102" s="12">
        <f>IF('Données projet'!$A$88&gt;35,BD101+BC102-BL101,IF(A102&lt;'Données projet'!$A$88,$BA$205^A102,IF(A102='Données projet'!$A$88,'Données projet'!$B$88,BD101+BC102-BL101)))</f>
        <v>327.39999999999998</v>
      </c>
      <c r="BE102" s="13">
        <f>BD102*VLOOKUP('Données projet'!$B$11,Paramètres!$A$1:$I$89,3,0)*VLOOKUP('Données projet'!$B$11,Paramètres!$A$1:$I$89,5,0)</f>
        <v>352.41335999999995</v>
      </c>
      <c r="BF102" s="13">
        <f t="shared" si="91"/>
        <v>82.059248211902457</v>
      </c>
      <c r="BG102" s="20">
        <f t="shared" si="61"/>
        <v>756.70645930239664</v>
      </c>
      <c r="BH102" s="59">
        <f t="shared" si="62"/>
        <v>1050.03979263573</v>
      </c>
      <c r="BI102" s="59">
        <f ca="1">AVERAGE(OFFSET($BH$3,0,0,'Données projet'!$E$11+1,1))-AVERAGE(OFFSET($H$3,0,0,'Données projet'!$E$11+1,1))</f>
        <v>475.01366239340246</v>
      </c>
      <c r="BJ102" s="59">
        <f t="shared" si="92"/>
        <v>322.81767004794284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2.2171083573915227</v>
      </c>
      <c r="BQ102" s="21">
        <f>EXP(-LN(2)/25)*BQ101+(1-EXP(-LN(2)/25))/(LN(2)/25)*Calculateur!BL102*Calculateur!BN102*VLOOKUP('Données projet'!$B$11,Paramètres!$A$1:$I$89,3,0)*0.475*44/12</f>
        <v>1.6446566487258591</v>
      </c>
      <c r="BR102" s="21">
        <f>EXP(-LN(2)/2)*BR101+(1-EXP(-LN(2)/2))/(LN(2)/2)*BL102*BO102*VLOOKUP('Données projet'!$B$11,Paramètres!$A$1:$I$89,3,0)*0.475*44/12</f>
        <v>4.1790854725211124E-10</v>
      </c>
      <c r="BS102" s="22">
        <f t="shared" si="63"/>
        <v>3.8617650065352902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4.8</v>
      </c>
      <c r="BY102" s="12">
        <f>IF('Données projet'!$A$114&gt;35,BY101+BX102-CG101,IF(A102&lt;'Données projet'!$A$114,$BV$205^A102,IF(A102='Données projet'!$A$114,'Données projet'!$B$114,BY101+BX102-CG101)))</f>
        <v>277.19999999999987</v>
      </c>
      <c r="BZ102" s="13">
        <f>BY102*VLOOKUP('Données projet'!$B$12,Paramètres!$A$1:$I$89,3,0)*VLOOKUP('Données projet'!$B$12,Paramètres!$A$1:$I$89,5,0)</f>
        <v>185.94575999999992</v>
      </c>
      <c r="CA102" s="13">
        <f t="shared" si="93"/>
        <v>46.642495871697967</v>
      </c>
      <c r="CB102" s="20">
        <f t="shared" si="64"/>
        <v>405.09121230987375</v>
      </c>
      <c r="CC102" s="59">
        <f t="shared" si="65"/>
        <v>698.42454564320701</v>
      </c>
      <c r="CD102" s="59">
        <f ca="1">AVERAGE(OFFSET($CC$3,0,0,'Données projet'!$E$12+1,1))-AVERAGE(OFFSET($H$3,0,0,'Données projet'!$E$12+1,1))</f>
        <v>254.8851926268614</v>
      </c>
      <c r="CE102" s="59">
        <f t="shared" si="94"/>
        <v>182.11500693273973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0.77662507377572376</v>
      </c>
      <c r="CL102" s="21">
        <f>EXP(-LN(2)/25)*CL101+(1-EXP(-LN(2)/25))/(LN(2)/25)*Calculateur!CG102*Calculateur!CI102*VLOOKUP('Données projet'!$B$12,Paramètres!$A$1:$I$89,3,0)*0.475*44/12</f>
        <v>0.56593996095194665</v>
      </c>
      <c r="CM102" s="21">
        <f>EXP(-LN(2)/2)*CM101+(1-EXP(-LN(2)/2))/(LN(2)/2)*CG102*CJ102*VLOOKUP('Données projet'!$B$12,Paramètres!$A$1:$I$89,3,0)*0.475*44/12</f>
        <v>1.8622120289002229E-10</v>
      </c>
      <c r="CN102" s="22">
        <f t="shared" si="66"/>
        <v>1.3425650349138918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256.66666666666669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1.4210854715202004E-13</v>
      </c>
      <c r="O103" s="13">
        <f>N103*VLOOKUP('Données projet'!$B$9,Paramètres!$A$1:$I$89,3,0)*VLOOKUP('Données projet'!$B$9,Paramètres!$A$1:$I$89,5,0)</f>
        <v>1.4853185348329134E-13</v>
      </c>
      <c r="P103" s="13">
        <f t="shared" si="87"/>
        <v>2.1309431512949395E-12</v>
      </c>
      <c r="Q103" s="20">
        <f t="shared" si="107"/>
        <v>3.9700856333220852E-12</v>
      </c>
      <c r="R103" s="59">
        <f t="shared" si="55"/>
        <v>293.33333333333729</v>
      </c>
      <c r="S103" s="59">
        <f ca="1">AVERAGE(OFFSET($R$3,0,0,'Données projet'!$E$9+1,1))-AVERAGE(OFFSET($H$3,0,0,'Données projet'!$E$9+1,1))</f>
        <v>241.84492910369795</v>
      </c>
      <c r="T103" s="59">
        <f t="shared" si="88"/>
        <v>338.04336767245667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1.5137194344376823</v>
      </c>
      <c r="AA103" s="21">
        <f>EXP(-LN(2)/25)*AA102+(1-EXP(-LN(2)/25))/(LN(2)/25)*Calculateur!V103*Calculateur!X103*VLOOKUP('Données projet'!$B$9,Paramètres!$A$1:$I$89,3,0)*0.475*44/12</f>
        <v>1.9952176853823469</v>
      </c>
      <c r="AB103" s="21">
        <f>EXP(-LN(2)/2)*AB102+(1-EXP(-LN(2)/2))/(LN(2)/2)*V103*Y103*VLOOKUP('Données projet'!$B$9,Paramètres!$A$1:$I$89,3,0)*0.475*44/12</f>
        <v>2.5162762347168865E-10</v>
      </c>
      <c r="AC103" s="22">
        <f t="shared" si="57"/>
        <v>3.5089371200716566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>
        <f>AI103*VLOOKUP('Données projet'!$B$10,Paramètres!$A$1:$I$89,3,0)*VLOOKUP('Données projet'!$B$10,Paramètres!$A$1:$I$89,5,0)</f>
        <v>0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370.12772664814923</v>
      </c>
      <c r="AO103" s="59">
        <f t="shared" si="90"/>
        <v>292.26503163353146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1.8697039075911219</v>
      </c>
      <c r="AV103" s="21">
        <f>EXP(-LN(2)/25)*AV102+(1-EXP(-LN(2)/25))/(LN(2)/25)*Calculateur!AQ103*Calculateur!AS103*VLOOKUP('Données projet'!$B$10,Paramètres!$A$1:$I$89,3,0)*0.475*44/12</f>
        <v>0.95388323119566398</v>
      </c>
      <c r="AW103" s="21">
        <f>EXP(-LN(2)/2)*AW102+(1-EXP(-LN(2)/2))/(LN(2)/2)*AQ103*AT103*VLOOKUP('Données projet'!$B$10,Paramètres!$A$1:$I$89,3,0)*0.475*44/12</f>
        <v>2.3058480308612295E-10</v>
      </c>
      <c r="AX103" s="21">
        <f t="shared" si="60"/>
        <v>2.8235871390173708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>
        <f>VLOOKUP(A103,'Données projet'!$A$87:$I$107,2,0)</f>
        <v>333</v>
      </c>
      <c r="BB103" s="12">
        <f>VLOOKUP(A103,'Données projet'!$A$87:$I$107,9,0)</f>
        <v>5.6</v>
      </c>
      <c r="BC103" s="12">
        <f t="array" ref="BC103">INDEX(BB:BB,MIN(IF(ISNUMBER(BB103:BB299),ROW(BB103:BB299),"")))</f>
        <v>5.6</v>
      </c>
      <c r="BD103" s="12">
        <f>IF('Données projet'!$A$88&gt;35,BD102+BC103-BL102,IF(A103&lt;'Données projet'!$A$88,$BA$205^A103,IF(A103='Données projet'!$A$88,'Données projet'!$B$88,BD102+BC103-BL102)))</f>
        <v>333</v>
      </c>
      <c r="BE103" s="13">
        <f>BD103*VLOOKUP('Données projet'!$B$11,Paramètres!$A$1:$I$89,3,0)*VLOOKUP('Données projet'!$B$11,Paramètres!$A$1:$I$89,5,0)</f>
        <v>358.44119999999998</v>
      </c>
      <c r="BF103" s="13">
        <f t="shared" si="91"/>
        <v>83.298223876643164</v>
      </c>
      <c r="BG103" s="20">
        <f t="shared" si="61"/>
        <v>769.36282991848668</v>
      </c>
      <c r="BH103" s="59">
        <f t="shared" si="62"/>
        <v>1062.6961632518201</v>
      </c>
      <c r="BI103" s="59">
        <f ca="1">AVERAGE(OFFSET($BH$3,0,0,'Données projet'!$E$11+1,1))-AVERAGE(OFFSET($H$3,0,0,'Données projet'!$E$11+1,1))</f>
        <v>475.01366239340246</v>
      </c>
      <c r="BJ103" s="59">
        <f t="shared" si="92"/>
        <v>322.81767004794284</v>
      </c>
      <c r="BK103" s="15">
        <f>IF(ISNA(VLOOKUP(A103,'Données projet'!$A$87:$I$107,3,0)),0,VLOOKUP(A103,'Données projet'!$A$87:$I$107,3,0))</f>
        <v>17</v>
      </c>
      <c r="BL103" s="15">
        <f>IF(ISNA(VLOOKUP(A103,'Données projet'!$A$87:$I$107,4,0)),0,VLOOKUP(A103,'Données projet'!$A$87:$I$107,4,0))</f>
        <v>333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2.1736322148056439</v>
      </c>
      <c r="BQ103" s="21">
        <f>EXP(-LN(2)/25)*BQ102+(1-EXP(-LN(2)/25))/(LN(2)/25)*Calculateur!BL103*Calculateur!BN103*VLOOKUP('Données projet'!$B$11,Paramètres!$A$1:$I$89,3,0)*0.475*44/12</f>
        <v>1.5996834261777162</v>
      </c>
      <c r="BR103" s="21">
        <f>EXP(-LN(2)/2)*BR102+(1-EXP(-LN(2)/2))/(LN(2)/2)*BL103*BO103*VLOOKUP('Données projet'!$B$11,Paramètres!$A$1:$I$89,3,0)*0.475*44/12</f>
        <v>2.9550596767778657E-10</v>
      </c>
      <c r="BS103" s="22">
        <f t="shared" si="63"/>
        <v>3.7733156412788658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>
        <f>VLOOKUP(A103,'Données projet'!$A$113:$I$133,2,0)</f>
        <v>282</v>
      </c>
      <c r="BW103" s="12">
        <f>VLOOKUP(A103,'Données projet'!$A$113:$I$133,9,0)</f>
        <v>4.8</v>
      </c>
      <c r="BX103" s="12">
        <f t="array" ref="BX103">INDEX(BW:BW,MIN(IF(ISNUMBER(BW103:BW299),ROW(BW103:BW299),"")))</f>
        <v>4.8</v>
      </c>
      <c r="BY103" s="12">
        <f>IF('Données projet'!$A$114&gt;35,BY102+BX103-CG102,IF(A103&lt;'Données projet'!$A$114,$BV$205^A103,IF(A103='Données projet'!$A$114,'Données projet'!$B$114,BY102+BX103-CG102)))</f>
        <v>281.99999999999989</v>
      </c>
      <c r="BZ103" s="13">
        <f>BY103*VLOOKUP('Données projet'!$B$12,Paramètres!$A$1:$I$89,3,0)*VLOOKUP('Données projet'!$B$12,Paramètres!$A$1:$I$89,5,0)</f>
        <v>189.16559999999993</v>
      </c>
      <c r="CA103" s="13">
        <f t="shared" si="93"/>
        <v>47.355431631295275</v>
      </c>
      <c r="CB103" s="20">
        <f t="shared" si="64"/>
        <v>411.94079675783911</v>
      </c>
      <c r="CC103" s="59">
        <f t="shared" si="65"/>
        <v>705.27413009117242</v>
      </c>
      <c r="CD103" s="59">
        <f ca="1">AVERAGE(OFFSET($CC$3,0,0,'Données projet'!$E$12+1,1))-AVERAGE(OFFSET($H$3,0,0,'Données projet'!$E$12+1,1))</f>
        <v>254.8851926268614</v>
      </c>
      <c r="CE103" s="59">
        <f t="shared" si="94"/>
        <v>182.11500693273973</v>
      </c>
      <c r="CF103" s="15">
        <f>IF(ISNA(VLOOKUP(A103,'Données projet'!$A$113:$I$133,3,0)),0,VLOOKUP(A103,'Données projet'!$A$113:$I$133,3,0))</f>
        <v>16</v>
      </c>
      <c r="CG103" s="15">
        <f>IF(ISNA(VLOOKUP(A103,'Données projet'!$A$113:$I$133,4,0)),0,VLOOKUP(A103,'Données projet'!$A$113:$I$133,4,0))</f>
        <v>282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0.76139592977350334</v>
      </c>
      <c r="CL103" s="21">
        <f>EXP(-LN(2)/25)*CL102+(1-EXP(-LN(2)/25))/(LN(2)/25)*Calculateur!CG103*Calculateur!CI103*VLOOKUP('Données projet'!$B$12,Paramètres!$A$1:$I$89,3,0)*0.475*44/12</f>
        <v>0.55046430295822657</v>
      </c>
      <c r="CM103" s="21">
        <f>EXP(-LN(2)/2)*CM102+(1-EXP(-LN(2)/2))/(LN(2)/2)*CG103*CJ103*VLOOKUP('Données projet'!$B$12,Paramètres!$A$1:$I$89,3,0)*0.475*44/12</f>
        <v>1.3167827536425066E-10</v>
      </c>
      <c r="CN103" s="22">
        <f t="shared" si="66"/>
        <v>1.3118602328634081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256.66666666666669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1.4210854715202004E-13</v>
      </c>
      <c r="O104" s="13">
        <f>N104*VLOOKUP('Données projet'!$B$9,Paramètres!$A$1:$I$89,3,0)*VLOOKUP('Données projet'!$B$9,Paramètres!$A$1:$I$89,5,0)</f>
        <v>1.4853185348329134E-13</v>
      </c>
      <c r="P104" s="13">
        <f t="shared" si="87"/>
        <v>2.1309431512949395E-12</v>
      </c>
      <c r="Q104" s="20">
        <f t="shared" si="107"/>
        <v>3.9700856333220852E-12</v>
      </c>
      <c r="R104" s="59">
        <f t="shared" si="55"/>
        <v>293.33333333333729</v>
      </c>
      <c r="S104" s="59">
        <f ca="1">AVERAGE(OFFSET($R$3,0,0,'Données projet'!$E$9+1,1))-AVERAGE(OFFSET($H$3,0,0,'Données projet'!$E$9+1,1))</f>
        <v>241.84492910369795</v>
      </c>
      <c r="T104" s="59">
        <f t="shared" si="88"/>
        <v>338.04336767245667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1.4840363196060482</v>
      </c>
      <c r="AA104" s="21">
        <f>EXP(-LN(2)/25)*AA103+(1-EXP(-LN(2)/25))/(LN(2)/25)*Calculateur!V104*Calculateur!X104*VLOOKUP('Données projet'!$B$9,Paramètres!$A$1:$I$89,3,0)*0.475*44/12</f>
        <v>1.9406583528516286</v>
      </c>
      <c r="AB104" s="21">
        <f>EXP(-LN(2)/2)*AB103+(1-EXP(-LN(2)/2))/(LN(2)/2)*V104*Y104*VLOOKUP('Données projet'!$B$9,Paramètres!$A$1:$I$89,3,0)*0.475*44/12</f>
        <v>1.7792759889068631E-10</v>
      </c>
      <c r="AC104" s="22">
        <f t="shared" si="57"/>
        <v>3.4246946726356042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>
        <f>AI104*VLOOKUP('Données projet'!$B$10,Paramètres!$A$1:$I$89,3,0)*VLOOKUP('Données projet'!$B$10,Paramètres!$A$1:$I$89,5,0)</f>
        <v>0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370.12772664814923</v>
      </c>
      <c r="AO104" s="59">
        <f t="shared" si="90"/>
        <v>292.26503163353146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1.8330401543700379</v>
      </c>
      <c r="AV104" s="21">
        <f>EXP(-LN(2)/25)*AV103+(1-EXP(-LN(2)/25))/(LN(2)/25)*Calculateur!AQ104*Calculateur!AS104*VLOOKUP('Données projet'!$B$10,Paramètres!$A$1:$I$89,3,0)*0.475*44/12</f>
        <v>0.9277992440760795</v>
      </c>
      <c r="AW104" s="21">
        <f>EXP(-LN(2)/2)*AW103+(1-EXP(-LN(2)/2))/(LN(2)/2)*AQ104*AT104*VLOOKUP('Données projet'!$B$10,Paramètres!$A$1:$I$89,3,0)*0.475*44/12</f>
        <v>1.630480779007623E-10</v>
      </c>
      <c r="AX104" s="21">
        <f t="shared" si="60"/>
        <v>2.7608393986091655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>
        <f>BD104*VLOOKUP('Données projet'!$B$11,Paramètres!$A$1:$I$89,3,0)*VLOOKUP('Données projet'!$B$11,Paramètres!$A$1:$I$89,5,0)</f>
        <v>0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475.01366239340246</v>
      </c>
      <c r="BJ104" s="59">
        <f t="shared" si="92"/>
        <v>322.81767004794284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2.1310086128580461</v>
      </c>
      <c r="BQ104" s="21">
        <f>EXP(-LN(2)/25)*BQ103+(1-EXP(-LN(2)/25))/(LN(2)/25)*Calculateur!BL104*Calculateur!BN104*VLOOKUP('Données projet'!$B$11,Paramètres!$A$1:$I$89,3,0)*0.475*44/12</f>
        <v>1.5559399987651912</v>
      </c>
      <c r="BR104" s="21">
        <f>EXP(-LN(2)/2)*BR103+(1-EXP(-LN(2)/2))/(LN(2)/2)*BL104*BO104*VLOOKUP('Données projet'!$B$11,Paramètres!$A$1:$I$89,3,0)*0.475*44/12</f>
        <v>2.0895427362605562E-10</v>
      </c>
      <c r="BS104" s="22">
        <f t="shared" si="63"/>
        <v>3.6869486118321917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-1.1368683772161603E-13</v>
      </c>
      <c r="BZ104" s="13">
        <f>BY104*VLOOKUP('Données projet'!$B$12,Paramètres!$A$1:$I$89,3,0)*VLOOKUP('Données projet'!$B$12,Paramètres!$A$1:$I$89,5,0)</f>
        <v>-7.626113074366004E-14</v>
      </c>
      <c r="CA104" s="13" t="e">
        <f t="shared" si="93"/>
        <v>#NUM!</v>
      </c>
      <c r="CB104" s="20" t="e">
        <f t="shared" si="64"/>
        <v>#NUM!</v>
      </c>
      <c r="CC104" s="59" t="e">
        <f t="shared" si="65"/>
        <v>#NUM!</v>
      </c>
      <c r="CD104" s="59">
        <f ca="1">AVERAGE(OFFSET($CC$3,0,0,'Données projet'!$E$12+1,1))-AVERAGE(OFFSET($H$3,0,0,'Données projet'!$E$12+1,1))</f>
        <v>254.8851926268614</v>
      </c>
      <c r="CE104" s="59">
        <f t="shared" si="94"/>
        <v>182.11500693273973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0.74646541999630589</v>
      </c>
      <c r="CL104" s="21">
        <f>EXP(-LN(2)/25)*CL103+(1-EXP(-LN(2)/25))/(LN(2)/25)*Calculateur!CG104*Calculateur!CI104*VLOOKUP('Données projet'!$B$12,Paramètres!$A$1:$I$89,3,0)*0.475*44/12</f>
        <v>0.53541182764617423</v>
      </c>
      <c r="CM104" s="21">
        <f>EXP(-LN(2)/2)*CM103+(1-EXP(-LN(2)/2))/(LN(2)/2)*CG104*CJ104*VLOOKUP('Données projet'!$B$12,Paramètres!$A$1:$I$89,3,0)*0.475*44/12</f>
        <v>9.3110601445011143E-11</v>
      </c>
      <c r="CN104" s="22">
        <f t="shared" si="66"/>
        <v>1.2818772477355906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256.66666666666669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1.4210854715202004E-13</v>
      </c>
      <c r="O105" s="13">
        <f>N105*VLOOKUP('Données projet'!$B$9,Paramètres!$A$1:$I$89,3,0)*VLOOKUP('Données projet'!$B$9,Paramètres!$A$1:$I$89,5,0)</f>
        <v>1.4853185348329134E-13</v>
      </c>
      <c r="P105" s="13">
        <f t="shared" si="87"/>
        <v>2.1309431512949395E-12</v>
      </c>
      <c r="Q105" s="20">
        <f t="shared" si="107"/>
        <v>3.9700856333220852E-12</v>
      </c>
      <c r="R105" s="59">
        <f t="shared" si="55"/>
        <v>293.33333333333729</v>
      </c>
      <c r="S105" s="59">
        <f ca="1">AVERAGE(OFFSET($R$3,0,0,'Données projet'!$E$9+1,1))-AVERAGE(OFFSET($H$3,0,0,'Données projet'!$E$9+1,1))</f>
        <v>241.84492910369795</v>
      </c>
      <c r="T105" s="59">
        <f t="shared" si="88"/>
        <v>338.04336767245667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1.4549352725513502</v>
      </c>
      <c r="AA105" s="21">
        <f>EXP(-LN(2)/25)*AA104+(1-EXP(-LN(2)/25))/(LN(2)/25)*Calculateur!V105*Calculateur!X105*VLOOKUP('Données projet'!$B$9,Paramètres!$A$1:$I$89,3,0)*0.475*44/12</f>
        <v>1.8875909481381135</v>
      </c>
      <c r="AB105" s="21">
        <f>EXP(-LN(2)/2)*AB104+(1-EXP(-LN(2)/2))/(LN(2)/2)*V105*Y105*VLOOKUP('Données projet'!$B$9,Paramètres!$A$1:$I$89,3,0)*0.475*44/12</f>
        <v>1.2581381173584432E-10</v>
      </c>
      <c r="AC105" s="22">
        <f t="shared" si="57"/>
        <v>3.3425262208152775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>
        <f>AI105*VLOOKUP('Données projet'!$B$10,Paramètres!$A$1:$I$89,3,0)*VLOOKUP('Données projet'!$B$10,Paramètres!$A$1:$I$89,5,0)</f>
        <v>0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370.12772664814923</v>
      </c>
      <c r="AO105" s="59">
        <f t="shared" si="90"/>
        <v>292.26503163353146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1.797095354986938</v>
      </c>
      <c r="AV105" s="21">
        <f>EXP(-LN(2)/25)*AV104+(1-EXP(-LN(2)/25))/(LN(2)/25)*Calculateur!AQ105*Calculateur!AS105*VLOOKUP('Données projet'!$B$10,Paramètres!$A$1:$I$89,3,0)*0.475*44/12</f>
        <v>0.90242852495597736</v>
      </c>
      <c r="AW105" s="21">
        <f>EXP(-LN(2)/2)*AW104+(1-EXP(-LN(2)/2))/(LN(2)/2)*AQ105*AT105*VLOOKUP('Données projet'!$B$10,Paramètres!$A$1:$I$89,3,0)*0.475*44/12</f>
        <v>1.1529240154306149E-10</v>
      </c>
      <c r="AX105" s="21">
        <f t="shared" si="60"/>
        <v>2.6995238800582073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>
        <f>BD105*VLOOKUP('Données projet'!$B$11,Paramètres!$A$1:$I$89,3,0)*VLOOKUP('Données projet'!$B$11,Paramètres!$A$1:$I$89,5,0)</f>
        <v>0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475.01366239340246</v>
      </c>
      <c r="BJ105" s="59">
        <f t="shared" si="92"/>
        <v>322.81767004794284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2.0892208337468103</v>
      </c>
      <c r="BQ105" s="21">
        <f>EXP(-LN(2)/25)*BQ104+(1-EXP(-LN(2)/25))/(LN(2)/25)*Calculateur!BL105*Calculateur!BN105*VLOOKUP('Données projet'!$B$11,Paramètres!$A$1:$I$89,3,0)*0.475*44/12</f>
        <v>1.5133927376756287</v>
      </c>
      <c r="BR105" s="21">
        <f>EXP(-LN(2)/2)*BR104+(1-EXP(-LN(2)/2))/(LN(2)/2)*BL105*BO105*VLOOKUP('Données projet'!$B$11,Paramètres!$A$1:$I$89,3,0)*0.475*44/12</f>
        <v>1.4775298383889329E-10</v>
      </c>
      <c r="BS105" s="22">
        <f t="shared" si="63"/>
        <v>3.6026135715701919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-1.1368683772161603E-13</v>
      </c>
      <c r="BZ105" s="13">
        <f>BY105*VLOOKUP('Données projet'!$B$12,Paramètres!$A$1:$I$89,3,0)*VLOOKUP('Données projet'!$B$12,Paramètres!$A$1:$I$89,5,0)</f>
        <v>-7.626113074366004E-14</v>
      </c>
      <c r="CA105" s="13" t="e">
        <f t="shared" si="93"/>
        <v>#NUM!</v>
      </c>
      <c r="CB105" s="20" t="e">
        <f t="shared" si="64"/>
        <v>#NUM!</v>
      </c>
      <c r="CC105" s="59" t="e">
        <f t="shared" si="65"/>
        <v>#NUM!</v>
      </c>
      <c r="CD105" s="59">
        <f ca="1">AVERAGE(OFFSET($CC$3,0,0,'Données projet'!$E$12+1,1))-AVERAGE(OFFSET($H$3,0,0,'Données projet'!$E$12+1,1))</f>
        <v>254.8851926268614</v>
      </c>
      <c r="CE105" s="59">
        <f t="shared" si="94"/>
        <v>182.11500693273973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0.73182768840912749</v>
      </c>
      <c r="CL105" s="21">
        <f>EXP(-LN(2)/25)*CL104+(1-EXP(-LN(2)/25))/(LN(2)/25)*Calculateur!CG105*Calculateur!CI105*VLOOKUP('Données projet'!$B$12,Paramètres!$A$1:$I$89,3,0)*0.475*44/12</f>
        <v>0.52077096306310533</v>
      </c>
      <c r="CM105" s="21">
        <f>EXP(-LN(2)/2)*CM104+(1-EXP(-LN(2)/2))/(LN(2)/2)*CG105*CJ105*VLOOKUP('Données projet'!$B$12,Paramètres!$A$1:$I$89,3,0)*0.475*44/12</f>
        <v>6.583913768212533E-11</v>
      </c>
      <c r="CN105" s="22">
        <f t="shared" si="66"/>
        <v>1.252598651538072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256.66666666666669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1.4210854715202004E-13</v>
      </c>
      <c r="O106" s="13">
        <f>N106*VLOOKUP('Données projet'!$B$9,Paramètres!$A$1:$I$89,3,0)*VLOOKUP('Données projet'!$B$9,Paramètres!$A$1:$I$89,5,0)</f>
        <v>1.4853185348329134E-13</v>
      </c>
      <c r="P106" s="13">
        <f t="shared" si="87"/>
        <v>2.1309431512949395E-12</v>
      </c>
      <c r="Q106" s="20">
        <f t="shared" si="107"/>
        <v>3.9700856333220852E-12</v>
      </c>
      <c r="R106" s="59">
        <f t="shared" si="55"/>
        <v>293.33333333333729</v>
      </c>
      <c r="S106" s="59">
        <f ca="1">AVERAGE(OFFSET($R$3,0,0,'Données projet'!$E$9+1,1))-AVERAGE(OFFSET($H$3,0,0,'Données projet'!$E$9+1,1))</f>
        <v>241.84492910369795</v>
      </c>
      <c r="T106" s="59">
        <f t="shared" si="88"/>
        <v>338.04336767245667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1.4264048792795088</v>
      </c>
      <c r="AA106" s="21">
        <f>EXP(-LN(2)/25)*AA105+(1-EXP(-LN(2)/25))/(LN(2)/25)*Calculateur!V106*Calculateur!X106*VLOOKUP('Données projet'!$B$9,Paramètres!$A$1:$I$89,3,0)*0.475*44/12</f>
        <v>1.835974674397183</v>
      </c>
      <c r="AB106" s="21">
        <f>EXP(-LN(2)/2)*AB105+(1-EXP(-LN(2)/2))/(LN(2)/2)*V106*Y106*VLOOKUP('Données projet'!$B$9,Paramètres!$A$1:$I$89,3,0)*0.475*44/12</f>
        <v>8.8963799445343157E-11</v>
      </c>
      <c r="AC106" s="22">
        <f t="shared" si="57"/>
        <v>3.2623795537656557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>
        <f>AI106*VLOOKUP('Données projet'!$B$10,Paramètres!$A$1:$I$89,3,0)*VLOOKUP('Données projet'!$B$10,Paramètres!$A$1:$I$89,5,0)</f>
        <v>0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370.12772664814923</v>
      </c>
      <c r="AO106" s="59">
        <f t="shared" si="90"/>
        <v>292.26503163353146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1.7618554111955778</v>
      </c>
      <c r="AV106" s="21">
        <f>EXP(-LN(2)/25)*AV105+(1-EXP(-LN(2)/25))/(LN(2)/25)*Calculateur!AQ106*Calculateur!AS106*VLOOKUP('Données projet'!$B$10,Paramètres!$A$1:$I$89,3,0)*0.475*44/12</f>
        <v>0.87775156948440258</v>
      </c>
      <c r="AW106" s="21">
        <f>EXP(-LN(2)/2)*AW105+(1-EXP(-LN(2)/2))/(LN(2)/2)*AQ106*AT106*VLOOKUP('Données projet'!$B$10,Paramètres!$A$1:$I$89,3,0)*0.475*44/12</f>
        <v>8.1524038950381162E-11</v>
      </c>
      <c r="AX106" s="21">
        <f t="shared" si="60"/>
        <v>2.6396069807615046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>
        <f>BD106*VLOOKUP('Données projet'!$B$11,Paramètres!$A$1:$I$89,3,0)*VLOOKUP('Données projet'!$B$11,Paramètres!$A$1:$I$89,5,0)</f>
        <v>0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475.01366239340246</v>
      </c>
      <c r="BJ106" s="59">
        <f t="shared" si="92"/>
        <v>322.81767004794284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2.0482524874959176</v>
      </c>
      <c r="BQ106" s="21">
        <f>EXP(-LN(2)/25)*BQ105+(1-EXP(-LN(2)/25))/(LN(2)/25)*Calculateur!BL106*Calculateur!BN106*VLOOKUP('Données projet'!$B$11,Paramètres!$A$1:$I$89,3,0)*0.475*44/12</f>
        <v>1.4720089336780233</v>
      </c>
      <c r="BR106" s="21">
        <f>EXP(-LN(2)/2)*BR105+(1-EXP(-LN(2)/2))/(LN(2)/2)*BL106*BO106*VLOOKUP('Données projet'!$B$11,Paramètres!$A$1:$I$89,3,0)*0.475*44/12</f>
        <v>1.0447713681302781E-10</v>
      </c>
      <c r="BS106" s="22">
        <f t="shared" si="63"/>
        <v>3.520261421278418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-1.1368683772161603E-13</v>
      </c>
      <c r="BZ106" s="13">
        <f>BY106*VLOOKUP('Données projet'!$B$12,Paramètres!$A$1:$I$89,3,0)*VLOOKUP('Données projet'!$B$12,Paramètres!$A$1:$I$89,5,0)</f>
        <v>-7.626113074366004E-14</v>
      </c>
      <c r="CA106" s="13" t="e">
        <f t="shared" si="93"/>
        <v>#NUM!</v>
      </c>
      <c r="CB106" s="20" t="e">
        <f t="shared" si="64"/>
        <v>#NUM!</v>
      </c>
      <c r="CC106" s="59" t="e">
        <f t="shared" si="65"/>
        <v>#NUM!</v>
      </c>
      <c r="CD106" s="59">
        <f ca="1">AVERAGE(OFFSET($CC$3,0,0,'Données projet'!$E$12+1,1))-AVERAGE(OFFSET($H$3,0,0,'Données projet'!$E$12+1,1))</f>
        <v>254.8851926268614</v>
      </c>
      <c r="CE106" s="59">
        <f t="shared" si="94"/>
        <v>182.11500693273973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0.71747699381023899</v>
      </c>
      <c r="CL106" s="21">
        <f>EXP(-LN(2)/25)*CL105+(1-EXP(-LN(2)/25))/(LN(2)/25)*Calculateur!CG106*Calculateur!CI106*VLOOKUP('Données projet'!$B$12,Paramètres!$A$1:$I$89,3,0)*0.475*44/12</f>
        <v>0.50653045369199001</v>
      </c>
      <c r="CM106" s="21">
        <f>EXP(-LN(2)/2)*CM105+(1-EXP(-LN(2)/2))/(LN(2)/2)*CG106*CJ106*VLOOKUP('Données projet'!$B$12,Paramètres!$A$1:$I$89,3,0)*0.475*44/12</f>
        <v>4.6555300722505572E-11</v>
      </c>
      <c r="CN106" s="22">
        <f t="shared" si="66"/>
        <v>1.2240074475487841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256.66666666666669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1.4210854715202004E-13</v>
      </c>
      <c r="O107" s="13">
        <f>N107*VLOOKUP('Données projet'!$B$9,Paramètres!$A$1:$I$89,3,0)*VLOOKUP('Données projet'!$B$9,Paramètres!$A$1:$I$89,5,0)</f>
        <v>1.4853185348329134E-13</v>
      </c>
      <c r="P107" s="13">
        <f t="shared" si="87"/>
        <v>2.1309431512949395E-12</v>
      </c>
      <c r="Q107" s="20">
        <f t="shared" si="107"/>
        <v>3.9700856333220852E-12</v>
      </c>
      <c r="R107" s="59">
        <f t="shared" si="55"/>
        <v>293.33333333333729</v>
      </c>
      <c r="S107" s="59">
        <f ca="1">AVERAGE(OFFSET($R$3,0,0,'Données projet'!$E$9+1,1))-AVERAGE(OFFSET($H$3,0,0,'Données projet'!$E$9+1,1))</f>
        <v>241.84492910369795</v>
      </c>
      <c r="T107" s="59">
        <f t="shared" si="88"/>
        <v>338.04336767245667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1.3984339496179066</v>
      </c>
      <c r="AA107" s="21">
        <f>EXP(-LN(2)/25)*AA106+(1-EXP(-LN(2)/25))/(LN(2)/25)*Calculateur!V107*Calculateur!X107*VLOOKUP('Données projet'!$B$9,Paramètres!$A$1:$I$89,3,0)*0.475*44/12</f>
        <v>1.7857698503760802</v>
      </c>
      <c r="AB107" s="21">
        <f>EXP(-LN(2)/2)*AB106+(1-EXP(-LN(2)/2))/(LN(2)/2)*V107*Y107*VLOOKUP('Données projet'!$B$9,Paramètres!$A$1:$I$89,3,0)*0.475*44/12</f>
        <v>6.2906905867922162E-11</v>
      </c>
      <c r="AC107" s="22">
        <f t="shared" si="57"/>
        <v>3.1842038000568937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>
        <f>AI107*VLOOKUP('Données projet'!$B$10,Paramètres!$A$1:$I$89,3,0)*VLOOKUP('Données projet'!$B$10,Paramètres!$A$1:$I$89,5,0)</f>
        <v>0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370.12772664814923</v>
      </c>
      <c r="AO107" s="59">
        <f t="shared" si="90"/>
        <v>292.26503163353146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1.7273065012077229</v>
      </c>
      <c r="AV107" s="21">
        <f>EXP(-LN(2)/25)*AV106+(1-EXP(-LN(2)/25))/(LN(2)/25)*Calculateur!AQ107*Calculateur!AS107*VLOOKUP('Données projet'!$B$10,Paramètres!$A$1:$I$89,3,0)*0.475*44/12</f>
        <v>0.85374940665790267</v>
      </c>
      <c r="AW107" s="21">
        <f>EXP(-LN(2)/2)*AW106+(1-EXP(-LN(2)/2))/(LN(2)/2)*AQ107*AT107*VLOOKUP('Données projet'!$B$10,Paramètres!$A$1:$I$89,3,0)*0.475*44/12</f>
        <v>5.7646200771530757E-11</v>
      </c>
      <c r="AX107" s="21">
        <f t="shared" si="60"/>
        <v>2.5810559079232718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>
        <f>BD107*VLOOKUP('Données projet'!$B$11,Paramètres!$A$1:$I$89,3,0)*VLOOKUP('Données projet'!$B$11,Paramètres!$A$1:$I$89,5,0)</f>
        <v>0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475.01366239340246</v>
      </c>
      <c r="BJ107" s="59">
        <f t="shared" si="92"/>
        <v>322.81767004794284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2.0080875055267811</v>
      </c>
      <c r="BQ107" s="21">
        <f>EXP(-LN(2)/25)*BQ106+(1-EXP(-LN(2)/25))/(LN(2)/25)*Calculateur!BL107*Calculateur!BN107*VLOOKUP('Données projet'!$B$11,Paramètres!$A$1:$I$89,3,0)*0.475*44/12</f>
        <v>1.4317567719770123</v>
      </c>
      <c r="BR107" s="21">
        <f>EXP(-LN(2)/2)*BR106+(1-EXP(-LN(2)/2))/(LN(2)/2)*BL107*BO107*VLOOKUP('Données projet'!$B$11,Paramètres!$A$1:$I$89,3,0)*0.475*44/12</f>
        <v>7.3876491919446643E-11</v>
      </c>
      <c r="BS107" s="22">
        <f t="shared" si="63"/>
        <v>3.4398442775776696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-1.1368683772161603E-13</v>
      </c>
      <c r="BZ107" s="13">
        <f>BY107*VLOOKUP('Données projet'!$B$12,Paramètres!$A$1:$I$89,3,0)*VLOOKUP('Données projet'!$B$12,Paramètres!$A$1:$I$89,5,0)</f>
        <v>-7.626113074366004E-14</v>
      </c>
      <c r="CA107" s="13" t="e">
        <f t="shared" si="93"/>
        <v>#NUM!</v>
      </c>
      <c r="CB107" s="20" t="e">
        <f t="shared" si="64"/>
        <v>#NUM!</v>
      </c>
      <c r="CC107" s="59" t="e">
        <f t="shared" si="65"/>
        <v>#NUM!</v>
      </c>
      <c r="CD107" s="59">
        <f ca="1">AVERAGE(OFFSET($CC$3,0,0,'Données projet'!$E$12+1,1))-AVERAGE(OFFSET($H$3,0,0,'Données projet'!$E$12+1,1))</f>
        <v>254.8851926268614</v>
      </c>
      <c r="CE107" s="59">
        <f t="shared" si="94"/>
        <v>182.11500693273973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0.70340770757937532</v>
      </c>
      <c r="CL107" s="21">
        <f>EXP(-LN(2)/25)*CL106+(1-EXP(-LN(2)/25))/(LN(2)/25)*Calculateur!CG107*Calculateur!CI107*VLOOKUP('Données projet'!$B$12,Paramètres!$A$1:$I$89,3,0)*0.475*44/12</f>
        <v>0.4926793517985037</v>
      </c>
      <c r="CM107" s="21">
        <f>EXP(-LN(2)/2)*CM106+(1-EXP(-LN(2)/2))/(LN(2)/2)*CG107*CJ107*VLOOKUP('Données projet'!$B$12,Paramètres!$A$1:$I$89,3,0)*0.475*44/12</f>
        <v>3.2919568841062665E-11</v>
      </c>
      <c r="CN107" s="22">
        <f t="shared" si="66"/>
        <v>1.1960870594107986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256.66666666666669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1.4210854715202004E-13</v>
      </c>
      <c r="O108" s="13">
        <f>N108*VLOOKUP('Données projet'!$B$9,Paramètres!$A$1:$I$89,3,0)*VLOOKUP('Données projet'!$B$9,Paramètres!$A$1:$I$89,5,0)</f>
        <v>1.4853185348329134E-13</v>
      </c>
      <c r="P108" s="13">
        <f t="shared" si="87"/>
        <v>2.1309431512949395E-12</v>
      </c>
      <c r="Q108" s="20">
        <f t="shared" si="107"/>
        <v>3.9700856333220852E-12</v>
      </c>
      <c r="R108" s="59">
        <f t="shared" si="55"/>
        <v>293.33333333333729</v>
      </c>
      <c r="S108" s="59">
        <f ca="1">AVERAGE(OFFSET($R$3,0,0,'Données projet'!$E$9+1,1))-AVERAGE(OFFSET($H$3,0,0,'Données projet'!$E$9+1,1))</f>
        <v>241.84492910369795</v>
      </c>
      <c r="T108" s="59">
        <f t="shared" si="88"/>
        <v>338.04336767245667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1.3710115128263858</v>
      </c>
      <c r="AA108" s="21">
        <f>EXP(-LN(2)/25)*AA107+(1-EXP(-LN(2)/25))/(LN(2)/25)*Calculateur!V108*Calculateur!X108*VLOOKUP('Données projet'!$B$9,Paramètres!$A$1:$I$89,3,0)*0.475*44/12</f>
        <v>1.7369378799079913</v>
      </c>
      <c r="AB108" s="21">
        <f>EXP(-LN(2)/2)*AB107+(1-EXP(-LN(2)/2))/(LN(2)/2)*V108*Y108*VLOOKUP('Données projet'!$B$9,Paramètres!$A$1:$I$89,3,0)*0.475*44/12</f>
        <v>4.4481899722671579E-11</v>
      </c>
      <c r="AC108" s="22">
        <f t="shared" si="57"/>
        <v>3.1079493927788588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>
        <f>AI108*VLOOKUP('Données projet'!$B$10,Paramètres!$A$1:$I$89,3,0)*VLOOKUP('Données projet'!$B$10,Paramètres!$A$1:$I$89,5,0)</f>
        <v>0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370.12772664814923</v>
      </c>
      <c r="AO108" s="59">
        <f t="shared" si="90"/>
        <v>292.26503163353146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1.6934350742719755</v>
      </c>
      <c r="AV108" s="21">
        <f>EXP(-LN(2)/25)*AV107+(1-EXP(-LN(2)/25))/(LN(2)/25)*Calculateur!AQ108*Calculateur!AS108*VLOOKUP('Données projet'!$B$10,Paramètres!$A$1:$I$89,3,0)*0.475*44/12</f>
        <v>0.83040358423611227</v>
      </c>
      <c r="AW108" s="21">
        <f>EXP(-LN(2)/2)*AW107+(1-EXP(-LN(2)/2))/(LN(2)/2)*AQ108*AT108*VLOOKUP('Données projet'!$B$10,Paramètres!$A$1:$I$89,3,0)*0.475*44/12</f>
        <v>4.0762019475190588E-11</v>
      </c>
      <c r="AX108" s="21">
        <f t="shared" si="60"/>
        <v>2.5238386585488497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>
        <f>BD108*VLOOKUP('Données projet'!$B$11,Paramètres!$A$1:$I$89,3,0)*VLOOKUP('Données projet'!$B$11,Paramètres!$A$1:$I$89,5,0)</f>
        <v>0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475.01366239340246</v>
      </c>
      <c r="BJ108" s="59">
        <f t="shared" si="92"/>
        <v>322.81767004794284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1.9687101343558391</v>
      </c>
      <c r="BQ108" s="21">
        <f>EXP(-LN(2)/25)*BQ107+(1-EXP(-LN(2)/25))/(LN(2)/25)*Calculateur!BL108*Calculateur!BN108*VLOOKUP('Données projet'!$B$11,Paramètres!$A$1:$I$89,3,0)*0.475*44/12</f>
        <v>1.3926053077544847</v>
      </c>
      <c r="BR108" s="21">
        <f>EXP(-LN(2)/2)*BR107+(1-EXP(-LN(2)/2))/(LN(2)/2)*BL108*BO108*VLOOKUP('Données projet'!$B$11,Paramètres!$A$1:$I$89,3,0)*0.475*44/12</f>
        <v>5.2238568406513905E-11</v>
      </c>
      <c r="BS108" s="22">
        <f t="shared" si="63"/>
        <v>3.3613154421625624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-1.1368683772161603E-13</v>
      </c>
      <c r="BZ108" s="13">
        <f>BY108*VLOOKUP('Données projet'!$B$12,Paramètres!$A$1:$I$89,3,0)*VLOOKUP('Données projet'!$B$12,Paramètres!$A$1:$I$89,5,0)</f>
        <v>-7.626113074366004E-14</v>
      </c>
      <c r="CA108" s="13" t="e">
        <f t="shared" si="93"/>
        <v>#NUM!</v>
      </c>
      <c r="CB108" s="20" t="e">
        <f t="shared" si="64"/>
        <v>#NUM!</v>
      </c>
      <c r="CC108" s="59" t="e">
        <f t="shared" si="65"/>
        <v>#NUM!</v>
      </c>
      <c r="CD108" s="59">
        <f ca="1">AVERAGE(OFFSET($CC$3,0,0,'Données projet'!$E$12+1,1))-AVERAGE(OFFSET($H$3,0,0,'Données projet'!$E$12+1,1))</f>
        <v>254.8851926268614</v>
      </c>
      <c r="CE108" s="59">
        <f t="shared" si="94"/>
        <v>182.11500693273973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0.68961431147008156</v>
      </c>
      <c r="CL108" s="21">
        <f>EXP(-LN(2)/25)*CL107+(1-EXP(-LN(2)/25))/(LN(2)/25)*Calculateur!CG108*Calculateur!CI108*VLOOKUP('Données projet'!$B$12,Paramètres!$A$1:$I$89,3,0)*0.475*44/12</f>
        <v>0.47920700901469254</v>
      </c>
      <c r="CM108" s="21">
        <f>EXP(-LN(2)/2)*CM107+(1-EXP(-LN(2)/2))/(LN(2)/2)*CG108*CJ108*VLOOKUP('Données projet'!$B$12,Paramètres!$A$1:$I$89,3,0)*0.475*44/12</f>
        <v>2.3277650361252786E-11</v>
      </c>
      <c r="CN108" s="22">
        <f t="shared" si="66"/>
        <v>1.1688213205080518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256.66666666666669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1.4210854715202004E-13</v>
      </c>
      <c r="O109" s="13">
        <f>N109*VLOOKUP('Données projet'!$B$9,Paramètres!$A$1:$I$89,3,0)*VLOOKUP('Données projet'!$B$9,Paramètres!$A$1:$I$89,5,0)</f>
        <v>1.4853185348329134E-13</v>
      </c>
      <c r="P109" s="13">
        <f t="shared" si="87"/>
        <v>2.1309431512949395E-12</v>
      </c>
      <c r="Q109" s="20">
        <f t="shared" si="107"/>
        <v>3.9700856333220852E-12</v>
      </c>
      <c r="R109" s="59">
        <f t="shared" si="55"/>
        <v>293.33333333333729</v>
      </c>
      <c r="S109" s="59">
        <f ca="1">AVERAGE(OFFSET($R$3,0,0,'Données projet'!$E$9+1,1))-AVERAGE(OFFSET($H$3,0,0,'Données projet'!$E$9+1,1))</f>
        <v>241.84492910369795</v>
      </c>
      <c r="T109" s="59">
        <f t="shared" si="88"/>
        <v>338.04336767245667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1.3441268132943118</v>
      </c>
      <c r="AA109" s="21">
        <f>EXP(-LN(2)/25)*AA108+(1-EXP(-LN(2)/25))/(LN(2)/25)*Calculateur!V109*Calculateur!X109*VLOOKUP('Données projet'!$B$9,Paramètres!$A$1:$I$89,3,0)*0.475*44/12</f>
        <v>1.6894412222403139</v>
      </c>
      <c r="AB109" s="21">
        <f>EXP(-LN(2)/2)*AB108+(1-EXP(-LN(2)/2))/(LN(2)/2)*V109*Y109*VLOOKUP('Données projet'!$B$9,Paramètres!$A$1:$I$89,3,0)*0.475*44/12</f>
        <v>3.1453452933961081E-11</v>
      </c>
      <c r="AC109" s="22">
        <f t="shared" si="57"/>
        <v>3.0335680355660792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>
        <f>AI109*VLOOKUP('Données projet'!$B$10,Paramètres!$A$1:$I$89,3,0)*VLOOKUP('Données projet'!$B$10,Paramètres!$A$1:$I$89,5,0)</f>
        <v>0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370.12772664814923</v>
      </c>
      <c r="AO109" s="59">
        <f t="shared" si="90"/>
        <v>292.26503163353146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1.6602278453589077</v>
      </c>
      <c r="AV109" s="21">
        <f>EXP(-LN(2)/25)*AV108+(1-EXP(-LN(2)/25))/(LN(2)/25)*Calculateur!AQ109*Calculateur!AS109*VLOOKUP('Données projet'!$B$10,Paramètres!$A$1:$I$89,3,0)*0.475*44/12</f>
        <v>0.80769615455614918</v>
      </c>
      <c r="AW109" s="21">
        <f>EXP(-LN(2)/2)*AW108+(1-EXP(-LN(2)/2))/(LN(2)/2)*AQ109*AT109*VLOOKUP('Données projet'!$B$10,Paramètres!$A$1:$I$89,3,0)*0.475*44/12</f>
        <v>2.8823100385765382E-11</v>
      </c>
      <c r="AX109" s="21">
        <f t="shared" si="60"/>
        <v>2.46792399994388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>
        <f>BD109*VLOOKUP('Données projet'!$B$11,Paramètres!$A$1:$I$89,3,0)*VLOOKUP('Données projet'!$B$11,Paramètres!$A$1:$I$89,5,0)</f>
        <v>0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475.01366239340246</v>
      </c>
      <c r="BJ109" s="59">
        <f t="shared" si="92"/>
        <v>322.81767004794284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1.9301049294157344</v>
      </c>
      <c r="BQ109" s="21">
        <f>EXP(-LN(2)/25)*BQ108+(1-EXP(-LN(2)/25))/(LN(2)/25)*Calculateur!BL109*Calculateur!BN109*VLOOKUP('Données projet'!$B$11,Paramètres!$A$1:$I$89,3,0)*0.475*44/12</f>
        <v>1.354524442380008</v>
      </c>
      <c r="BR109" s="21">
        <f>EXP(-LN(2)/2)*BR108+(1-EXP(-LN(2)/2))/(LN(2)/2)*BL109*BO109*VLOOKUP('Données projet'!$B$11,Paramètres!$A$1:$I$89,3,0)*0.475*44/12</f>
        <v>3.6938245959723322E-11</v>
      </c>
      <c r="BS109" s="22">
        <f t="shared" si="63"/>
        <v>3.2846293718326809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-1.1368683772161603E-13</v>
      </c>
      <c r="BZ109" s="13">
        <f>BY109*VLOOKUP('Données projet'!$B$12,Paramètres!$A$1:$I$89,3,0)*VLOOKUP('Données projet'!$B$12,Paramètres!$A$1:$I$89,5,0)</f>
        <v>-7.626113074366004E-14</v>
      </c>
      <c r="CA109" s="13" t="e">
        <f t="shared" si="93"/>
        <v>#NUM!</v>
      </c>
      <c r="CB109" s="20" t="e">
        <f t="shared" si="64"/>
        <v>#NUM!</v>
      </c>
      <c r="CC109" s="59" t="e">
        <f t="shared" si="65"/>
        <v>#NUM!</v>
      </c>
      <c r="CD109" s="59">
        <f ca="1">AVERAGE(OFFSET($CC$3,0,0,'Données projet'!$E$12+1,1))-AVERAGE(OFFSET($H$3,0,0,'Données projet'!$E$12+1,1))</f>
        <v>254.8851926268614</v>
      </c>
      <c r="CE109" s="59">
        <f t="shared" si="94"/>
        <v>182.11500693273973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0.67609139544535013</v>
      </c>
      <c r="CL109" s="21">
        <f>EXP(-LN(2)/25)*CL108+(1-EXP(-LN(2)/25))/(LN(2)/25)*Calculateur!CG109*Calculateur!CI109*VLOOKUP('Données projet'!$B$12,Paramètres!$A$1:$I$89,3,0)*0.475*44/12</f>
        <v>0.46610306815278441</v>
      </c>
      <c r="CM109" s="21">
        <f>EXP(-LN(2)/2)*CM108+(1-EXP(-LN(2)/2))/(LN(2)/2)*CG109*CJ109*VLOOKUP('Données projet'!$B$12,Paramètres!$A$1:$I$89,3,0)*0.475*44/12</f>
        <v>1.6459784420531333E-11</v>
      </c>
      <c r="CN109" s="22">
        <f t="shared" si="66"/>
        <v>1.1421944636145942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256.66666666666669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1.4210854715202004E-13</v>
      </c>
      <c r="O110" s="13">
        <f>N110*VLOOKUP('Données projet'!$B$9,Paramètres!$A$1:$I$89,3,0)*VLOOKUP('Données projet'!$B$9,Paramètres!$A$1:$I$89,5,0)</f>
        <v>1.4853185348329134E-13</v>
      </c>
      <c r="P110" s="13">
        <f t="shared" si="87"/>
        <v>2.1309431512949395E-12</v>
      </c>
      <c r="Q110" s="20">
        <f t="shared" si="107"/>
        <v>3.9700856333220852E-12</v>
      </c>
      <c r="R110" s="59">
        <f t="shared" si="55"/>
        <v>293.33333333333729</v>
      </c>
      <c r="S110" s="59">
        <f ca="1">AVERAGE(OFFSET($R$3,0,0,'Données projet'!$E$9+1,1))-AVERAGE(OFFSET($H$3,0,0,'Données projet'!$E$9+1,1))</f>
        <v>241.84492910369795</v>
      </c>
      <c r="T110" s="59">
        <f t="shared" si="88"/>
        <v>338.04336767245667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1.3177693063220144</v>
      </c>
      <c r="AA110" s="21">
        <f>EXP(-LN(2)/25)*AA109+(1-EXP(-LN(2)/25))/(LN(2)/25)*Calculateur!V110*Calculateur!X110*VLOOKUP('Données projet'!$B$9,Paramètres!$A$1:$I$89,3,0)*0.475*44/12</f>
        <v>1.6432433631743</v>
      </c>
      <c r="AB110" s="21">
        <f>EXP(-LN(2)/2)*AB109+(1-EXP(-LN(2)/2))/(LN(2)/2)*V110*Y110*VLOOKUP('Données projet'!$B$9,Paramètres!$A$1:$I$89,3,0)*0.475*44/12</f>
        <v>2.2240949861335789E-11</v>
      </c>
      <c r="AC110" s="22">
        <f t="shared" si="57"/>
        <v>2.9610126695185555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>
        <f>AI110*VLOOKUP('Données projet'!$B$10,Paramètres!$A$1:$I$89,3,0)*VLOOKUP('Données projet'!$B$10,Paramètres!$A$1:$I$89,5,0)</f>
        <v>0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370.12772664814923</v>
      </c>
      <c r="AO110" s="59">
        <f t="shared" si="90"/>
        <v>292.26503163353146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1.6276717899504154</v>
      </c>
      <c r="AV110" s="21">
        <f>EXP(-LN(2)/25)*AV109+(1-EXP(-LN(2)/25))/(LN(2)/25)*Calculateur!AQ110*Calculateur!AS110*VLOOKUP('Données projet'!$B$10,Paramètres!$A$1:$I$89,3,0)*0.475*44/12</f>
        <v>0.78560966073491656</v>
      </c>
      <c r="AW110" s="21">
        <f>EXP(-LN(2)/2)*AW109+(1-EXP(-LN(2)/2))/(LN(2)/2)*AQ110*AT110*VLOOKUP('Données projet'!$B$10,Paramètres!$A$1:$I$89,3,0)*0.475*44/12</f>
        <v>2.0381009737595297E-11</v>
      </c>
      <c r="AX110" s="21">
        <f t="shared" si="60"/>
        <v>2.4132814507057132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>
        <f>BD110*VLOOKUP('Données projet'!$B$11,Paramètres!$A$1:$I$89,3,0)*VLOOKUP('Données projet'!$B$11,Paramètres!$A$1:$I$89,5,0)</f>
        <v>0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475.01366239340246</v>
      </c>
      <c r="BJ110" s="59">
        <f t="shared" si="92"/>
        <v>322.81767004794284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1.8922567489976552</v>
      </c>
      <c r="BQ110" s="21">
        <f>EXP(-LN(2)/25)*BQ109+(1-EXP(-LN(2)/25))/(LN(2)/25)*Calculateur!BL110*Calculateur!BN110*VLOOKUP('Données projet'!$B$11,Paramètres!$A$1:$I$89,3,0)*0.475*44/12</f>
        <v>1.3174849002717821</v>
      </c>
      <c r="BR110" s="21">
        <f>EXP(-LN(2)/2)*BR109+(1-EXP(-LN(2)/2))/(LN(2)/2)*BL110*BO110*VLOOKUP('Données projet'!$B$11,Paramètres!$A$1:$I$89,3,0)*0.475*44/12</f>
        <v>2.6119284203256952E-11</v>
      </c>
      <c r="BS110" s="22">
        <f t="shared" si="63"/>
        <v>3.2097416492955566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-1.1368683772161603E-13</v>
      </c>
      <c r="BZ110" s="13">
        <f>BY110*VLOOKUP('Données projet'!$B$12,Paramètres!$A$1:$I$89,3,0)*VLOOKUP('Données projet'!$B$12,Paramètres!$A$1:$I$89,5,0)</f>
        <v>-7.626113074366004E-14</v>
      </c>
      <c r="CA110" s="13" t="e">
        <f t="shared" si="93"/>
        <v>#NUM!</v>
      </c>
      <c r="CB110" s="20" t="e">
        <f t="shared" si="64"/>
        <v>#NUM!</v>
      </c>
      <c r="CC110" s="59" t="e">
        <f t="shared" si="65"/>
        <v>#NUM!</v>
      </c>
      <c r="CD110" s="59">
        <f ca="1">AVERAGE(OFFSET($CC$3,0,0,'Données projet'!$E$12+1,1))-AVERAGE(OFFSET($H$3,0,0,'Données projet'!$E$12+1,1))</f>
        <v>254.8851926268614</v>
      </c>
      <c r="CE110" s="59">
        <f t="shared" si="94"/>
        <v>182.11500693273973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0.6628336555556994</v>
      </c>
      <c r="CL110" s="21">
        <f>EXP(-LN(2)/25)*CL109+(1-EXP(-LN(2)/25))/(LN(2)/25)*Calculateur!CG110*Calculateur!CI110*VLOOKUP('Données projet'!$B$12,Paramètres!$A$1:$I$89,3,0)*0.475*44/12</f>
        <v>0.45335745524285148</v>
      </c>
      <c r="CM110" s="21">
        <f>EXP(-LN(2)/2)*CM109+(1-EXP(-LN(2)/2))/(LN(2)/2)*CG110*CJ110*VLOOKUP('Données projet'!$B$12,Paramètres!$A$1:$I$89,3,0)*0.475*44/12</f>
        <v>1.1638825180626393E-11</v>
      </c>
      <c r="CN110" s="22">
        <f t="shared" si="66"/>
        <v>1.1161911108101898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256.66666666666669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1.4210854715202004E-13</v>
      </c>
      <c r="O111" s="13">
        <f>N111*VLOOKUP('Données projet'!$B$9,Paramètres!$A$1:$I$89,3,0)*VLOOKUP('Données projet'!$B$9,Paramètres!$A$1:$I$89,5,0)</f>
        <v>1.4853185348329134E-13</v>
      </c>
      <c r="P111" s="13">
        <f t="shared" si="87"/>
        <v>2.1309431512949395E-12</v>
      </c>
      <c r="Q111" s="20">
        <f t="shared" si="107"/>
        <v>3.9700856333220852E-12</v>
      </c>
      <c r="R111" s="59">
        <f t="shared" si="55"/>
        <v>293.33333333333729</v>
      </c>
      <c r="S111" s="59">
        <f ca="1">AVERAGE(OFFSET($R$3,0,0,'Données projet'!$E$9+1,1))-AVERAGE(OFFSET($H$3,0,0,'Données projet'!$E$9+1,1))</f>
        <v>241.84492910369795</v>
      </c>
      <c r="T111" s="59">
        <f t="shared" si="88"/>
        <v>338.04336767245667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1.2919286539849519</v>
      </c>
      <c r="AA111" s="21">
        <f>EXP(-LN(2)/25)*AA110+(1-EXP(-LN(2)/25))/(LN(2)/25)*Calculateur!V111*Calculateur!X111*VLOOKUP('Données projet'!$B$9,Paramètres!$A$1:$I$89,3,0)*0.475*44/12</f>
        <v>1.5983087869938859</v>
      </c>
      <c r="AB111" s="21">
        <f>EXP(-LN(2)/2)*AB110+(1-EXP(-LN(2)/2))/(LN(2)/2)*V111*Y111*VLOOKUP('Données projet'!$B$9,Paramètres!$A$1:$I$89,3,0)*0.475*44/12</f>
        <v>1.572672646698054E-11</v>
      </c>
      <c r="AC111" s="22">
        <f t="shared" si="57"/>
        <v>2.8902374409945644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>
        <f>AI111*VLOOKUP('Données projet'!$B$10,Paramètres!$A$1:$I$89,3,0)*VLOOKUP('Données projet'!$B$10,Paramètres!$A$1:$I$89,5,0)</f>
        <v>0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370.12772664814923</v>
      </c>
      <c r="AO111" s="59">
        <f t="shared" si="90"/>
        <v>292.26503163353146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1.5957541389312506</v>
      </c>
      <c r="AV111" s="21">
        <f>EXP(-LN(2)/25)*AV110+(1-EXP(-LN(2)/25))/(LN(2)/25)*Calculateur!AQ111*Calculateur!AS111*VLOOKUP('Données projet'!$B$10,Paramètres!$A$1:$I$89,3,0)*0.475*44/12</f>
        <v>0.76412712324870369</v>
      </c>
      <c r="AW111" s="21">
        <f>EXP(-LN(2)/2)*AW110+(1-EXP(-LN(2)/2))/(LN(2)/2)*AQ111*AT111*VLOOKUP('Données projet'!$B$10,Paramètres!$A$1:$I$89,3,0)*0.475*44/12</f>
        <v>1.4411550192882692E-11</v>
      </c>
      <c r="AX111" s="21">
        <f t="shared" si="60"/>
        <v>2.3598812621943659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>
        <f>BD111*VLOOKUP('Données projet'!$B$11,Paramètres!$A$1:$I$89,3,0)*VLOOKUP('Données projet'!$B$11,Paramètres!$A$1:$I$89,5,0)</f>
        <v>0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475.01366239340246</v>
      </c>
      <c r="BJ111" s="59">
        <f t="shared" si="92"/>
        <v>322.81767004794284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1.8551507483124638</v>
      </c>
      <c r="BQ111" s="21">
        <f>EXP(-LN(2)/25)*BQ110+(1-EXP(-LN(2)/25))/(LN(2)/25)*Calculateur!BL111*Calculateur!BN111*VLOOKUP('Données projet'!$B$11,Paramètres!$A$1:$I$89,3,0)*0.475*44/12</f>
        <v>1.2814582063903304</v>
      </c>
      <c r="BR111" s="21">
        <f>EXP(-LN(2)/2)*BR110+(1-EXP(-LN(2)/2))/(LN(2)/2)*BL111*BO111*VLOOKUP('Données projet'!$B$11,Paramètres!$A$1:$I$89,3,0)*0.475*44/12</f>
        <v>1.8469122979861661E-11</v>
      </c>
      <c r="BS111" s="22">
        <f t="shared" si="63"/>
        <v>3.1366089547212632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-1.1368683772161603E-13</v>
      </c>
      <c r="BZ111" s="13">
        <f>BY111*VLOOKUP('Données projet'!$B$12,Paramètres!$A$1:$I$89,3,0)*VLOOKUP('Données projet'!$B$12,Paramètres!$A$1:$I$89,5,0)</f>
        <v>-7.626113074366004E-14</v>
      </c>
      <c r="CA111" s="13" t="e">
        <f t="shared" si="93"/>
        <v>#NUM!</v>
      </c>
      <c r="CB111" s="20" t="e">
        <f t="shared" si="64"/>
        <v>#NUM!</v>
      </c>
      <c r="CC111" s="59" t="e">
        <f t="shared" si="65"/>
        <v>#NUM!</v>
      </c>
      <c r="CD111" s="59">
        <f ca="1">AVERAGE(OFFSET($CC$3,0,0,'Données projet'!$E$12+1,1))-AVERAGE(OFFSET($H$3,0,0,'Données projet'!$E$12+1,1))</f>
        <v>254.8851926268614</v>
      </c>
      <c r="CE111" s="59">
        <f t="shared" si="94"/>
        <v>182.11500693273973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0.64983589185886181</v>
      </c>
      <c r="CL111" s="21">
        <f>EXP(-LN(2)/25)*CL110+(1-EXP(-LN(2)/25))/(LN(2)/25)*Calculateur!CG111*Calculateur!CI111*VLOOKUP('Données projet'!$B$12,Paramètres!$A$1:$I$89,3,0)*0.475*44/12</f>
        <v>0.4409603717882033</v>
      </c>
      <c r="CM111" s="21">
        <f>EXP(-LN(2)/2)*CM110+(1-EXP(-LN(2)/2))/(LN(2)/2)*CG111*CJ111*VLOOKUP('Données projet'!$B$12,Paramètres!$A$1:$I$89,3,0)*0.475*44/12</f>
        <v>8.2298922102656663E-12</v>
      </c>
      <c r="CN111" s="22">
        <f t="shared" si="66"/>
        <v>1.090796263655295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256.66666666666669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1.4210854715202004E-13</v>
      </c>
      <c r="O112" s="13">
        <f>N112*VLOOKUP('Données projet'!$B$9,Paramètres!$A$1:$I$89,3,0)*VLOOKUP('Données projet'!$B$9,Paramètres!$A$1:$I$89,5,0)</f>
        <v>1.4853185348329134E-13</v>
      </c>
      <c r="P112" s="13">
        <f t="shared" si="87"/>
        <v>2.1309431512949395E-12</v>
      </c>
      <c r="Q112" s="20">
        <f t="shared" si="107"/>
        <v>3.9700856333220852E-12</v>
      </c>
      <c r="R112" s="59">
        <f t="shared" si="55"/>
        <v>293.33333333333729</v>
      </c>
      <c r="S112" s="59">
        <f ca="1">AVERAGE(OFFSET($R$3,0,0,'Données projet'!$E$9+1,1))-AVERAGE(OFFSET($H$3,0,0,'Données projet'!$E$9+1,1))</f>
        <v>241.84492910369795</v>
      </c>
      <c r="T112" s="59">
        <f t="shared" si="88"/>
        <v>338.04336767245667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1.2665947210789776</v>
      </c>
      <c r="AA112" s="21">
        <f>EXP(-LN(2)/25)*AA111+(1-EXP(-LN(2)/25))/(LN(2)/25)*Calculateur!V112*Calculateur!X112*VLOOKUP('Données projet'!$B$9,Paramètres!$A$1:$I$89,3,0)*0.475*44/12</f>
        <v>1.554602949162132</v>
      </c>
      <c r="AB112" s="21">
        <f>EXP(-LN(2)/2)*AB111+(1-EXP(-LN(2)/2))/(LN(2)/2)*V112*Y112*VLOOKUP('Données projet'!$B$9,Paramètres!$A$1:$I$89,3,0)*0.475*44/12</f>
        <v>1.1120474930667895E-11</v>
      </c>
      <c r="AC112" s="22">
        <f t="shared" si="57"/>
        <v>2.8211976702522299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>
        <f>AI112*VLOOKUP('Données projet'!$B$10,Paramètres!$A$1:$I$89,3,0)*VLOOKUP('Données projet'!$B$10,Paramètres!$A$1:$I$89,5,0)</f>
        <v>0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370.12772664814923</v>
      </c>
      <c r="AO112" s="59">
        <f t="shared" si="90"/>
        <v>292.26503163353146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1.5644623735807268</v>
      </c>
      <c r="AV112" s="21">
        <f>EXP(-LN(2)/25)*AV111+(1-EXP(-LN(2)/25))/(LN(2)/25)*Calculateur!AQ112*Calculateur!AS112*VLOOKUP('Données projet'!$B$10,Paramètres!$A$1:$I$89,3,0)*0.475*44/12</f>
        <v>0.74323202687976886</v>
      </c>
      <c r="AW112" s="21">
        <f>EXP(-LN(2)/2)*AW111+(1-EXP(-LN(2)/2))/(LN(2)/2)*AQ112*AT112*VLOOKUP('Données projet'!$B$10,Paramètres!$A$1:$I$89,3,0)*0.475*44/12</f>
        <v>1.019050486879765E-11</v>
      </c>
      <c r="AX112" s="21">
        <f t="shared" si="60"/>
        <v>2.3076944004706861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>
        <f>BD112*VLOOKUP('Données projet'!$B$11,Paramètres!$A$1:$I$89,3,0)*VLOOKUP('Données projet'!$B$11,Paramètres!$A$1:$I$89,5,0)</f>
        <v>0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475.01366239340246</v>
      </c>
      <c r="BJ112" s="59">
        <f t="shared" si="92"/>
        <v>322.81767004794284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1.8187723736682835</v>
      </c>
      <c r="BQ112" s="21">
        <f>EXP(-LN(2)/25)*BQ111+(1-EXP(-LN(2)/25))/(LN(2)/25)*Calculateur!BL112*Calculateur!BN112*VLOOKUP('Données projet'!$B$11,Paramètres!$A$1:$I$89,3,0)*0.475*44/12</f>
        <v>1.2464166643476284</v>
      </c>
      <c r="BR112" s="21">
        <f>EXP(-LN(2)/2)*BR111+(1-EXP(-LN(2)/2))/(LN(2)/2)*BL112*BO112*VLOOKUP('Données projet'!$B$11,Paramètres!$A$1:$I$89,3,0)*0.475*44/12</f>
        <v>1.3059642101628476E-11</v>
      </c>
      <c r="BS112" s="22">
        <f t="shared" si="63"/>
        <v>3.0651890380289717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-1.1368683772161603E-13</v>
      </c>
      <c r="BZ112" s="13">
        <f>BY112*VLOOKUP('Données projet'!$B$12,Paramètres!$A$1:$I$89,3,0)*VLOOKUP('Données projet'!$B$12,Paramètres!$A$1:$I$89,5,0)</f>
        <v>-7.626113074366004E-14</v>
      </c>
      <c r="CA112" s="13" t="e">
        <f t="shared" si="93"/>
        <v>#NUM!</v>
      </c>
      <c r="CB112" s="20" t="e">
        <f t="shared" si="64"/>
        <v>#NUM!</v>
      </c>
      <c r="CC112" s="59" t="e">
        <f t="shared" si="65"/>
        <v>#NUM!</v>
      </c>
      <c r="CD112" s="59">
        <f ca="1">AVERAGE(OFFSET($CC$3,0,0,'Données projet'!$E$12+1,1))-AVERAGE(OFFSET($H$3,0,0,'Données projet'!$E$12+1,1))</f>
        <v>254.8851926268614</v>
      </c>
      <c r="CE112" s="59">
        <f t="shared" si="94"/>
        <v>182.11500693273973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0.63709300638026622</v>
      </c>
      <c r="CL112" s="21">
        <f>EXP(-LN(2)/25)*CL111+(1-EXP(-LN(2)/25))/(LN(2)/25)*Calculateur!CG112*Calculateur!CI112*VLOOKUP('Données projet'!$B$12,Paramètres!$A$1:$I$89,3,0)*0.475*44/12</f>
        <v>0.42890228723255674</v>
      </c>
      <c r="CM112" s="21">
        <f>EXP(-LN(2)/2)*CM111+(1-EXP(-LN(2)/2))/(LN(2)/2)*CG112*CJ112*VLOOKUP('Données projet'!$B$12,Paramètres!$A$1:$I$89,3,0)*0.475*44/12</f>
        <v>5.8194125903131964E-12</v>
      </c>
      <c r="CN112" s="22">
        <f t="shared" si="66"/>
        <v>1.0659952936186423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256.66666666666669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1.4210854715202004E-13</v>
      </c>
      <c r="O113" s="13">
        <f>N113*VLOOKUP('Données projet'!$B$9,Paramètres!$A$1:$I$89,3,0)*VLOOKUP('Données projet'!$B$9,Paramètres!$A$1:$I$89,5,0)</f>
        <v>1.4853185348329134E-13</v>
      </c>
      <c r="P113" s="13">
        <f t="shared" si="87"/>
        <v>2.1309431512949395E-12</v>
      </c>
      <c r="Q113" s="20">
        <f t="shared" si="107"/>
        <v>3.9700856333220852E-12</v>
      </c>
      <c r="R113" s="59">
        <f t="shared" si="55"/>
        <v>293.33333333333729</v>
      </c>
      <c r="S113" s="59">
        <f ca="1">AVERAGE(OFFSET($R$3,0,0,'Données projet'!$E$9+1,1))-AVERAGE(OFFSET($H$3,0,0,'Données projet'!$E$9+1,1))</f>
        <v>241.84492910369795</v>
      </c>
      <c r="T113" s="59">
        <f t="shared" si="88"/>
        <v>338.04336767245667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1.2417575711451161</v>
      </c>
      <c r="AA113" s="21">
        <f>EXP(-LN(2)/25)*AA112+(1-EXP(-LN(2)/25))/(LN(2)/25)*Calculateur!V113*Calculateur!X113*VLOOKUP('Données projet'!$B$9,Paramètres!$A$1:$I$89,3,0)*0.475*44/12</f>
        <v>1.5120922497642775</v>
      </c>
      <c r="AB113" s="21">
        <f>EXP(-LN(2)/2)*AB112+(1-EXP(-LN(2)/2))/(LN(2)/2)*V113*Y113*VLOOKUP('Données projet'!$B$9,Paramètres!$A$1:$I$89,3,0)*0.475*44/12</f>
        <v>7.8633632334902702E-12</v>
      </c>
      <c r="AC113" s="22">
        <f t="shared" si="57"/>
        <v>2.7538498209172571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>
        <f>AI113*VLOOKUP('Données projet'!$B$10,Paramètres!$A$1:$I$89,3,0)*VLOOKUP('Données projet'!$B$10,Paramètres!$A$1:$I$89,5,0)</f>
        <v>0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370.12772664814923</v>
      </c>
      <c r="AO113" s="59">
        <f t="shared" si="90"/>
        <v>292.26503163353146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1.5337842206626344</v>
      </c>
      <c r="AV113" s="21">
        <f>EXP(-LN(2)/25)*AV112+(1-EXP(-LN(2)/25))/(LN(2)/25)*Calculateur!AQ113*Calculateur!AS113*VLOOKUP('Données projet'!$B$10,Paramètres!$A$1:$I$89,3,0)*0.475*44/12</f>
        <v>0.72290830801986794</v>
      </c>
      <c r="AW113" s="21">
        <f>EXP(-LN(2)/2)*AW112+(1-EXP(-LN(2)/2))/(LN(2)/2)*AQ113*AT113*VLOOKUP('Données projet'!$B$10,Paramètres!$A$1:$I$89,3,0)*0.475*44/12</f>
        <v>7.2057750964413479E-12</v>
      </c>
      <c r="AX113" s="21">
        <f t="shared" si="60"/>
        <v>2.2566925286897082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>
        <f>BD113*VLOOKUP('Données projet'!$B$11,Paramètres!$A$1:$I$89,3,0)*VLOOKUP('Données projet'!$B$11,Paramètres!$A$1:$I$89,5,0)</f>
        <v>0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475.01366239340246</v>
      </c>
      <c r="BJ113" s="59">
        <f t="shared" si="92"/>
        <v>322.81767004794284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1.783107356762258</v>
      </c>
      <c r="BQ113" s="21">
        <f>EXP(-LN(2)/25)*BQ112+(1-EXP(-LN(2)/25))/(LN(2)/25)*Calculateur!BL113*Calculateur!BN113*VLOOKUP('Données projet'!$B$11,Paramètres!$A$1:$I$89,3,0)*0.475*44/12</f>
        <v>1.2123333351148389</v>
      </c>
      <c r="BR113" s="21">
        <f>EXP(-LN(2)/2)*BR112+(1-EXP(-LN(2)/2))/(LN(2)/2)*BL113*BO113*VLOOKUP('Données projet'!$B$11,Paramètres!$A$1:$I$89,3,0)*0.475*44/12</f>
        <v>9.2345614899308304E-12</v>
      </c>
      <c r="BS113" s="22">
        <f t="shared" si="63"/>
        <v>2.9954406918863312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-1.1368683772161603E-13</v>
      </c>
      <c r="BZ113" s="13">
        <f>BY113*VLOOKUP('Données projet'!$B$12,Paramètres!$A$1:$I$89,3,0)*VLOOKUP('Données projet'!$B$12,Paramètres!$A$1:$I$89,5,0)</f>
        <v>-7.626113074366004E-14</v>
      </c>
      <c r="CA113" s="13" t="e">
        <f t="shared" si="93"/>
        <v>#NUM!</v>
      </c>
      <c r="CB113" s="20" t="e">
        <f t="shared" si="64"/>
        <v>#NUM!</v>
      </c>
      <c r="CC113" s="59" t="e">
        <f t="shared" si="65"/>
        <v>#NUM!</v>
      </c>
      <c r="CD113" s="59">
        <f ca="1">AVERAGE(OFFSET($CC$3,0,0,'Données projet'!$E$12+1,1))-AVERAGE(OFFSET($H$3,0,0,'Données projet'!$E$12+1,1))</f>
        <v>254.8851926268614</v>
      </c>
      <c r="CE113" s="59">
        <f t="shared" si="94"/>
        <v>182.11500693273973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0.62460000111351321</v>
      </c>
      <c r="CL113" s="21">
        <f>EXP(-LN(2)/25)*CL112+(1-EXP(-LN(2)/25))/(LN(2)/25)*Calculateur!CG113*Calculateur!CI113*VLOOKUP('Données projet'!$B$12,Paramètres!$A$1:$I$89,3,0)*0.475*44/12</f>
        <v>0.41717393163319144</v>
      </c>
      <c r="CM113" s="21">
        <f>EXP(-LN(2)/2)*CM112+(1-EXP(-LN(2)/2))/(LN(2)/2)*CG113*CJ113*VLOOKUP('Données projet'!$B$12,Paramètres!$A$1:$I$89,3,0)*0.475*44/12</f>
        <v>4.1149461051328331E-12</v>
      </c>
      <c r="CN113" s="22">
        <f t="shared" si="66"/>
        <v>1.0417739327508195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256.66666666666669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1.4210854715202004E-13</v>
      </c>
      <c r="O114" s="13">
        <f>N114*VLOOKUP('Données projet'!$B$9,Paramètres!$A$1:$I$89,3,0)*VLOOKUP('Données projet'!$B$9,Paramètres!$A$1:$I$89,5,0)</f>
        <v>1.4853185348329134E-13</v>
      </c>
      <c r="P114" s="13">
        <f t="shared" si="87"/>
        <v>2.1309431512949395E-12</v>
      </c>
      <c r="Q114" s="20">
        <f t="shared" si="107"/>
        <v>3.9700856333220852E-12</v>
      </c>
      <c r="R114" s="59">
        <f t="shared" si="55"/>
        <v>293.33333333333729</v>
      </c>
      <c r="S114" s="59">
        <f ca="1">AVERAGE(OFFSET($R$3,0,0,'Données projet'!$E$9+1,1))-AVERAGE(OFFSET($H$3,0,0,'Données projet'!$E$9+1,1))</f>
        <v>241.84492910369795</v>
      </c>
      <c r="T114" s="59">
        <f t="shared" si="88"/>
        <v>338.04336767245667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1.2174074625722919</v>
      </c>
      <c r="AA114" s="21">
        <f>EXP(-LN(2)/25)*AA113+(1-EXP(-LN(2)/25))/(LN(2)/25)*Calculateur!V114*Calculateur!X114*VLOOKUP('Données projet'!$B$9,Paramètres!$A$1:$I$89,3,0)*0.475*44/12</f>
        <v>1.4707440076769978</v>
      </c>
      <c r="AB114" s="21">
        <f>EXP(-LN(2)/2)*AB113+(1-EXP(-LN(2)/2))/(LN(2)/2)*V114*Y114*VLOOKUP('Données projet'!$B$9,Paramètres!$A$1:$I$89,3,0)*0.475*44/12</f>
        <v>5.5602374653339473E-12</v>
      </c>
      <c r="AC114" s="22">
        <f t="shared" si="57"/>
        <v>2.6881514702548501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>
        <f>AI114*VLOOKUP('Données projet'!$B$10,Paramètres!$A$1:$I$89,3,0)*VLOOKUP('Données projet'!$B$10,Paramètres!$A$1:$I$89,5,0)</f>
        <v>0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370.12772664814923</v>
      </c>
      <c r="AO114" s="59">
        <f t="shared" si="90"/>
        <v>292.26503163353146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1.5037076476114402</v>
      </c>
      <c r="AV114" s="21">
        <f>EXP(-LN(2)/25)*AV113+(1-EXP(-LN(2)/25))/(LN(2)/25)*Calculateur!AQ114*Calculateur!AS114*VLOOKUP('Données projet'!$B$10,Paramètres!$A$1:$I$89,3,0)*0.475*44/12</f>
        <v>0.703140342320969</v>
      </c>
      <c r="AW114" s="21">
        <f>EXP(-LN(2)/2)*AW113+(1-EXP(-LN(2)/2))/(LN(2)/2)*AQ114*AT114*VLOOKUP('Données projet'!$B$10,Paramètres!$A$1:$I$89,3,0)*0.475*44/12</f>
        <v>5.0952524343988259E-12</v>
      </c>
      <c r="AX114" s="21">
        <f t="shared" si="60"/>
        <v>2.2068479899375042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>
        <f>BD114*VLOOKUP('Données projet'!$B$11,Paramètres!$A$1:$I$89,3,0)*VLOOKUP('Données projet'!$B$11,Paramètres!$A$1:$I$89,5,0)</f>
        <v>0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475.01366239340246</v>
      </c>
      <c r="BJ114" s="59">
        <f t="shared" si="92"/>
        <v>322.81767004794284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1.7481417090842473</v>
      </c>
      <c r="BQ114" s="21">
        <f>EXP(-LN(2)/25)*BQ113+(1-EXP(-LN(2)/25))/(LN(2)/25)*Calculateur!BL114*Calculateur!BN114*VLOOKUP('Données projet'!$B$11,Paramètres!$A$1:$I$89,3,0)*0.475*44/12</f>
        <v>1.1791820163122844</v>
      </c>
      <c r="BR114" s="21">
        <f>EXP(-LN(2)/2)*BR113+(1-EXP(-LN(2)/2))/(LN(2)/2)*BL114*BO114*VLOOKUP('Données projet'!$B$11,Paramètres!$A$1:$I$89,3,0)*0.475*44/12</f>
        <v>6.5298210508142381E-12</v>
      </c>
      <c r="BS114" s="22">
        <f t="shared" si="63"/>
        <v>2.9273237254030615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-1.1368683772161603E-13</v>
      </c>
      <c r="BZ114" s="13">
        <f>BY114*VLOOKUP('Données projet'!$B$12,Paramètres!$A$1:$I$89,3,0)*VLOOKUP('Données projet'!$B$12,Paramètres!$A$1:$I$89,5,0)</f>
        <v>-7.626113074366004E-14</v>
      </c>
      <c r="CA114" s="13" t="e">
        <f t="shared" si="93"/>
        <v>#NUM!</v>
      </c>
      <c r="CB114" s="20" t="e">
        <f t="shared" si="64"/>
        <v>#NUM!</v>
      </c>
      <c r="CC114" s="59" t="e">
        <f t="shared" si="65"/>
        <v>#NUM!</v>
      </c>
      <c r="CD114" s="59">
        <f ca="1">AVERAGE(OFFSET($CC$3,0,0,'Données projet'!$E$12+1,1))-AVERAGE(OFFSET($H$3,0,0,'Données projet'!$E$12+1,1))</f>
        <v>254.8851926268614</v>
      </c>
      <c r="CE114" s="59">
        <f t="shared" si="94"/>
        <v>182.11500693273973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0.61235197606006042</v>
      </c>
      <c r="CL114" s="21">
        <f>EXP(-LN(2)/25)*CL113+(1-EXP(-LN(2)/25))/(LN(2)/25)*Calculateur!CG114*Calculateur!CI114*VLOOKUP('Données projet'!$B$12,Paramètres!$A$1:$I$89,3,0)*0.475*44/12</f>
        <v>0.40576628853445823</v>
      </c>
      <c r="CM114" s="21">
        <f>EXP(-LN(2)/2)*CM113+(1-EXP(-LN(2)/2))/(LN(2)/2)*CG114*CJ114*VLOOKUP('Données projet'!$B$12,Paramètres!$A$1:$I$89,3,0)*0.475*44/12</f>
        <v>2.9097062951565982E-12</v>
      </c>
      <c r="CN114" s="22">
        <f t="shared" si="66"/>
        <v>1.0181182645974283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256.66666666666669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1.4210854715202004E-13</v>
      </c>
      <c r="O115" s="13">
        <f>N115*VLOOKUP('Données projet'!$B$9,Paramètres!$A$1:$I$89,3,0)*VLOOKUP('Données projet'!$B$9,Paramètres!$A$1:$I$89,5,0)</f>
        <v>1.4853185348329134E-13</v>
      </c>
      <c r="P115" s="13">
        <f t="shared" si="87"/>
        <v>2.1309431512949395E-12</v>
      </c>
      <c r="Q115" s="20">
        <f t="shared" si="107"/>
        <v>3.9700856333220852E-12</v>
      </c>
      <c r="R115" s="59">
        <f t="shared" si="55"/>
        <v>293.33333333333729</v>
      </c>
      <c r="S115" s="59">
        <f ca="1">AVERAGE(OFFSET($R$3,0,0,'Données projet'!$E$9+1,1))-AVERAGE(OFFSET($H$3,0,0,'Données projet'!$E$9+1,1))</f>
        <v>241.84492910369795</v>
      </c>
      <c r="T115" s="59">
        <f t="shared" si="88"/>
        <v>338.04336767245667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1.1935348447764813</v>
      </c>
      <c r="AA115" s="21">
        <f>EXP(-LN(2)/25)*AA114+(1-EXP(-LN(2)/25))/(LN(2)/25)*Calculateur!V115*Calculateur!X115*VLOOKUP('Données projet'!$B$9,Paramètres!$A$1:$I$89,3,0)*0.475*44/12</f>
        <v>1.4305264354440044</v>
      </c>
      <c r="AB115" s="21">
        <f>EXP(-LN(2)/2)*AB114+(1-EXP(-LN(2)/2))/(LN(2)/2)*V115*Y115*VLOOKUP('Données projet'!$B$9,Paramètres!$A$1:$I$89,3,0)*0.475*44/12</f>
        <v>3.9316816167451351E-12</v>
      </c>
      <c r="AC115" s="22">
        <f t="shared" si="57"/>
        <v>2.6240612802244172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>
        <f>AI115*VLOOKUP('Données projet'!$B$10,Paramètres!$A$1:$I$89,3,0)*VLOOKUP('Données projet'!$B$10,Paramètres!$A$1:$I$89,5,0)</f>
        <v>0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370.12772664814923</v>
      </c>
      <c r="AO115" s="59">
        <f t="shared" si="90"/>
        <v>292.26503163353146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1.4742208578128817</v>
      </c>
      <c r="AV115" s="21">
        <f>EXP(-LN(2)/25)*AV114+(1-EXP(-LN(2)/25))/(LN(2)/25)*Calculateur!AQ115*Calculateur!AS115*VLOOKUP('Données projet'!$B$10,Paramètres!$A$1:$I$89,3,0)*0.475*44/12</f>
        <v>0.6839129326836586</v>
      </c>
      <c r="AW115" s="21">
        <f>EXP(-LN(2)/2)*AW114+(1-EXP(-LN(2)/2))/(LN(2)/2)*AQ115*AT115*VLOOKUP('Données projet'!$B$10,Paramètres!$A$1:$I$89,3,0)*0.475*44/12</f>
        <v>3.6028875482206743E-12</v>
      </c>
      <c r="AX115" s="21">
        <f t="shared" si="60"/>
        <v>2.1581337905001434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>
        <f>BD115*VLOOKUP('Données projet'!$B$11,Paramètres!$A$1:$I$89,3,0)*VLOOKUP('Données projet'!$B$11,Paramètres!$A$1:$I$89,5,0)</f>
        <v>0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475.01366239340246</v>
      </c>
      <c r="BJ115" s="59">
        <f t="shared" si="92"/>
        <v>322.81767004794284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1.7138617164302632</v>
      </c>
      <c r="BQ115" s="21">
        <f>EXP(-LN(2)/25)*BQ114+(1-EXP(-LN(2)/25))/(LN(2)/25)*Calculateur!BL115*Calculateur!BN115*VLOOKUP('Données projet'!$B$11,Paramètres!$A$1:$I$89,3,0)*0.475*44/12</f>
        <v>1.1469372220657377</v>
      </c>
      <c r="BR115" s="21">
        <f>EXP(-LN(2)/2)*BR114+(1-EXP(-LN(2)/2))/(LN(2)/2)*BL115*BO115*VLOOKUP('Données projet'!$B$11,Paramètres!$A$1:$I$89,3,0)*0.475*44/12</f>
        <v>4.6172807449654152E-12</v>
      </c>
      <c r="BS115" s="22">
        <f t="shared" si="63"/>
        <v>2.8607989385006181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-1.1368683772161603E-13</v>
      </c>
      <c r="BZ115" s="13">
        <f>BY115*VLOOKUP('Données projet'!$B$12,Paramètres!$A$1:$I$89,3,0)*VLOOKUP('Données projet'!$B$12,Paramètres!$A$1:$I$89,5,0)</f>
        <v>-7.626113074366004E-14</v>
      </c>
      <c r="CA115" s="13" t="e">
        <f t="shared" si="93"/>
        <v>#NUM!</v>
      </c>
      <c r="CB115" s="20" t="e">
        <f t="shared" si="64"/>
        <v>#NUM!</v>
      </c>
      <c r="CC115" s="59" t="e">
        <f t="shared" si="65"/>
        <v>#NUM!</v>
      </c>
      <c r="CD115" s="59">
        <f ca="1">AVERAGE(OFFSET($CC$3,0,0,'Données projet'!$E$12+1,1))-AVERAGE(OFFSET($H$3,0,0,'Données projet'!$E$12+1,1))</f>
        <v>254.8851926268614</v>
      </c>
      <c r="CE115" s="59">
        <f t="shared" si="94"/>
        <v>182.11500693273973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0.60034412730734821</v>
      </c>
      <c r="CL115" s="21">
        <f>EXP(-LN(2)/25)*CL114+(1-EXP(-LN(2)/25))/(LN(2)/25)*Calculateur!CG115*Calculateur!CI115*VLOOKUP('Données projet'!$B$12,Paramètres!$A$1:$I$89,3,0)*0.475*44/12</f>
        <v>0.39467058803616173</v>
      </c>
      <c r="CM115" s="21">
        <f>EXP(-LN(2)/2)*CM114+(1-EXP(-LN(2)/2))/(LN(2)/2)*CG115*CJ115*VLOOKUP('Données projet'!$B$12,Paramètres!$A$1:$I$89,3,0)*0.475*44/12</f>
        <v>2.0574730525664166E-12</v>
      </c>
      <c r="CN115" s="22">
        <f t="shared" si="66"/>
        <v>0.9950147153455674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256.66666666666669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1.4210854715202004E-13</v>
      </c>
      <c r="O116" s="13">
        <f>N116*VLOOKUP('Données projet'!$B$9,Paramètres!$A$1:$I$89,3,0)*VLOOKUP('Données projet'!$B$9,Paramètres!$A$1:$I$89,5,0)</f>
        <v>1.4853185348329134E-13</v>
      </c>
      <c r="P116" s="13">
        <f t="shared" si="87"/>
        <v>2.1309431512949395E-12</v>
      </c>
      <c r="Q116" s="20">
        <f t="shared" si="107"/>
        <v>3.9700856333220852E-12</v>
      </c>
      <c r="R116" s="59">
        <f t="shared" si="55"/>
        <v>293.33333333333729</v>
      </c>
      <c r="S116" s="59">
        <f ca="1">AVERAGE(OFFSET($R$3,0,0,'Données projet'!$E$9+1,1))-AVERAGE(OFFSET($H$3,0,0,'Données projet'!$E$9+1,1))</f>
        <v>241.84492910369795</v>
      </c>
      <c r="T116" s="59">
        <f t="shared" si="88"/>
        <v>338.04336767245667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1.1701303544547874</v>
      </c>
      <c r="AA116" s="21">
        <f>EXP(-LN(2)/25)*AA115+(1-EXP(-LN(2)/25))/(LN(2)/25)*Calculateur!V116*Calculateur!X116*VLOOKUP('Données projet'!$B$9,Paramètres!$A$1:$I$89,3,0)*0.475*44/12</f>
        <v>1.3914086148386724</v>
      </c>
      <c r="AB116" s="21">
        <f>EXP(-LN(2)/2)*AB115+(1-EXP(-LN(2)/2))/(LN(2)/2)*V116*Y116*VLOOKUP('Données projet'!$B$9,Paramètres!$A$1:$I$89,3,0)*0.475*44/12</f>
        <v>2.7801187326669737E-12</v>
      </c>
      <c r="AC116" s="22">
        <f t="shared" si="57"/>
        <v>2.5615389692962398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>
        <f>AI116*VLOOKUP('Données projet'!$B$10,Paramètres!$A$1:$I$89,3,0)*VLOOKUP('Données projet'!$B$10,Paramètres!$A$1:$I$89,5,0)</f>
        <v>0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370.12772664814923</v>
      </c>
      <c r="AO116" s="59">
        <f t="shared" si="90"/>
        <v>292.26503163353146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1.445312285977107</v>
      </c>
      <c r="AV116" s="21">
        <f>EXP(-LN(2)/25)*AV115+(1-EXP(-LN(2)/25))/(LN(2)/25)*Calculateur!AQ116*Calculateur!AS116*VLOOKUP('Données projet'!$B$10,Paramètres!$A$1:$I$89,3,0)*0.475*44/12</f>
        <v>0.66521129757400588</v>
      </c>
      <c r="AW116" s="21">
        <f>EXP(-LN(2)/2)*AW115+(1-EXP(-LN(2)/2))/(LN(2)/2)*AQ116*AT116*VLOOKUP('Données projet'!$B$10,Paramètres!$A$1:$I$89,3,0)*0.475*44/12</f>
        <v>2.5476262171994133E-12</v>
      </c>
      <c r="AX116" s="21">
        <f t="shared" si="60"/>
        <v>2.1105235835536607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>
        <f>BD116*VLOOKUP('Données projet'!$B$11,Paramètres!$A$1:$I$89,3,0)*VLOOKUP('Données projet'!$B$11,Paramètres!$A$1:$I$89,5,0)</f>
        <v>0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475.01366239340246</v>
      </c>
      <c r="BJ116" s="59">
        <f t="shared" si="92"/>
        <v>322.81767004794284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1.6802539335234927</v>
      </c>
      <c r="BQ116" s="21">
        <f>EXP(-LN(2)/25)*BQ115+(1-EXP(-LN(2)/25))/(LN(2)/25)*Calculateur!BL116*Calculateur!BN116*VLOOKUP('Données projet'!$B$11,Paramètres!$A$1:$I$89,3,0)*0.475*44/12</f>
        <v>1.115574163413543</v>
      </c>
      <c r="BR116" s="21">
        <f>EXP(-LN(2)/2)*BR115+(1-EXP(-LN(2)/2))/(LN(2)/2)*BL116*BO116*VLOOKUP('Données projet'!$B$11,Paramètres!$A$1:$I$89,3,0)*0.475*44/12</f>
        <v>3.264910525407119E-12</v>
      </c>
      <c r="BS116" s="22">
        <f t="shared" si="63"/>
        <v>2.7958280969403004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-1.1368683772161603E-13</v>
      </c>
      <c r="BZ116" s="13">
        <f>BY116*VLOOKUP('Données projet'!$B$12,Paramètres!$A$1:$I$89,3,0)*VLOOKUP('Données projet'!$B$12,Paramètres!$A$1:$I$89,5,0)</f>
        <v>-7.626113074366004E-14</v>
      </c>
      <c r="CA116" s="13" t="e">
        <f t="shared" si="93"/>
        <v>#NUM!</v>
      </c>
      <c r="CB116" s="20" t="e">
        <f t="shared" si="64"/>
        <v>#NUM!</v>
      </c>
      <c r="CC116" s="59" t="e">
        <f t="shared" si="65"/>
        <v>#NUM!</v>
      </c>
      <c r="CD116" s="59">
        <f ca="1">AVERAGE(OFFSET($CC$3,0,0,'Données projet'!$E$12+1,1))-AVERAGE(OFFSET($H$3,0,0,'Données projet'!$E$12+1,1))</f>
        <v>254.8851926268614</v>
      </c>
      <c r="CE116" s="59">
        <f t="shared" si="94"/>
        <v>182.11500693273973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0.58857174514461208</v>
      </c>
      <c r="CL116" s="21">
        <f>EXP(-LN(2)/25)*CL115+(1-EXP(-LN(2)/25))/(LN(2)/25)*Calculateur!CG116*Calculateur!CI116*VLOOKUP('Données projet'!$B$12,Paramètres!$A$1:$I$89,3,0)*0.475*44/12</f>
        <v>0.38387830005148871</v>
      </c>
      <c r="CM116" s="21">
        <f>EXP(-LN(2)/2)*CM115+(1-EXP(-LN(2)/2))/(LN(2)/2)*CG116*CJ116*VLOOKUP('Données projet'!$B$12,Paramètres!$A$1:$I$89,3,0)*0.475*44/12</f>
        <v>1.4548531475782991E-12</v>
      </c>
      <c r="CN116" s="22">
        <f t="shared" si="66"/>
        <v>0.97245004519755562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256.66666666666669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1.4210854715202004E-13</v>
      </c>
      <c r="O117" s="13">
        <f>N117*VLOOKUP('Données projet'!$B$9,Paramètres!$A$1:$I$89,3,0)*VLOOKUP('Données projet'!$B$9,Paramètres!$A$1:$I$89,5,0)</f>
        <v>1.4853185348329134E-13</v>
      </c>
      <c r="P117" s="13">
        <f t="shared" si="87"/>
        <v>2.1309431512949395E-12</v>
      </c>
      <c r="Q117" s="20">
        <f t="shared" si="107"/>
        <v>3.9700856333220852E-12</v>
      </c>
      <c r="R117" s="59">
        <f t="shared" si="55"/>
        <v>293.33333333333729</v>
      </c>
      <c r="S117" s="59">
        <f ca="1">AVERAGE(OFFSET($R$3,0,0,'Données projet'!$E$9+1,1))-AVERAGE(OFFSET($H$3,0,0,'Données projet'!$E$9+1,1))</f>
        <v>241.84492910369795</v>
      </c>
      <c r="T117" s="59">
        <f t="shared" si="88"/>
        <v>338.04336767245667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1.1471848119129724</v>
      </c>
      <c r="AA117" s="21">
        <f>EXP(-LN(2)/25)*AA116+(1-EXP(-LN(2)/25))/(LN(2)/25)*Calculateur!V117*Calculateur!X117*VLOOKUP('Données projet'!$B$9,Paramètres!$A$1:$I$89,3,0)*0.475*44/12</f>
        <v>1.35336047309491</v>
      </c>
      <c r="AB117" s="21">
        <f>EXP(-LN(2)/2)*AB116+(1-EXP(-LN(2)/2))/(LN(2)/2)*V117*Y117*VLOOKUP('Données projet'!$B$9,Paramètres!$A$1:$I$89,3,0)*0.475*44/12</f>
        <v>1.9658408083725676E-12</v>
      </c>
      <c r="AC117" s="22">
        <f t="shared" si="57"/>
        <v>2.5005452850098484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>
        <f>AI117*VLOOKUP('Données projet'!$B$10,Paramètres!$A$1:$I$89,3,0)*VLOOKUP('Données projet'!$B$10,Paramètres!$A$1:$I$89,5,0)</f>
        <v>0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370.12772664814923</v>
      </c>
      <c r="AO117" s="59">
        <f t="shared" si="90"/>
        <v>292.26503163353146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1.4169705936025443</v>
      </c>
      <c r="AV117" s="21">
        <f>EXP(-LN(2)/25)*AV116+(1-EXP(-LN(2)/25))/(LN(2)/25)*Calculateur!AQ117*Calculateur!AS117*VLOOKUP('Données projet'!$B$10,Paramètres!$A$1:$I$89,3,0)*0.475*44/12</f>
        <v>0.64702105965990286</v>
      </c>
      <c r="AW117" s="21">
        <f>EXP(-LN(2)/2)*AW116+(1-EXP(-LN(2)/2))/(LN(2)/2)*AQ117*AT117*VLOOKUP('Données projet'!$B$10,Paramètres!$A$1:$I$89,3,0)*0.475*44/12</f>
        <v>1.8014437741103376E-12</v>
      </c>
      <c r="AX117" s="21">
        <f t="shared" si="60"/>
        <v>2.0639916532642486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>
        <f>BD117*VLOOKUP('Données projet'!$B$11,Paramètres!$A$1:$I$89,3,0)*VLOOKUP('Données projet'!$B$11,Paramètres!$A$1:$I$89,5,0)</f>
        <v>0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475.01366239340246</v>
      </c>
      <c r="BJ117" s="59">
        <f t="shared" si="92"/>
        <v>322.81767004794284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1.6473051787408006</v>
      </c>
      <c r="BQ117" s="21">
        <f>EXP(-LN(2)/25)*BQ116+(1-EXP(-LN(2)/25))/(LN(2)/25)*Calculateur!BL117*Calculateur!BN117*VLOOKUP('Données projet'!$B$11,Paramètres!$A$1:$I$89,3,0)*0.475*44/12</f>
        <v>1.085068729249504</v>
      </c>
      <c r="BR117" s="21">
        <f>EXP(-LN(2)/2)*BR116+(1-EXP(-LN(2)/2))/(LN(2)/2)*BL117*BO117*VLOOKUP('Données projet'!$B$11,Paramètres!$A$1:$I$89,3,0)*0.475*44/12</f>
        <v>2.3086403724827076E-12</v>
      </c>
      <c r="BS117" s="22">
        <f t="shared" si="63"/>
        <v>2.7323739079926135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-1.1368683772161603E-13</v>
      </c>
      <c r="BZ117" s="13">
        <f>BY117*VLOOKUP('Données projet'!$B$12,Paramètres!$A$1:$I$89,3,0)*VLOOKUP('Données projet'!$B$12,Paramètres!$A$1:$I$89,5,0)</f>
        <v>-7.626113074366004E-14</v>
      </c>
      <c r="CA117" s="13" t="e">
        <f t="shared" si="93"/>
        <v>#NUM!</v>
      </c>
      <c r="CB117" s="20" t="e">
        <f t="shared" si="64"/>
        <v>#NUM!</v>
      </c>
      <c r="CC117" s="59" t="e">
        <f t="shared" si="65"/>
        <v>#NUM!</v>
      </c>
      <c r="CD117" s="59">
        <f ca="1">AVERAGE(OFFSET($CC$3,0,0,'Données projet'!$E$12+1,1))-AVERAGE(OFFSET($H$3,0,0,'Données projet'!$E$12+1,1))</f>
        <v>254.8851926268614</v>
      </c>
      <c r="CE117" s="59">
        <f t="shared" si="94"/>
        <v>182.11500693273973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0.5770302122156431</v>
      </c>
      <c r="CL117" s="21">
        <f>EXP(-LN(2)/25)*CL116+(1-EXP(-LN(2)/25))/(LN(2)/25)*Calculateur!CG117*Calculateur!CI117*VLOOKUP('Données projet'!$B$12,Paramètres!$A$1:$I$89,3,0)*0.475*44/12</f>
        <v>0.37338112774929832</v>
      </c>
      <c r="CM117" s="21">
        <f>EXP(-LN(2)/2)*CM116+(1-EXP(-LN(2)/2))/(LN(2)/2)*CG117*CJ117*VLOOKUP('Données projet'!$B$12,Paramètres!$A$1:$I$89,3,0)*0.475*44/12</f>
        <v>1.0287365262832083E-12</v>
      </c>
      <c r="CN117" s="22">
        <f t="shared" si="66"/>
        <v>0.95041133996597016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256.66666666666669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1.4210854715202004E-13</v>
      </c>
      <c r="O118" s="13">
        <f>N118*VLOOKUP('Données projet'!$B$9,Paramètres!$A$1:$I$89,3,0)*VLOOKUP('Données projet'!$B$9,Paramètres!$A$1:$I$89,5,0)</f>
        <v>1.4853185348329134E-13</v>
      </c>
      <c r="P118" s="13">
        <f t="shared" si="87"/>
        <v>2.1309431512949395E-12</v>
      </c>
      <c r="Q118" s="20">
        <f t="shared" si="107"/>
        <v>3.9700856333220852E-12</v>
      </c>
      <c r="R118" s="59">
        <f t="shared" si="55"/>
        <v>293.33333333333729</v>
      </c>
      <c r="S118" s="59">
        <f ca="1">AVERAGE(OFFSET($R$3,0,0,'Données projet'!$E$9+1,1))-AVERAGE(OFFSET($H$3,0,0,'Données projet'!$E$9+1,1))</f>
        <v>241.84492910369795</v>
      </c>
      <c r="T118" s="59">
        <f t="shared" si="88"/>
        <v>338.04336767245667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1.1246892174650034</v>
      </c>
      <c r="AA118" s="21">
        <f>EXP(-LN(2)/25)*AA117+(1-EXP(-LN(2)/25))/(LN(2)/25)*Calculateur!V118*Calculateur!X118*VLOOKUP('Données projet'!$B$9,Paramètres!$A$1:$I$89,3,0)*0.475*44/12</f>
        <v>1.3163527597879956</v>
      </c>
      <c r="AB118" s="21">
        <f>EXP(-LN(2)/2)*AB117+(1-EXP(-LN(2)/2))/(LN(2)/2)*V118*Y118*VLOOKUP('Données projet'!$B$9,Paramètres!$A$1:$I$89,3,0)*0.475*44/12</f>
        <v>1.3900593663334868E-12</v>
      </c>
      <c r="AC118" s="22">
        <f t="shared" si="57"/>
        <v>2.4410419772543888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>
        <f>AI118*VLOOKUP('Données projet'!$B$10,Paramètres!$A$1:$I$89,3,0)*VLOOKUP('Données projet'!$B$10,Paramètres!$A$1:$I$89,5,0)</f>
        <v>0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370.12772664814923</v>
      </c>
      <c r="AO118" s="59">
        <f t="shared" si="90"/>
        <v>292.26503163353146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1.3891846645287211</v>
      </c>
      <c r="AV118" s="21">
        <f>EXP(-LN(2)/25)*AV117+(1-EXP(-LN(2)/25))/(LN(2)/25)*Calculateur!AQ118*Calculateur!AS118*VLOOKUP('Données projet'!$B$10,Paramètres!$A$1:$I$89,3,0)*0.475*44/12</f>
        <v>0.62932823475814403</v>
      </c>
      <c r="AW118" s="21">
        <f>EXP(-LN(2)/2)*AW117+(1-EXP(-LN(2)/2))/(LN(2)/2)*AQ118*AT118*VLOOKUP('Données projet'!$B$10,Paramètres!$A$1:$I$89,3,0)*0.475*44/12</f>
        <v>1.2738131085997069E-12</v>
      </c>
      <c r="AX118" s="21">
        <f t="shared" si="60"/>
        <v>2.0185128992881389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>
        <f>BD118*VLOOKUP('Données projet'!$B$11,Paramètres!$A$1:$I$89,3,0)*VLOOKUP('Données projet'!$B$11,Paramètres!$A$1:$I$89,5,0)</f>
        <v>0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475.01366239340246</v>
      </c>
      <c r="BJ118" s="59">
        <f t="shared" si="92"/>
        <v>322.81767004794284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1.6150025289426411</v>
      </c>
      <c r="BQ118" s="21">
        <f>EXP(-LN(2)/25)*BQ117+(1-EXP(-LN(2)/25))/(LN(2)/25)*Calculateur!BL118*Calculateur!BN118*VLOOKUP('Données projet'!$B$11,Paramètres!$A$1:$I$89,3,0)*0.475*44/12</f>
        <v>1.0553974677868918</v>
      </c>
      <c r="BR118" s="21">
        <f>EXP(-LN(2)/2)*BR117+(1-EXP(-LN(2)/2))/(LN(2)/2)*BL118*BO118*VLOOKUP('Données projet'!$B$11,Paramètres!$A$1:$I$89,3,0)*0.475*44/12</f>
        <v>1.6324552627035595E-12</v>
      </c>
      <c r="BS118" s="22">
        <f t="shared" si="63"/>
        <v>2.6703999967311653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-1.1368683772161603E-13</v>
      </c>
      <c r="BZ118" s="13">
        <f>BY118*VLOOKUP('Données projet'!$B$12,Paramètres!$A$1:$I$89,3,0)*VLOOKUP('Données projet'!$B$12,Paramètres!$A$1:$I$89,5,0)</f>
        <v>-7.626113074366004E-14</v>
      </c>
      <c r="CA118" s="13" t="e">
        <f t="shared" si="93"/>
        <v>#NUM!</v>
      </c>
      <c r="CB118" s="20" t="e">
        <f t="shared" si="64"/>
        <v>#NUM!</v>
      </c>
      <c r="CC118" s="59" t="e">
        <f t="shared" si="65"/>
        <v>#NUM!</v>
      </c>
      <c r="CD118" s="59">
        <f ca="1">AVERAGE(OFFSET($CC$3,0,0,'Données projet'!$E$12+1,1))-AVERAGE(OFFSET($H$3,0,0,'Données projet'!$E$12+1,1))</f>
        <v>254.8851926268614</v>
      </c>
      <c r="CE118" s="59">
        <f t="shared" si="94"/>
        <v>182.11500693273973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0.56571500170777123</v>
      </c>
      <c r="CL118" s="21">
        <f>EXP(-LN(2)/25)*CL117+(1-EXP(-LN(2)/25))/(LN(2)/25)*Calculateur!CG118*Calculateur!CI118*VLOOKUP('Données projet'!$B$12,Paramètres!$A$1:$I$89,3,0)*0.475*44/12</f>
        <v>0.36317100117573364</v>
      </c>
      <c r="CM118" s="21">
        <f>EXP(-LN(2)/2)*CM117+(1-EXP(-LN(2)/2))/(LN(2)/2)*CG118*CJ118*VLOOKUP('Données projet'!$B$12,Paramètres!$A$1:$I$89,3,0)*0.475*44/12</f>
        <v>7.2742657378914956E-13</v>
      </c>
      <c r="CN118" s="22">
        <f t="shared" si="66"/>
        <v>0.92888600288423229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256.66666666666669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1.4210854715202004E-13</v>
      </c>
      <c r="O119" s="13">
        <f>N119*VLOOKUP('Données projet'!$B$9,Paramètres!$A$1:$I$89,3,0)*VLOOKUP('Données projet'!$B$9,Paramètres!$A$1:$I$89,5,0)</f>
        <v>1.4853185348329134E-13</v>
      </c>
      <c r="P119" s="13">
        <f t="shared" si="87"/>
        <v>2.1309431512949395E-12</v>
      </c>
      <c r="Q119" s="20">
        <f t="shared" si="107"/>
        <v>3.9700856333220852E-12</v>
      </c>
      <c r="R119" s="59">
        <f t="shared" si="55"/>
        <v>293.33333333333729</v>
      </c>
      <c r="S119" s="59">
        <f ca="1">AVERAGE(OFFSET($R$3,0,0,'Données projet'!$E$9+1,1))-AVERAGE(OFFSET($H$3,0,0,'Données projet'!$E$9+1,1))</f>
        <v>241.84492910369795</v>
      </c>
      <c r="T119" s="59">
        <f t="shared" si="88"/>
        <v>338.04336767245667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1.1026347479032013</v>
      </c>
      <c r="AA119" s="21">
        <f>EXP(-LN(2)/25)*AA118+(1-EXP(-LN(2)/25))/(LN(2)/25)*Calculateur!V119*Calculateur!X119*VLOOKUP('Données projet'!$B$9,Paramètres!$A$1:$I$89,3,0)*0.475*44/12</f>
        <v>1.2803570243476099</v>
      </c>
      <c r="AB119" s="21">
        <f>EXP(-LN(2)/2)*AB118+(1-EXP(-LN(2)/2))/(LN(2)/2)*V119*Y119*VLOOKUP('Données projet'!$B$9,Paramètres!$A$1:$I$89,3,0)*0.475*44/12</f>
        <v>9.8292040418628378E-13</v>
      </c>
      <c r="AC119" s="22">
        <f t="shared" si="57"/>
        <v>2.3829917722517941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>
        <f>AI119*VLOOKUP('Données projet'!$B$10,Paramètres!$A$1:$I$89,3,0)*VLOOKUP('Données projet'!$B$10,Paramètres!$A$1:$I$89,5,0)</f>
        <v>0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370.12772664814923</v>
      </c>
      <c r="AO119" s="59">
        <f t="shared" si="90"/>
        <v>292.26503163353146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1.3619436005762924</v>
      </c>
      <c r="AV119" s="21">
        <f>EXP(-LN(2)/25)*AV118+(1-EXP(-LN(2)/25))/(LN(2)/25)*Calculateur!AQ119*Calculateur!AS119*VLOOKUP('Données projet'!$B$10,Paramètres!$A$1:$I$89,3,0)*0.475*44/12</f>
        <v>0.61211922108374905</v>
      </c>
      <c r="AW119" s="21">
        <f>EXP(-LN(2)/2)*AW118+(1-EXP(-LN(2)/2))/(LN(2)/2)*AQ119*AT119*VLOOKUP('Données projet'!$B$10,Paramètres!$A$1:$I$89,3,0)*0.475*44/12</f>
        <v>9.0072188705516889E-13</v>
      </c>
      <c r="AX119" s="21">
        <f t="shared" si="60"/>
        <v>1.9740628216609419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>
        <f>BD119*VLOOKUP('Données projet'!$B$11,Paramètres!$A$1:$I$89,3,0)*VLOOKUP('Données projet'!$B$11,Paramètres!$A$1:$I$89,5,0)</f>
        <v>0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475.01366239340246</v>
      </c>
      <c r="BJ119" s="59">
        <f t="shared" si="92"/>
        <v>322.81767004794284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1.5833333144043524</v>
      </c>
      <c r="BQ119" s="21">
        <f>EXP(-LN(2)/25)*BQ118+(1-EXP(-LN(2)/25))/(LN(2)/25)*Calculateur!BL119*Calculateur!BN119*VLOOKUP('Données projet'!$B$11,Paramètres!$A$1:$I$89,3,0)*0.475*44/12</f>
        <v>1.0265375685293185</v>
      </c>
      <c r="BR119" s="21">
        <f>EXP(-LN(2)/2)*BR118+(1-EXP(-LN(2)/2))/(LN(2)/2)*BL119*BO119*VLOOKUP('Données projet'!$B$11,Paramètres!$A$1:$I$89,3,0)*0.475*44/12</f>
        <v>1.1543201862413538E-12</v>
      </c>
      <c r="BS119" s="22">
        <f t="shared" si="63"/>
        <v>2.6098708829348252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-1.1368683772161603E-13</v>
      </c>
      <c r="BZ119" s="13">
        <f>BY119*VLOOKUP('Données projet'!$B$12,Paramètres!$A$1:$I$89,3,0)*VLOOKUP('Données projet'!$B$12,Paramètres!$A$1:$I$89,5,0)</f>
        <v>-7.626113074366004E-14</v>
      </c>
      <c r="CA119" s="13" t="e">
        <f t="shared" si="93"/>
        <v>#NUM!</v>
      </c>
      <c r="CB119" s="20" t="e">
        <f t="shared" si="64"/>
        <v>#NUM!</v>
      </c>
      <c r="CC119" s="59" t="e">
        <f t="shared" si="65"/>
        <v>#NUM!</v>
      </c>
      <c r="CD119" s="59">
        <f ca="1">AVERAGE(OFFSET($CC$3,0,0,'Données projet'!$E$12+1,1))-AVERAGE(OFFSET($H$3,0,0,'Données projet'!$E$12+1,1))</f>
        <v>254.8851926268614</v>
      </c>
      <c r="CE119" s="59">
        <f t="shared" si="94"/>
        <v>182.11500693273973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0.55462167557636177</v>
      </c>
      <c r="CL119" s="21">
        <f>EXP(-LN(2)/25)*CL118+(1-EXP(-LN(2)/25))/(LN(2)/25)*Calculateur!CG119*Calculateur!CI119*VLOOKUP('Données projet'!$B$12,Paramètres!$A$1:$I$89,3,0)*0.475*44/12</f>
        <v>0.35324007105025029</v>
      </c>
      <c r="CM119" s="21">
        <f>EXP(-LN(2)/2)*CM118+(1-EXP(-LN(2)/2))/(LN(2)/2)*CG119*CJ119*VLOOKUP('Données projet'!$B$12,Paramètres!$A$1:$I$89,3,0)*0.475*44/12</f>
        <v>5.1436826314160414E-13</v>
      </c>
      <c r="CN119" s="22">
        <f t="shared" si="66"/>
        <v>0.90786174662712649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256.66666666666669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1.4210854715202004E-13</v>
      </c>
      <c r="O120" s="13">
        <f>N120*VLOOKUP('Données projet'!$B$9,Paramètres!$A$1:$I$89,3,0)*VLOOKUP('Données projet'!$B$9,Paramètres!$A$1:$I$89,5,0)</f>
        <v>1.4853185348329134E-13</v>
      </c>
      <c r="P120" s="13">
        <f t="shared" si="87"/>
        <v>2.1309431512949395E-12</v>
      </c>
      <c r="Q120" s="20">
        <f t="shared" si="107"/>
        <v>3.9700856333220852E-12</v>
      </c>
      <c r="R120" s="59">
        <f t="shared" si="55"/>
        <v>293.33333333333729</v>
      </c>
      <c r="S120" s="59">
        <f ca="1">AVERAGE(OFFSET($R$3,0,0,'Données projet'!$E$9+1,1))-AVERAGE(OFFSET($H$3,0,0,'Données projet'!$E$9+1,1))</f>
        <v>241.84492910369795</v>
      </c>
      <c r="T120" s="59">
        <f t="shared" si="88"/>
        <v>338.04336767245667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1.0810127530376079</v>
      </c>
      <c r="AA120" s="21">
        <f>EXP(-LN(2)/25)*AA119+(1-EXP(-LN(2)/25))/(LN(2)/25)*Calculateur!V120*Calculateur!X120*VLOOKUP('Données projet'!$B$9,Paramètres!$A$1:$I$89,3,0)*0.475*44/12</f>
        <v>1.245345594185775</v>
      </c>
      <c r="AB120" s="21">
        <f>EXP(-LN(2)/2)*AB119+(1-EXP(-LN(2)/2))/(LN(2)/2)*V120*Y120*VLOOKUP('Données projet'!$B$9,Paramètres!$A$1:$I$89,3,0)*0.475*44/12</f>
        <v>6.9502968316674342E-13</v>
      </c>
      <c r="AC120" s="22">
        <f t="shared" si="57"/>
        <v>2.3263583472240779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>
        <f>AI120*VLOOKUP('Données projet'!$B$10,Paramètres!$A$1:$I$89,3,0)*VLOOKUP('Données projet'!$B$10,Paramètres!$A$1:$I$89,5,0)</f>
        <v>0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370.12772664814923</v>
      </c>
      <c r="AO120" s="59">
        <f t="shared" si="90"/>
        <v>292.26503163353146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1.3352367172725625</v>
      </c>
      <c r="AV120" s="21">
        <f>EXP(-LN(2)/25)*AV119+(1-EXP(-LN(2)/25))/(LN(2)/25)*Calculateur!AQ120*Calculateur!AS120*VLOOKUP('Données projet'!$B$10,Paramètres!$A$1:$I$89,3,0)*0.475*44/12</f>
        <v>0.59538078879326317</v>
      </c>
      <c r="AW120" s="21">
        <f>EXP(-LN(2)/2)*AW119+(1-EXP(-LN(2)/2))/(LN(2)/2)*AQ120*AT120*VLOOKUP('Données projet'!$B$10,Paramètres!$A$1:$I$89,3,0)*0.475*44/12</f>
        <v>6.3690655429985354E-13</v>
      </c>
      <c r="AX120" s="21">
        <f t="shared" si="60"/>
        <v>1.9306175060664625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>
        <f>BD120*VLOOKUP('Données projet'!$B$11,Paramètres!$A$1:$I$89,3,0)*VLOOKUP('Données projet'!$B$11,Paramètres!$A$1:$I$89,5,0)</f>
        <v>0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475.01366239340246</v>
      </c>
      <c r="BJ120" s="59">
        <f t="shared" si="92"/>
        <v>322.81767004794284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1.5522851138468461</v>
      </c>
      <c r="BQ120" s="21">
        <f>EXP(-LN(2)/25)*BQ119+(1-EXP(-LN(2)/25))/(LN(2)/25)*Calculateur!BL120*Calculateur!BN120*VLOOKUP('Données projet'!$B$11,Paramètres!$A$1:$I$89,3,0)*0.475*44/12</f>
        <v>0.99846684473461977</v>
      </c>
      <c r="BR120" s="21">
        <f>EXP(-LN(2)/2)*BR119+(1-EXP(-LN(2)/2))/(LN(2)/2)*BL120*BO120*VLOOKUP('Données projet'!$B$11,Paramètres!$A$1:$I$89,3,0)*0.475*44/12</f>
        <v>8.1622763135177976E-13</v>
      </c>
      <c r="BS120" s="22">
        <f t="shared" si="63"/>
        <v>2.550751958582282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-1.1368683772161603E-13</v>
      </c>
      <c r="BZ120" s="13">
        <f>BY120*VLOOKUP('Données projet'!$B$12,Paramètres!$A$1:$I$89,3,0)*VLOOKUP('Données projet'!$B$12,Paramètres!$A$1:$I$89,5,0)</f>
        <v>-7.626113074366004E-14</v>
      </c>
      <c r="CA120" s="13" t="e">
        <f t="shared" si="93"/>
        <v>#NUM!</v>
      </c>
      <c r="CB120" s="20" t="e">
        <f t="shared" si="64"/>
        <v>#NUM!</v>
      </c>
      <c r="CC120" s="59" t="e">
        <f t="shared" si="65"/>
        <v>#NUM!</v>
      </c>
      <c r="CD120" s="59">
        <f ca="1">AVERAGE(OFFSET($CC$3,0,0,'Données projet'!$E$12+1,1))-AVERAGE(OFFSET($H$3,0,0,'Données projet'!$E$12+1,1))</f>
        <v>254.8851926268614</v>
      </c>
      <c r="CE120" s="59">
        <f t="shared" si="94"/>
        <v>182.11500693273973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0.5437458828041285</v>
      </c>
      <c r="CL120" s="21">
        <f>EXP(-LN(2)/25)*CL119+(1-EXP(-LN(2)/25))/(LN(2)/25)*Calculateur!CG120*Calculateur!CI120*VLOOKUP('Données projet'!$B$12,Paramètres!$A$1:$I$89,3,0)*0.475*44/12</f>
        <v>0.34358070273129321</v>
      </c>
      <c r="CM120" s="21">
        <f>EXP(-LN(2)/2)*CM119+(1-EXP(-LN(2)/2))/(LN(2)/2)*CG120*CJ120*VLOOKUP('Données projet'!$B$12,Paramètres!$A$1:$I$89,3,0)*0.475*44/12</f>
        <v>3.6371328689457478E-13</v>
      </c>
      <c r="CN120" s="22">
        <f t="shared" si="66"/>
        <v>0.88732658553578547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256.66666666666669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1.4210854715202004E-13</v>
      </c>
      <c r="O121" s="13">
        <f>N121*VLOOKUP('Données projet'!$B$9,Paramètres!$A$1:$I$89,3,0)*VLOOKUP('Données projet'!$B$9,Paramètres!$A$1:$I$89,5,0)</f>
        <v>1.4853185348329134E-13</v>
      </c>
      <c r="P121" s="13">
        <f t="shared" si="87"/>
        <v>2.1309431512949395E-12</v>
      </c>
      <c r="Q121" s="20">
        <f t="shared" si="107"/>
        <v>3.9700856333220852E-12</v>
      </c>
      <c r="R121" s="59">
        <f t="shared" si="55"/>
        <v>293.33333333333729</v>
      </c>
      <c r="S121" s="59">
        <f ca="1">AVERAGE(OFFSET($R$3,0,0,'Données projet'!$E$9+1,1))-AVERAGE(OFFSET($H$3,0,0,'Données projet'!$E$9+1,1))</f>
        <v>241.84492910369795</v>
      </c>
      <c r="T121" s="59">
        <f t="shared" si="88"/>
        <v>338.04336767245667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1.0598147523032142</v>
      </c>
      <c r="AA121" s="21">
        <f>EXP(-LN(2)/25)*AA120+(1-EXP(-LN(2)/25))/(LN(2)/25)*Calculateur!V121*Calculateur!X121*VLOOKUP('Données projet'!$B$9,Paramètres!$A$1:$I$89,3,0)*0.475*44/12</f>
        <v>1.2112915534228863</v>
      </c>
      <c r="AB121" s="21">
        <f>EXP(-LN(2)/2)*AB120+(1-EXP(-LN(2)/2))/(LN(2)/2)*V121*Y121*VLOOKUP('Données projet'!$B$9,Paramètres!$A$1:$I$89,3,0)*0.475*44/12</f>
        <v>4.9146020209314189E-13</v>
      </c>
      <c r="AC121" s="22">
        <f t="shared" si="57"/>
        <v>2.2711063057265921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>
        <f>AI121*VLOOKUP('Données projet'!$B$10,Paramètres!$A$1:$I$89,3,0)*VLOOKUP('Données projet'!$B$10,Paramètres!$A$1:$I$89,5,0)</f>
        <v>0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370.12772664814923</v>
      </c>
      <c r="AO121" s="59">
        <f t="shared" si="90"/>
        <v>292.26503163353146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1.3090535396608285</v>
      </c>
      <c r="AV121" s="21">
        <f>EXP(-LN(2)/25)*AV120+(1-EXP(-LN(2)/25))/(LN(2)/25)*Calculateur!AQ121*Calculateur!AS121*VLOOKUP('Données projet'!$B$10,Paramètres!$A$1:$I$89,3,0)*0.475*44/12</f>
        <v>0.57910006981399642</v>
      </c>
      <c r="AW121" s="21">
        <f>EXP(-LN(2)/2)*AW120+(1-EXP(-LN(2)/2))/(LN(2)/2)*AQ121*AT121*VLOOKUP('Données projet'!$B$10,Paramètres!$A$1:$I$89,3,0)*0.475*44/12</f>
        <v>4.5036094352758449E-13</v>
      </c>
      <c r="AX121" s="21">
        <f t="shared" si="60"/>
        <v>1.8881536094752751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>
        <f>BD121*VLOOKUP('Données projet'!$B$11,Paramètres!$A$1:$I$89,3,0)*VLOOKUP('Données projet'!$B$11,Paramètres!$A$1:$I$89,5,0)</f>
        <v>0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475.01366239340246</v>
      </c>
      <c r="BJ121" s="59">
        <f t="shared" si="92"/>
        <v>322.81767004794284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1.5218457495647402</v>
      </c>
      <c r="BQ121" s="21">
        <f>EXP(-LN(2)/25)*BQ120+(1-EXP(-LN(2)/25))/(LN(2)/25)*Calculateur!BL121*Calculateur!BN121*VLOOKUP('Données projet'!$B$11,Paramètres!$A$1:$I$89,3,0)*0.475*44/12</f>
        <v>0.97116371635826226</v>
      </c>
      <c r="BR121" s="21">
        <f>EXP(-LN(2)/2)*BR120+(1-EXP(-LN(2)/2))/(LN(2)/2)*BL121*BO121*VLOOKUP('Données projet'!$B$11,Paramètres!$A$1:$I$89,3,0)*0.475*44/12</f>
        <v>5.771600931206769E-13</v>
      </c>
      <c r="BS121" s="22">
        <f t="shared" si="63"/>
        <v>2.4930094659235795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-1.1368683772161603E-13</v>
      </c>
      <c r="BZ121" s="13">
        <f>BY121*VLOOKUP('Données projet'!$B$12,Paramètres!$A$1:$I$89,3,0)*VLOOKUP('Données projet'!$B$12,Paramètres!$A$1:$I$89,5,0)</f>
        <v>-7.626113074366004E-14</v>
      </c>
      <c r="CA121" s="13" t="e">
        <f t="shared" si="93"/>
        <v>#NUM!</v>
      </c>
      <c r="CB121" s="20" t="e">
        <f t="shared" si="64"/>
        <v>#NUM!</v>
      </c>
      <c r="CC121" s="59" t="e">
        <f t="shared" si="65"/>
        <v>#NUM!</v>
      </c>
      <c r="CD121" s="59">
        <f ca="1">AVERAGE(OFFSET($CC$3,0,0,'Données projet'!$E$12+1,1))-AVERAGE(OFFSET($H$3,0,0,'Données projet'!$E$12+1,1))</f>
        <v>254.8851926268614</v>
      </c>
      <c r="CE121" s="59">
        <f t="shared" si="94"/>
        <v>182.11500693273973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0.53308335769458015</v>
      </c>
      <c r="CL121" s="21">
        <f>EXP(-LN(2)/25)*CL120+(1-EXP(-LN(2)/25))/(LN(2)/25)*Calculateur!CG121*Calculateur!CI121*VLOOKUP('Données projet'!$B$12,Paramètres!$A$1:$I$89,3,0)*0.475*44/12</f>
        <v>0.33418547034698209</v>
      </c>
      <c r="CM121" s="21">
        <f>EXP(-LN(2)/2)*CM120+(1-EXP(-LN(2)/2))/(LN(2)/2)*CG121*CJ121*VLOOKUP('Données projet'!$B$12,Paramètres!$A$1:$I$89,3,0)*0.475*44/12</f>
        <v>2.5718413157080207E-13</v>
      </c>
      <c r="CN121" s="22">
        <f t="shared" si="66"/>
        <v>0.86726882804181948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256.66666666666669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1.4210854715202004E-13</v>
      </c>
      <c r="O122" s="13">
        <f>N122*VLOOKUP('Données projet'!$B$9,Paramètres!$A$1:$I$89,3,0)*VLOOKUP('Données projet'!$B$9,Paramètres!$A$1:$I$89,5,0)</f>
        <v>1.4853185348329134E-13</v>
      </c>
      <c r="P122" s="13">
        <f t="shared" si="87"/>
        <v>2.1309431512949395E-12</v>
      </c>
      <c r="Q122" s="20">
        <f t="shared" si="107"/>
        <v>3.9700856333220852E-12</v>
      </c>
      <c r="R122" s="59">
        <f t="shared" si="55"/>
        <v>293.33333333333729</v>
      </c>
      <c r="S122" s="59">
        <f ca="1">AVERAGE(OFFSET($R$3,0,0,'Données projet'!$E$9+1,1))-AVERAGE(OFFSET($H$3,0,0,'Données projet'!$E$9+1,1))</f>
        <v>241.84492910369795</v>
      </c>
      <c r="T122" s="59">
        <f t="shared" si="88"/>
        <v>338.04336767245667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1.039032431433718</v>
      </c>
      <c r="AA122" s="21">
        <f>EXP(-LN(2)/25)*AA121+(1-EXP(-LN(2)/25))/(LN(2)/25)*Calculateur!V122*Calculateur!X122*VLOOKUP('Données projet'!$B$9,Paramètres!$A$1:$I$89,3,0)*0.475*44/12</f>
        <v>1.1781687221954831</v>
      </c>
      <c r="AB122" s="21">
        <f>EXP(-LN(2)/2)*AB121+(1-EXP(-LN(2)/2))/(LN(2)/2)*V122*Y122*VLOOKUP('Données projet'!$B$9,Paramètres!$A$1:$I$89,3,0)*0.475*44/12</f>
        <v>3.4751484158337171E-13</v>
      </c>
      <c r="AC122" s="22">
        <f t="shared" si="57"/>
        <v>2.2172011536295488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>
        <f>AI122*VLOOKUP('Données projet'!$B$10,Paramètres!$A$1:$I$89,3,0)*VLOOKUP('Données projet'!$B$10,Paramètres!$A$1:$I$89,5,0)</f>
        <v>0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370.12772664814923</v>
      </c>
      <c r="AO122" s="59">
        <f t="shared" si="90"/>
        <v>292.26503163353146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1.283383798191899</v>
      </c>
      <c r="AV122" s="21">
        <f>EXP(-LN(2)/25)*AV121+(1-EXP(-LN(2)/25))/(LN(2)/25)*Calculateur!AQ122*Calculateur!AS122*VLOOKUP('Données projet'!$B$10,Paramètres!$A$1:$I$89,3,0)*0.475*44/12</f>
        <v>0.56326454795138359</v>
      </c>
      <c r="AW122" s="21">
        <f>EXP(-LN(2)/2)*AW121+(1-EXP(-LN(2)/2))/(LN(2)/2)*AQ122*AT122*VLOOKUP('Données projet'!$B$10,Paramètres!$A$1:$I$89,3,0)*0.475*44/12</f>
        <v>3.1845327714992682E-13</v>
      </c>
      <c r="AX122" s="21">
        <f t="shared" si="60"/>
        <v>1.846648346143601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>
        <f>BD122*VLOOKUP('Données projet'!$B$11,Paramètres!$A$1:$I$89,3,0)*VLOOKUP('Données projet'!$B$11,Paramètres!$A$1:$I$89,5,0)</f>
        <v>0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475.01366239340246</v>
      </c>
      <c r="BJ122" s="59">
        <f t="shared" si="92"/>
        <v>322.81767004794284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1.4920032826500274</v>
      </c>
      <c r="BQ122" s="21">
        <f>EXP(-LN(2)/25)*BQ121+(1-EXP(-LN(2)/25))/(LN(2)/25)*Calculateur!BL122*Calculateur!BN122*VLOOKUP('Données projet'!$B$11,Paramètres!$A$1:$I$89,3,0)*0.475*44/12</f>
        <v>0.94460719346316535</v>
      </c>
      <c r="BR122" s="21">
        <f>EXP(-LN(2)/2)*BR121+(1-EXP(-LN(2)/2))/(LN(2)/2)*BL122*BO122*VLOOKUP('Données projet'!$B$11,Paramètres!$A$1:$I$89,3,0)*0.475*44/12</f>
        <v>4.0811381567588988E-13</v>
      </c>
      <c r="BS122" s="22">
        <f t="shared" si="63"/>
        <v>2.4366104761136009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-1.1368683772161603E-13</v>
      </c>
      <c r="BZ122" s="13">
        <f>BY122*VLOOKUP('Données projet'!$B$12,Paramètres!$A$1:$I$89,3,0)*VLOOKUP('Données projet'!$B$12,Paramètres!$A$1:$I$89,5,0)</f>
        <v>-7.626113074366004E-14</v>
      </c>
      <c r="CA122" s="13" t="e">
        <f t="shared" si="93"/>
        <v>#NUM!</v>
      </c>
      <c r="CB122" s="20" t="e">
        <f t="shared" si="64"/>
        <v>#NUM!</v>
      </c>
      <c r="CC122" s="59" t="e">
        <f t="shared" si="65"/>
        <v>#NUM!</v>
      </c>
      <c r="CD122" s="59">
        <f ca="1">AVERAGE(OFFSET($CC$3,0,0,'Données projet'!$E$12+1,1))-AVERAGE(OFFSET($H$3,0,0,'Données projet'!$E$12+1,1))</f>
        <v>254.8851926268614</v>
      </c>
      <c r="CE122" s="59">
        <f t="shared" si="94"/>
        <v>182.11500693273973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0.5226299181989319</v>
      </c>
      <c r="CL122" s="21">
        <f>EXP(-LN(2)/25)*CL121+(1-EXP(-LN(2)/25))/(LN(2)/25)*Calculateur!CG122*Calculateur!CI122*VLOOKUP('Données projet'!$B$12,Paramètres!$A$1:$I$89,3,0)*0.475*44/12</f>
        <v>0.32504715108629378</v>
      </c>
      <c r="CM122" s="21">
        <f>EXP(-LN(2)/2)*CM121+(1-EXP(-LN(2)/2))/(LN(2)/2)*CG122*CJ122*VLOOKUP('Données projet'!$B$12,Paramètres!$A$1:$I$89,3,0)*0.475*44/12</f>
        <v>1.8185664344728739E-13</v>
      </c>
      <c r="CN122" s="22">
        <f t="shared" si="66"/>
        <v>0.84767706928540754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256.66666666666669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1.4210854715202004E-13</v>
      </c>
      <c r="O123" s="13">
        <f>N123*VLOOKUP('Données projet'!$B$9,Paramètres!$A$1:$I$89,3,0)*VLOOKUP('Données projet'!$B$9,Paramètres!$A$1:$I$89,5,0)</f>
        <v>1.4853185348329134E-13</v>
      </c>
      <c r="P123" s="13">
        <f t="shared" si="87"/>
        <v>2.1309431512949395E-12</v>
      </c>
      <c r="Q123" s="20">
        <f t="shared" si="107"/>
        <v>3.9700856333220852E-12</v>
      </c>
      <c r="R123" s="59">
        <f t="shared" si="55"/>
        <v>293.33333333333729</v>
      </c>
      <c r="S123" s="59">
        <f ca="1">AVERAGE(OFFSET($R$3,0,0,'Données projet'!$E$9+1,1))-AVERAGE(OFFSET($H$3,0,0,'Données projet'!$E$9+1,1))</f>
        <v>241.84492910369795</v>
      </c>
      <c r="T123" s="59">
        <f t="shared" si="88"/>
        <v>338.04336767245667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1.0186576392005087</v>
      </c>
      <c r="AA123" s="21">
        <f>EXP(-LN(2)/25)*AA122+(1-EXP(-LN(2)/25))/(LN(2)/25)*Calculateur!V123*Calculateur!X123*VLOOKUP('Données projet'!$B$9,Paramètres!$A$1:$I$89,3,0)*0.475*44/12</f>
        <v>1.1459516365298472</v>
      </c>
      <c r="AB123" s="21">
        <f>EXP(-LN(2)/2)*AB122+(1-EXP(-LN(2)/2))/(LN(2)/2)*V123*Y123*VLOOKUP('Données projet'!$B$9,Paramètres!$A$1:$I$89,3,0)*0.475*44/12</f>
        <v>2.4573010104657094E-13</v>
      </c>
      <c r="AC123" s="22">
        <f t="shared" si="57"/>
        <v>2.1646092757306015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>
        <f>AI123*VLOOKUP('Données projet'!$B$10,Paramètres!$A$1:$I$89,3,0)*VLOOKUP('Données projet'!$B$10,Paramètres!$A$1:$I$89,5,0)</f>
        <v>0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370.12772664814923</v>
      </c>
      <c r="AO123" s="59">
        <f t="shared" si="90"/>
        <v>292.26503163353146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1.258217424696179</v>
      </c>
      <c r="AV123" s="21">
        <f>EXP(-LN(2)/25)*AV122+(1-EXP(-LN(2)/25))/(LN(2)/25)*Calculateur!AQ123*Calculateur!AS123*VLOOKUP('Données projet'!$B$10,Paramètres!$A$1:$I$89,3,0)*0.475*44/12</f>
        <v>0.54786204926685778</v>
      </c>
      <c r="AW123" s="21">
        <f>EXP(-LN(2)/2)*AW122+(1-EXP(-LN(2)/2))/(LN(2)/2)*AQ123*AT123*VLOOKUP('Données projet'!$B$10,Paramètres!$A$1:$I$89,3,0)*0.475*44/12</f>
        <v>2.251804717637923E-13</v>
      </c>
      <c r="AX123" s="21">
        <f t="shared" si="60"/>
        <v>1.806079473963262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>
        <f>BD123*VLOOKUP('Données projet'!$B$11,Paramètres!$A$1:$I$89,3,0)*VLOOKUP('Données projet'!$B$11,Paramètres!$A$1:$I$89,5,0)</f>
        <v>0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475.01366239340246</v>
      </c>
      <c r="BJ123" s="59">
        <f t="shared" si="92"/>
        <v>322.81767004794284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1.4627460083094046</v>
      </c>
      <c r="BQ123" s="21">
        <f>EXP(-LN(2)/25)*BQ122+(1-EXP(-LN(2)/25))/(LN(2)/25)*Calculateur!BL123*Calculateur!BN123*VLOOKUP('Données projet'!$B$11,Paramètres!$A$1:$I$89,3,0)*0.475*44/12</f>
        <v>0.91877686008318171</v>
      </c>
      <c r="BR123" s="21">
        <f>EXP(-LN(2)/2)*BR122+(1-EXP(-LN(2)/2))/(LN(2)/2)*BL123*BO123*VLOOKUP('Données projet'!$B$11,Paramètres!$A$1:$I$89,3,0)*0.475*44/12</f>
        <v>2.8858004656033845E-13</v>
      </c>
      <c r="BS123" s="22">
        <f t="shared" si="63"/>
        <v>2.3815228683928749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-1.1368683772161603E-13</v>
      </c>
      <c r="BZ123" s="13">
        <f>BY123*VLOOKUP('Données projet'!$B$12,Paramètres!$A$1:$I$89,3,0)*VLOOKUP('Données projet'!$B$12,Paramètres!$A$1:$I$89,5,0)</f>
        <v>-7.626113074366004E-14</v>
      </c>
      <c r="CA123" s="13" t="e">
        <f t="shared" si="93"/>
        <v>#NUM!</v>
      </c>
      <c r="CB123" s="20" t="e">
        <f t="shared" si="64"/>
        <v>#NUM!</v>
      </c>
      <c r="CC123" s="59" t="e">
        <f t="shared" si="65"/>
        <v>#NUM!</v>
      </c>
      <c r="CD123" s="59">
        <f ca="1">AVERAGE(OFFSET($CC$3,0,0,'Données projet'!$E$12+1,1))-AVERAGE(OFFSET($H$3,0,0,'Données projet'!$E$12+1,1))</f>
        <v>254.8851926268614</v>
      </c>
      <c r="CE123" s="59">
        <f t="shared" si="94"/>
        <v>182.11500693273973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0.51238146427582476</v>
      </c>
      <c r="CL123" s="21">
        <f>EXP(-LN(2)/25)*CL122+(1-EXP(-LN(2)/25))/(LN(2)/25)*Calculateur!CG123*Calculateur!CI123*VLOOKUP('Données projet'!$B$12,Paramètres!$A$1:$I$89,3,0)*0.475*44/12</f>
        <v>0.31615871964635234</v>
      </c>
      <c r="CM123" s="21">
        <f>EXP(-LN(2)/2)*CM122+(1-EXP(-LN(2)/2))/(LN(2)/2)*CG123*CJ123*VLOOKUP('Données projet'!$B$12,Paramètres!$A$1:$I$89,3,0)*0.475*44/12</f>
        <v>1.2859206578540104E-13</v>
      </c>
      <c r="CN123" s="22">
        <f t="shared" si="66"/>
        <v>0.82854018392230566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256.66666666666669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1.4210854715202004E-13</v>
      </c>
      <c r="O124" s="13">
        <f>N124*VLOOKUP('Données projet'!$B$9,Paramètres!$A$1:$I$89,3,0)*VLOOKUP('Données projet'!$B$9,Paramètres!$A$1:$I$89,5,0)</f>
        <v>1.4853185348329134E-13</v>
      </c>
      <c r="P124" s="13">
        <f t="shared" si="87"/>
        <v>2.1309431512949395E-12</v>
      </c>
      <c r="Q124" s="20">
        <f t="shared" si="107"/>
        <v>3.9700856333220852E-12</v>
      </c>
      <c r="R124" s="59">
        <f t="shared" si="55"/>
        <v>293.33333333333729</v>
      </c>
      <c r="S124" s="59">
        <f ca="1">AVERAGE(OFFSET($R$3,0,0,'Données projet'!$E$9+1,1))-AVERAGE(OFFSET($H$3,0,0,'Données projet'!$E$9+1,1))</f>
        <v>241.84492910369795</v>
      </c>
      <c r="T124" s="59">
        <f t="shared" si="88"/>
        <v>338.04336767245667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0.99868238421559641</v>
      </c>
      <c r="AA124" s="21">
        <f>EXP(-LN(2)/25)*AA123+(1-EXP(-LN(2)/25))/(LN(2)/25)*Calculateur!V124*Calculateur!X124*VLOOKUP('Données projet'!$B$9,Paramètres!$A$1:$I$89,3,0)*0.475*44/12</f>
        <v>1.1146155287659611</v>
      </c>
      <c r="AB124" s="21">
        <f>EXP(-LN(2)/2)*AB123+(1-EXP(-LN(2)/2))/(LN(2)/2)*V124*Y124*VLOOKUP('Données projet'!$B$9,Paramètres!$A$1:$I$89,3,0)*0.475*44/12</f>
        <v>1.7375742079168585E-13</v>
      </c>
      <c r="AC124" s="22">
        <f t="shared" si="57"/>
        <v>2.1132979129817313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>
        <f>AI124*VLOOKUP('Données projet'!$B$10,Paramètres!$A$1:$I$89,3,0)*VLOOKUP('Données projet'!$B$10,Paramètres!$A$1:$I$89,5,0)</f>
        <v>0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370.12772664814923</v>
      </c>
      <c r="AO124" s="59">
        <f t="shared" si="90"/>
        <v>292.26503163353146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1.233544548434738</v>
      </c>
      <c r="AV124" s="21">
        <f>EXP(-LN(2)/25)*AV123+(1-EXP(-LN(2)/25))/(LN(2)/25)*Calculateur!AQ124*Calculateur!AS124*VLOOKUP('Données projet'!$B$10,Paramètres!$A$1:$I$89,3,0)*0.475*44/12</f>
        <v>0.53288073271884251</v>
      </c>
      <c r="AW124" s="21">
        <f>EXP(-LN(2)/2)*AW123+(1-EXP(-LN(2)/2))/(LN(2)/2)*AQ124*AT124*VLOOKUP('Données projet'!$B$10,Paramètres!$A$1:$I$89,3,0)*0.475*44/12</f>
        <v>1.5922663857496344E-13</v>
      </c>
      <c r="AX124" s="21">
        <f t="shared" si="60"/>
        <v>1.7664252811537398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>
        <f>BD124*VLOOKUP('Données projet'!$B$11,Paramètres!$A$1:$I$89,3,0)*VLOOKUP('Données projet'!$B$11,Paramètres!$A$1:$I$89,5,0)</f>
        <v>0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475.01366239340246</v>
      </c>
      <c r="BJ124" s="59">
        <f t="shared" si="92"/>
        <v>322.81767004794284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1.4340624512734261</v>
      </c>
      <c r="BQ124" s="21">
        <f>EXP(-LN(2)/25)*BQ123+(1-EXP(-LN(2)/25))/(LN(2)/25)*Calculateur!BL124*Calculateur!BN124*VLOOKUP('Données projet'!$B$11,Paramètres!$A$1:$I$89,3,0)*0.475*44/12</f>
        <v>0.89365285852783194</v>
      </c>
      <c r="BR124" s="21">
        <f>EXP(-LN(2)/2)*BR123+(1-EXP(-LN(2)/2))/(LN(2)/2)*BL124*BO124*VLOOKUP('Données projet'!$B$11,Paramètres!$A$1:$I$89,3,0)*0.475*44/12</f>
        <v>2.0405690783794494E-13</v>
      </c>
      <c r="BS124" s="22">
        <f t="shared" si="63"/>
        <v>2.3277153098014618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-1.1368683772161603E-13</v>
      </c>
      <c r="BZ124" s="13">
        <f>BY124*VLOOKUP('Données projet'!$B$12,Paramètres!$A$1:$I$89,3,0)*VLOOKUP('Données projet'!$B$12,Paramètres!$A$1:$I$89,5,0)</f>
        <v>-7.626113074366004E-14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254.8851926268614</v>
      </c>
      <c r="CE124" s="59">
        <f t="shared" si="94"/>
        <v>182.11500693273973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0.50233397628321008</v>
      </c>
      <c r="CL124" s="21">
        <f>EXP(-LN(2)/25)*CL123+(1-EXP(-LN(2)/25))/(LN(2)/25)*Calculateur!CG124*Calculateur!CI124*VLOOKUP('Données projet'!$B$12,Paramètres!$A$1:$I$89,3,0)*0.475*44/12</f>
        <v>0.30751334283155835</v>
      </c>
      <c r="CM124" s="21">
        <f>EXP(-LN(2)/2)*CM123+(1-EXP(-LN(2)/2))/(LN(2)/2)*CG124*CJ124*VLOOKUP('Données projet'!$B$12,Paramètres!$A$1:$I$89,3,0)*0.475*44/12</f>
        <v>9.0928321723643695E-14</v>
      </c>
      <c r="CN124" s="22">
        <f t="shared" si="66"/>
        <v>0.8098473191148593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256.66666666666669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1.4210854715202004E-13</v>
      </c>
      <c r="O125" s="13">
        <f>N125*VLOOKUP('Données projet'!$B$9,Paramètres!$A$1:$I$89,3,0)*VLOOKUP('Données projet'!$B$9,Paramètres!$A$1:$I$89,5,0)</f>
        <v>1.4853185348329134E-13</v>
      </c>
      <c r="P125" s="13">
        <f t="shared" si="87"/>
        <v>2.1309431512949395E-12</v>
      </c>
      <c r="Q125" s="20">
        <f t="shared" si="107"/>
        <v>3.9700856333220852E-12</v>
      </c>
      <c r="R125" s="59">
        <f t="shared" si="55"/>
        <v>293.33333333333729</v>
      </c>
      <c r="S125" s="59">
        <f ca="1">AVERAGE(OFFSET($R$3,0,0,'Données projet'!$E$9+1,1))-AVERAGE(OFFSET($H$3,0,0,'Données projet'!$E$9+1,1))</f>
        <v>241.84492910369795</v>
      </c>
      <c r="T125" s="59">
        <f t="shared" si="88"/>
        <v>338.04336767245667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0.97909883179723578</v>
      </c>
      <c r="AA125" s="21">
        <f>EXP(-LN(2)/25)*AA124+(1-EXP(-LN(2)/25))/(LN(2)/25)*Calculateur!V125*Calculateur!X125*VLOOKUP('Données projet'!$B$9,Paramètres!$A$1:$I$89,3,0)*0.475*44/12</f>
        <v>1.0841363085167728</v>
      </c>
      <c r="AB125" s="21">
        <f>EXP(-LN(2)/2)*AB124+(1-EXP(-LN(2)/2))/(LN(2)/2)*V125*Y125*VLOOKUP('Données projet'!$B$9,Paramètres!$A$1:$I$89,3,0)*0.475*44/12</f>
        <v>1.2286505052328547E-13</v>
      </c>
      <c r="AC125" s="22">
        <f t="shared" si="57"/>
        <v>2.0632351403141316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>
        <f>AI125*VLOOKUP('Données projet'!$B$10,Paramètres!$A$1:$I$89,3,0)*VLOOKUP('Données projet'!$B$10,Paramètres!$A$1:$I$89,5,0)</f>
        <v>0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370.12772664814923</v>
      </c>
      <c r="AO125" s="59">
        <f t="shared" si="90"/>
        <v>292.26503163353146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1.2093554922278151</v>
      </c>
      <c r="AV125" s="21">
        <f>EXP(-LN(2)/25)*AV124+(1-EXP(-LN(2)/25))/(LN(2)/25)*Calculateur!AQ125*Calculateur!AS125*VLOOKUP('Données projet'!$B$10,Paramètres!$A$1:$I$89,3,0)*0.475*44/12</f>
        <v>0.51830908105966589</v>
      </c>
      <c r="AW125" s="21">
        <f>EXP(-LN(2)/2)*AW124+(1-EXP(-LN(2)/2))/(LN(2)/2)*AQ125*AT125*VLOOKUP('Données projet'!$B$10,Paramètres!$A$1:$I$89,3,0)*0.475*44/12</f>
        <v>1.1259023588189616E-13</v>
      </c>
      <c r="AX125" s="21">
        <f t="shared" si="60"/>
        <v>1.7276645732875935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>
        <f>BD125*VLOOKUP('Données projet'!$B$11,Paramètres!$A$1:$I$89,3,0)*VLOOKUP('Données projet'!$B$11,Paramètres!$A$1:$I$89,5,0)</f>
        <v>0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475.01366239340246</v>
      </c>
      <c r="BJ125" s="59">
        <f t="shared" si="92"/>
        <v>322.81767004794284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1.4059413612956808</v>
      </c>
      <c r="BQ125" s="21">
        <f>EXP(-LN(2)/25)*BQ124+(1-EXP(-LN(2)/25))/(LN(2)/25)*Calculateur!BL125*Calculateur!BN125*VLOOKUP('Données projet'!$B$11,Paramètres!$A$1:$I$89,3,0)*0.475*44/12</f>
        <v>0.86921587411622703</v>
      </c>
      <c r="BR125" s="21">
        <f>EXP(-LN(2)/2)*BR124+(1-EXP(-LN(2)/2))/(LN(2)/2)*BL125*BO125*VLOOKUP('Données projet'!$B$11,Paramètres!$A$1:$I$89,3,0)*0.475*44/12</f>
        <v>1.4429002328016923E-13</v>
      </c>
      <c r="BS125" s="22">
        <f t="shared" si="63"/>
        <v>2.2751572354120522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-1.1368683772161603E-13</v>
      </c>
      <c r="BZ125" s="13">
        <f>BY125*VLOOKUP('Données projet'!$B$12,Paramètres!$A$1:$I$89,3,0)*VLOOKUP('Données projet'!$B$12,Paramètres!$A$1:$I$89,5,0)</f>
        <v>-7.626113074366004E-14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254.8851926268614</v>
      </c>
      <c r="CE125" s="59">
        <f t="shared" si="94"/>
        <v>182.11500693273973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0.49248351340176805</v>
      </c>
      <c r="CL125" s="21">
        <f>EXP(-LN(2)/25)*CL124+(1-EXP(-LN(2)/25))/(LN(2)/25)*Calculateur!CG125*Calculateur!CI125*VLOOKUP('Données projet'!$B$12,Paramètres!$A$1:$I$89,3,0)*0.475*44/12</f>
        <v>0.29910437430040554</v>
      </c>
      <c r="CM125" s="21">
        <f>EXP(-LN(2)/2)*CM124+(1-EXP(-LN(2)/2))/(LN(2)/2)*CG125*CJ125*VLOOKUP('Données projet'!$B$12,Paramètres!$A$1:$I$89,3,0)*0.475*44/12</f>
        <v>6.4296032892700518E-14</v>
      </c>
      <c r="CN125" s="22">
        <f t="shared" si="66"/>
        <v>0.79158788770223787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256.66666666666669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1.4210854715202004E-13</v>
      </c>
      <c r="O126" s="13">
        <f>N126*VLOOKUP('Données projet'!$B$9,Paramètres!$A$1:$I$89,3,0)*VLOOKUP('Données projet'!$B$9,Paramètres!$A$1:$I$89,5,0)</f>
        <v>1.4853185348329134E-13</v>
      </c>
      <c r="P126" s="13">
        <f t="shared" si="87"/>
        <v>2.1309431512949395E-12</v>
      </c>
      <c r="Q126" s="20">
        <f t="shared" si="107"/>
        <v>3.9700856333220852E-12</v>
      </c>
      <c r="R126" s="59">
        <f t="shared" si="55"/>
        <v>293.33333333333729</v>
      </c>
      <c r="S126" s="59">
        <f ca="1">AVERAGE(OFFSET($R$3,0,0,'Données projet'!$E$9+1,1))-AVERAGE(OFFSET($H$3,0,0,'Données projet'!$E$9+1,1))</f>
        <v>241.84492910369795</v>
      </c>
      <c r="T126" s="59">
        <f t="shared" si="88"/>
        <v>338.04336767245667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0.95989930089701159</v>
      </c>
      <c r="AA126" s="21">
        <f>EXP(-LN(2)/25)*AA125+(1-EXP(-LN(2)/25))/(LN(2)/25)*Calculateur!V126*Calculateur!X126*VLOOKUP('Données projet'!$B$9,Paramètres!$A$1:$I$89,3,0)*0.475*44/12</f>
        <v>1.0544905441481309</v>
      </c>
      <c r="AB126" s="21">
        <f>EXP(-LN(2)/2)*AB125+(1-EXP(-LN(2)/2))/(LN(2)/2)*V126*Y126*VLOOKUP('Données projet'!$B$9,Paramètres!$A$1:$I$89,3,0)*0.475*44/12</f>
        <v>8.6878710395842927E-14</v>
      </c>
      <c r="AC126" s="22">
        <f t="shared" si="57"/>
        <v>2.0143898450452298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>
        <f>AI126*VLOOKUP('Données projet'!$B$10,Paramètres!$A$1:$I$89,3,0)*VLOOKUP('Données projet'!$B$10,Paramètres!$A$1:$I$89,5,0)</f>
        <v>0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370.12772664814923</v>
      </c>
      <c r="AO126" s="59">
        <f t="shared" si="90"/>
        <v>292.26503163353146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1.1856407686592427</v>
      </c>
      <c r="AV126" s="21">
        <f>EXP(-LN(2)/25)*AV125+(1-EXP(-LN(2)/25))/(LN(2)/25)*Calculateur!AQ126*Calculateur!AS126*VLOOKUP('Données projet'!$B$10,Paramètres!$A$1:$I$89,3,0)*0.475*44/12</f>
        <v>0.50413589198139941</v>
      </c>
      <c r="AW126" s="21">
        <f>EXP(-LN(2)/2)*AW125+(1-EXP(-LN(2)/2))/(LN(2)/2)*AQ126*AT126*VLOOKUP('Données projet'!$B$10,Paramètres!$A$1:$I$89,3,0)*0.475*44/12</f>
        <v>7.961331928748173E-14</v>
      </c>
      <c r="AX126" s="21">
        <f t="shared" si="60"/>
        <v>1.6897766606407219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>
        <f>BD126*VLOOKUP('Données projet'!$B$11,Paramètres!$A$1:$I$89,3,0)*VLOOKUP('Données projet'!$B$11,Paramètres!$A$1:$I$89,5,0)</f>
        <v>0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475.01366239340246</v>
      </c>
      <c r="BJ126" s="59">
        <f t="shared" si="92"/>
        <v>322.81767004794284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1.3783717087402279</v>
      </c>
      <c r="BQ126" s="21">
        <f>EXP(-LN(2)/25)*BQ125+(1-EXP(-LN(2)/25))/(LN(2)/25)*Calculateur!BL126*Calculateur!BN126*VLOOKUP('Données projet'!$B$11,Paramètres!$A$1:$I$89,3,0)*0.475*44/12</f>
        <v>0.8454471203284426</v>
      </c>
      <c r="BR126" s="21">
        <f>EXP(-LN(2)/2)*BR125+(1-EXP(-LN(2)/2))/(LN(2)/2)*BL126*BO126*VLOOKUP('Données projet'!$B$11,Paramètres!$A$1:$I$89,3,0)*0.475*44/12</f>
        <v>1.0202845391897247E-13</v>
      </c>
      <c r="BS126" s="22">
        <f t="shared" si="63"/>
        <v>2.2238188290687724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-1.1368683772161603E-13</v>
      </c>
      <c r="BZ126" s="13">
        <f>BY126*VLOOKUP('Données projet'!$B$12,Paramètres!$A$1:$I$89,3,0)*VLOOKUP('Données projet'!$B$12,Paramètres!$A$1:$I$89,5,0)</f>
        <v>-7.626113074366004E-14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254.8851926268614</v>
      </c>
      <c r="CE126" s="59">
        <f t="shared" si="94"/>
        <v>182.11500693273973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0.48282621208924198</v>
      </c>
      <c r="CL126" s="21">
        <f>EXP(-LN(2)/25)*CL125+(1-EXP(-LN(2)/25))/(LN(2)/25)*Calculateur!CG126*Calculateur!CI126*VLOOKUP('Données projet'!$B$12,Paramètres!$A$1:$I$89,3,0)*0.475*44/12</f>
        <v>0.2909253494559455</v>
      </c>
      <c r="CM126" s="21">
        <f>EXP(-LN(2)/2)*CM125+(1-EXP(-LN(2)/2))/(LN(2)/2)*CG126*CJ126*VLOOKUP('Données projet'!$B$12,Paramètres!$A$1:$I$89,3,0)*0.475*44/12</f>
        <v>4.5464160861821847E-14</v>
      </c>
      <c r="CN126" s="22">
        <f t="shared" si="66"/>
        <v>0.77375156154523306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256.66666666666669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1.4210854715202004E-13</v>
      </c>
      <c r="O127" s="13">
        <f>N127*VLOOKUP('Données projet'!$B$9,Paramètres!$A$1:$I$89,3,0)*VLOOKUP('Données projet'!$B$9,Paramètres!$A$1:$I$89,5,0)</f>
        <v>1.4853185348329134E-13</v>
      </c>
      <c r="P127" s="13">
        <f t="shared" si="87"/>
        <v>2.1309431512949395E-12</v>
      </c>
      <c r="Q127" s="20">
        <f t="shared" si="107"/>
        <v>3.9700856333220852E-12</v>
      </c>
      <c r="R127" s="59">
        <f t="shared" si="55"/>
        <v>293.33333333333729</v>
      </c>
      <c r="S127" s="59">
        <f ca="1">AVERAGE(OFFSET($R$3,0,0,'Données projet'!$E$9+1,1))-AVERAGE(OFFSET($H$3,0,0,'Données projet'!$E$9+1,1))</f>
        <v>241.84492910369795</v>
      </c>
      <c r="T127" s="59">
        <f t="shared" si="88"/>
        <v>338.04336767245667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0.94107626108718334</v>
      </c>
      <c r="AA127" s="21">
        <f>EXP(-LN(2)/25)*AA126+(1-EXP(-LN(2)/25))/(LN(2)/25)*Calculateur!V127*Calculateur!X127*VLOOKUP('Données projet'!$B$9,Paramètres!$A$1:$I$89,3,0)*0.475*44/12</f>
        <v>1.0256554447651527</v>
      </c>
      <c r="AB127" s="21">
        <f>EXP(-LN(2)/2)*AB126+(1-EXP(-LN(2)/2))/(LN(2)/2)*V127*Y127*VLOOKUP('Données projet'!$B$9,Paramètres!$A$1:$I$89,3,0)*0.475*44/12</f>
        <v>6.1432525261642736E-14</v>
      </c>
      <c r="AC127" s="22">
        <f t="shared" si="57"/>
        <v>1.9667317058523974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>
        <f>AI127*VLOOKUP('Données projet'!$B$10,Paramètres!$A$1:$I$89,3,0)*VLOOKUP('Données projet'!$B$10,Paramètres!$A$1:$I$89,5,0)</f>
        <v>0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370.12772664814923</v>
      </c>
      <c r="AO127" s="59">
        <f t="shared" si="90"/>
        <v>292.26503163353146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1.1623910763552967</v>
      </c>
      <c r="AV127" s="21">
        <f>EXP(-LN(2)/25)*AV126+(1-EXP(-LN(2)/25))/(LN(2)/25)*Calculateur!AQ127*Calculateur!AS127*VLOOKUP('Données projet'!$B$10,Paramètres!$A$1:$I$89,3,0)*0.475*44/12</f>
        <v>0.49035026950381372</v>
      </c>
      <c r="AW127" s="21">
        <f>EXP(-LN(2)/2)*AW126+(1-EXP(-LN(2)/2))/(LN(2)/2)*AQ127*AT127*VLOOKUP('Données projet'!$B$10,Paramètres!$A$1:$I$89,3,0)*0.475*44/12</f>
        <v>5.6295117940948093E-14</v>
      </c>
      <c r="AX127" s="21">
        <f t="shared" si="60"/>
        <v>1.6527413458591669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>
        <f>BD127*VLOOKUP('Données projet'!$B$11,Paramètres!$A$1:$I$89,3,0)*VLOOKUP('Données projet'!$B$11,Paramètres!$A$1:$I$89,5,0)</f>
        <v>0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475.01366239340246</v>
      </c>
      <c r="BJ127" s="59">
        <f t="shared" si="92"/>
        <v>322.81767004794284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1.3513426802555597</v>
      </c>
      <c r="BQ127" s="21">
        <f>EXP(-LN(2)/25)*BQ126+(1-EXP(-LN(2)/25))/(LN(2)/25)*Calculateur!BL127*Calculateur!BN127*VLOOKUP('Données projet'!$B$11,Paramètres!$A$1:$I$89,3,0)*0.475*44/12</f>
        <v>0.82232832436292957</v>
      </c>
      <c r="BR127" s="21">
        <f>EXP(-LN(2)/2)*BR126+(1-EXP(-LN(2)/2))/(LN(2)/2)*BL127*BO127*VLOOKUP('Données projet'!$B$11,Paramètres!$A$1:$I$89,3,0)*0.475*44/12</f>
        <v>7.2145011640084613E-14</v>
      </c>
      <c r="BS127" s="22">
        <f t="shared" si="63"/>
        <v>2.1736710046185612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-1.1368683772161603E-13</v>
      </c>
      <c r="BZ127" s="13">
        <f>BY127*VLOOKUP('Données projet'!$B$12,Paramètres!$A$1:$I$89,3,0)*VLOOKUP('Données projet'!$B$12,Paramètres!$A$1:$I$89,5,0)</f>
        <v>-7.626113074366004E-14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254.8851926268614</v>
      </c>
      <c r="CE127" s="59">
        <f t="shared" si="94"/>
        <v>182.11500693273973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0.47335828456508239</v>
      </c>
      <c r="CL127" s="21">
        <f>EXP(-LN(2)/25)*CL126+(1-EXP(-LN(2)/25))/(LN(2)/25)*Calculateur!CG127*Calculateur!CI127*VLOOKUP('Données projet'!$B$12,Paramètres!$A$1:$I$89,3,0)*0.475*44/12</f>
        <v>0.28296998047597344</v>
      </c>
      <c r="CM127" s="21">
        <f>EXP(-LN(2)/2)*CM126+(1-EXP(-LN(2)/2))/(LN(2)/2)*CG127*CJ127*VLOOKUP('Données projet'!$B$12,Paramètres!$A$1:$I$89,3,0)*0.475*44/12</f>
        <v>3.2148016446350259E-14</v>
      </c>
      <c r="CN127" s="22">
        <f t="shared" si="66"/>
        <v>0.75632826504108808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256.66666666666669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1.4210854715202004E-13</v>
      </c>
      <c r="O128" s="13">
        <f>N128*VLOOKUP('Données projet'!$B$9,Paramètres!$A$1:$I$89,3,0)*VLOOKUP('Données projet'!$B$9,Paramètres!$A$1:$I$89,5,0)</f>
        <v>1.4853185348329134E-13</v>
      </c>
      <c r="P128" s="13">
        <f t="shared" si="87"/>
        <v>2.1309431512949395E-12</v>
      </c>
      <c r="Q128" s="20">
        <f t="shared" si="107"/>
        <v>3.9700856333220852E-12</v>
      </c>
      <c r="R128" s="59">
        <f t="shared" si="55"/>
        <v>293.33333333333729</v>
      </c>
      <c r="S128" s="59">
        <f ca="1">AVERAGE(OFFSET($R$3,0,0,'Données projet'!$E$9+1,1))-AVERAGE(OFFSET($H$3,0,0,'Données projet'!$E$9+1,1))</f>
        <v>241.84492910369795</v>
      </c>
      <c r="T128" s="59">
        <f t="shared" si="88"/>
        <v>338.04336767245667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0.92262232960710511</v>
      </c>
      <c r="AA128" s="21">
        <f>EXP(-LN(2)/25)*AA127+(1-EXP(-LN(2)/25))/(LN(2)/25)*Calculateur!V128*Calculateur!X128*VLOOKUP('Données projet'!$B$9,Paramètres!$A$1:$I$89,3,0)*0.475*44/12</f>
        <v>0.99760884269117389</v>
      </c>
      <c r="AB128" s="21">
        <f>EXP(-LN(2)/2)*AB127+(1-EXP(-LN(2)/2))/(LN(2)/2)*V128*Y128*VLOOKUP('Données projet'!$B$9,Paramètres!$A$1:$I$89,3,0)*0.475*44/12</f>
        <v>4.3439355197921464E-14</v>
      </c>
      <c r="AC128" s="22">
        <f t="shared" si="57"/>
        <v>1.9202311722983225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>
        <f>AI128*VLOOKUP('Données projet'!$B$10,Paramètres!$A$1:$I$89,3,0)*VLOOKUP('Données projet'!$B$10,Paramètres!$A$1:$I$89,5,0)</f>
        <v>0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370.12772664814923</v>
      </c>
      <c r="AO128" s="59">
        <f t="shared" si="90"/>
        <v>292.26503163353146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1.1395972963365191</v>
      </c>
      <c r="AV128" s="21">
        <f>EXP(-LN(2)/25)*AV127+(1-EXP(-LN(2)/25))/(LN(2)/25)*Calculateur!AQ128*Calculateur!AS128*VLOOKUP('Données projet'!$B$10,Paramètres!$A$1:$I$89,3,0)*0.475*44/12</f>
        <v>0.47694161559783199</v>
      </c>
      <c r="AW128" s="21">
        <f>EXP(-LN(2)/2)*AW127+(1-EXP(-LN(2)/2))/(LN(2)/2)*AQ128*AT128*VLOOKUP('Données projet'!$B$10,Paramètres!$A$1:$I$89,3,0)*0.475*44/12</f>
        <v>3.9806659643740871E-14</v>
      </c>
      <c r="AX128" s="21">
        <f t="shared" si="60"/>
        <v>1.6165389119343907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>
        <f>BD128*VLOOKUP('Données projet'!$B$11,Paramètres!$A$1:$I$89,3,0)*VLOOKUP('Données projet'!$B$11,Paramètres!$A$1:$I$89,5,0)</f>
        <v>0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475.01366239340246</v>
      </c>
      <c r="BJ128" s="59">
        <f t="shared" si="92"/>
        <v>322.81767004794284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1.3248436745333965</v>
      </c>
      <c r="BQ128" s="21">
        <f>EXP(-LN(2)/25)*BQ127+(1-EXP(-LN(2)/25))/(LN(2)/25)*Calculateur!BL128*Calculateur!BN128*VLOOKUP('Données projet'!$B$11,Paramètres!$A$1:$I$89,3,0)*0.475*44/12</f>
        <v>0.7998417130888581</v>
      </c>
      <c r="BR128" s="21">
        <f>EXP(-LN(2)/2)*BR127+(1-EXP(-LN(2)/2))/(LN(2)/2)*BL128*BO128*VLOOKUP('Données projet'!$B$11,Paramètres!$A$1:$I$89,3,0)*0.475*44/12</f>
        <v>5.1014226959486235E-14</v>
      </c>
      <c r="BS128" s="22">
        <f t="shared" si="63"/>
        <v>2.1246853876223057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-1.1368683772161603E-13</v>
      </c>
      <c r="BZ128" s="13">
        <f>BY128*VLOOKUP('Données projet'!$B$12,Paramètres!$A$1:$I$89,3,0)*VLOOKUP('Données projet'!$B$12,Paramètres!$A$1:$I$89,5,0)</f>
        <v>-7.626113074366004E-14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254.8851926268614</v>
      </c>
      <c r="CE128" s="59">
        <f t="shared" si="94"/>
        <v>182.11500693273973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0.46407601732480597</v>
      </c>
      <c r="CL128" s="21">
        <f>EXP(-LN(2)/25)*CL127+(1-EXP(-LN(2)/25))/(LN(2)/25)*Calculateur!CG128*Calculateur!CI128*VLOOKUP('Données projet'!$B$12,Paramètres!$A$1:$I$89,3,0)*0.475*44/12</f>
        <v>0.2752321514791134</v>
      </c>
      <c r="CM128" s="21">
        <f>EXP(-LN(2)/2)*CM127+(1-EXP(-LN(2)/2))/(LN(2)/2)*CG128*CJ128*VLOOKUP('Données projet'!$B$12,Paramètres!$A$1:$I$89,3,0)*0.475*44/12</f>
        <v>2.2732080430910924E-14</v>
      </c>
      <c r="CN128" s="22">
        <f t="shared" si="66"/>
        <v>0.73930816880394212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256.66666666666669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1.4210854715202004E-13</v>
      </c>
      <c r="O129" s="13">
        <f>N129*VLOOKUP('Données projet'!$B$9,Paramètres!$A$1:$I$89,3,0)*VLOOKUP('Données projet'!$B$9,Paramètres!$A$1:$I$89,5,0)</f>
        <v>1.4853185348329134E-13</v>
      </c>
      <c r="P129" s="13">
        <f t="shared" si="87"/>
        <v>2.1309431512949395E-12</v>
      </c>
      <c r="Q129" s="20">
        <f t="shared" si="107"/>
        <v>3.9700856333220852E-12</v>
      </c>
      <c r="R129" s="59">
        <f t="shared" si="55"/>
        <v>293.33333333333729</v>
      </c>
      <c r="S129" s="59">
        <f ca="1">AVERAGE(OFFSET($R$3,0,0,'Données projet'!$E$9+1,1))-AVERAGE(OFFSET($H$3,0,0,'Données projet'!$E$9+1,1))</f>
        <v>241.84492910369795</v>
      </c>
      <c r="T129" s="59">
        <f t="shared" si="88"/>
        <v>338.04336767245667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0.90453026846756446</v>
      </c>
      <c r="AA129" s="21">
        <f>EXP(-LN(2)/25)*AA128+(1-EXP(-LN(2)/25))/(LN(2)/25)*Calculateur!V129*Calculateur!X129*VLOOKUP('Données projet'!$B$9,Paramètres!$A$1:$I$89,3,0)*0.475*44/12</f>
        <v>0.97032917642581473</v>
      </c>
      <c r="AB129" s="21">
        <f>EXP(-LN(2)/2)*AB128+(1-EXP(-LN(2)/2))/(LN(2)/2)*V129*Y129*VLOOKUP('Données projet'!$B$9,Paramètres!$A$1:$I$89,3,0)*0.475*44/12</f>
        <v>3.0716262630821368E-14</v>
      </c>
      <c r="AC129" s="22">
        <f t="shared" si="57"/>
        <v>1.8748594448934099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>
        <f>AI129*VLOOKUP('Données projet'!$B$10,Paramètres!$A$1:$I$89,3,0)*VLOOKUP('Données projet'!$B$10,Paramètres!$A$1:$I$89,5,0)</f>
        <v>0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370.12772664814923</v>
      </c>
      <c r="AO129" s="59">
        <f t="shared" si="90"/>
        <v>292.26503163353146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1.1172504884410768</v>
      </c>
      <c r="AV129" s="21">
        <f>EXP(-LN(2)/25)*AV128+(1-EXP(-LN(2)/25))/(LN(2)/25)*Calculateur!AQ129*Calculateur!AS129*VLOOKUP('Données projet'!$B$10,Paramètres!$A$1:$I$89,3,0)*0.475*44/12</f>
        <v>0.46389962203803975</v>
      </c>
      <c r="AW129" s="21">
        <f>EXP(-LN(2)/2)*AW128+(1-EXP(-LN(2)/2))/(LN(2)/2)*AQ129*AT129*VLOOKUP('Données projet'!$B$10,Paramètres!$A$1:$I$89,3,0)*0.475*44/12</f>
        <v>2.814755897047405E-14</v>
      </c>
      <c r="AX129" s="21">
        <f t="shared" si="60"/>
        <v>1.5811501104791448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>
        <f>BD129*VLOOKUP('Données projet'!$B$11,Paramètres!$A$1:$I$89,3,0)*VLOOKUP('Données projet'!$B$11,Paramètres!$A$1:$I$89,5,0)</f>
        <v>0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475.01366239340246</v>
      </c>
      <c r="BJ129" s="59">
        <f t="shared" si="92"/>
        <v>322.81767004794284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1.2988642981506473</v>
      </c>
      <c r="BQ129" s="21">
        <f>EXP(-LN(2)/25)*BQ128+(1-EXP(-LN(2)/25))/(LN(2)/25)*Calculateur!BL129*Calculateur!BN129*VLOOKUP('Données projet'!$B$11,Paramètres!$A$1:$I$89,3,0)*0.475*44/12</f>
        <v>0.77796999938259559</v>
      </c>
      <c r="BR129" s="21">
        <f>EXP(-LN(2)/2)*BR128+(1-EXP(-LN(2)/2))/(LN(2)/2)*BL129*BO129*VLOOKUP('Données projet'!$B$11,Paramètres!$A$1:$I$89,3,0)*0.475*44/12</f>
        <v>3.6072505820042306E-14</v>
      </c>
      <c r="BS129" s="22">
        <f t="shared" si="63"/>
        <v>2.0768342975332788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-1.1368683772161603E-13</v>
      </c>
      <c r="BZ129" s="13">
        <f>BY129*VLOOKUP('Données projet'!$B$12,Paramètres!$A$1:$I$89,3,0)*VLOOKUP('Données projet'!$B$12,Paramètres!$A$1:$I$89,5,0)</f>
        <v>-7.626113074366004E-14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254.8851926268614</v>
      </c>
      <c r="CE129" s="59">
        <f t="shared" si="94"/>
        <v>182.11500693273973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0.45497576968348741</v>
      </c>
      <c r="CL129" s="21">
        <f>EXP(-LN(2)/25)*CL128+(1-EXP(-LN(2)/25))/(LN(2)/25)*Calculateur!CG129*Calculateur!CI129*VLOOKUP('Données projet'!$B$12,Paramètres!$A$1:$I$89,3,0)*0.475*44/12</f>
        <v>0.26770591382308723</v>
      </c>
      <c r="CM129" s="21">
        <f>EXP(-LN(2)/2)*CM128+(1-EXP(-LN(2)/2))/(LN(2)/2)*CG129*CJ129*VLOOKUP('Données projet'!$B$12,Paramètres!$A$1:$I$89,3,0)*0.475*44/12</f>
        <v>1.6074008223175129E-14</v>
      </c>
      <c r="CN129" s="22">
        <f t="shared" si="66"/>
        <v>0.72268168350659068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256.66666666666669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1.4210854715202004E-13</v>
      </c>
      <c r="O130" s="13">
        <f>N130*VLOOKUP('Données projet'!$B$9,Paramètres!$A$1:$I$89,3,0)*VLOOKUP('Données projet'!$B$9,Paramètres!$A$1:$I$89,5,0)</f>
        <v>1.4853185348329134E-13</v>
      </c>
      <c r="P130" s="13">
        <f t="shared" si="87"/>
        <v>2.1309431512949395E-12</v>
      </c>
      <c r="Q130" s="20">
        <f t="shared" si="107"/>
        <v>3.9700856333220852E-12</v>
      </c>
      <c r="R130" s="59">
        <f t="shared" si="55"/>
        <v>293.33333333333729</v>
      </c>
      <c r="S130" s="59">
        <f ca="1">AVERAGE(OFFSET($R$3,0,0,'Données projet'!$E$9+1,1))-AVERAGE(OFFSET($H$3,0,0,'Données projet'!$E$9+1,1))</f>
        <v>241.84492910369795</v>
      </c>
      <c r="T130" s="59">
        <f t="shared" si="88"/>
        <v>338.04336767245667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0.88679298161190256</v>
      </c>
      <c r="AA130" s="21">
        <f>EXP(-LN(2)/25)*AA129+(1-EXP(-LN(2)/25))/(LN(2)/25)*Calculateur!V130*Calculateur!X130*VLOOKUP('Données projet'!$B$9,Paramètres!$A$1:$I$89,3,0)*0.475*44/12</f>
        <v>0.94379547406905717</v>
      </c>
      <c r="AB130" s="21">
        <f>EXP(-LN(2)/2)*AB129+(1-EXP(-LN(2)/2))/(LN(2)/2)*V130*Y130*VLOOKUP('Données projet'!$B$9,Paramètres!$A$1:$I$89,3,0)*0.475*44/12</f>
        <v>2.1719677598960732E-14</v>
      </c>
      <c r="AC130" s="22">
        <f t="shared" si="57"/>
        <v>1.8305884556809815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>
        <f>AI130*VLOOKUP('Données projet'!$B$10,Paramètres!$A$1:$I$89,3,0)*VLOOKUP('Données projet'!$B$10,Paramètres!$A$1:$I$89,5,0)</f>
        <v>0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370.12772664814923</v>
      </c>
      <c r="AO130" s="59">
        <f t="shared" si="90"/>
        <v>292.26503163353146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1.095341887818257</v>
      </c>
      <c r="AV130" s="21">
        <f>EXP(-LN(2)/25)*AV129+(1-EXP(-LN(2)/25))/(LN(2)/25)*Calculateur!AQ130*Calculateur!AS130*VLOOKUP('Données projet'!$B$10,Paramètres!$A$1:$I$89,3,0)*0.475*44/12</f>
        <v>0.45121426247798868</v>
      </c>
      <c r="AW130" s="21">
        <f>EXP(-LN(2)/2)*AW129+(1-EXP(-LN(2)/2))/(LN(2)/2)*AQ130*AT130*VLOOKUP('Données projet'!$B$10,Paramètres!$A$1:$I$89,3,0)*0.475*44/12</f>
        <v>1.9903329821870439E-14</v>
      </c>
      <c r="AX130" s="21">
        <f t="shared" si="60"/>
        <v>1.5465561502962657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>
        <f>BD130*VLOOKUP('Données projet'!$B$11,Paramètres!$A$1:$I$89,3,0)*VLOOKUP('Données projet'!$B$11,Paramètres!$A$1:$I$89,5,0)</f>
        <v>0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475.01366239340246</v>
      </c>
      <c r="BJ130" s="59">
        <f t="shared" si="92"/>
        <v>322.81767004794284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1.2733943614929089</v>
      </c>
      <c r="BQ130" s="21">
        <f>EXP(-LN(2)/25)*BQ129+(1-EXP(-LN(2)/25))/(LN(2)/25)*Calculateur!BL130*Calculateur!BN130*VLOOKUP('Données projet'!$B$11,Paramètres!$A$1:$I$89,3,0)*0.475*44/12</f>
        <v>0.75669636883781433</v>
      </c>
      <c r="BR130" s="21">
        <f>EXP(-LN(2)/2)*BR129+(1-EXP(-LN(2)/2))/(LN(2)/2)*BL130*BO130*VLOOKUP('Données projet'!$B$11,Paramètres!$A$1:$I$89,3,0)*0.475*44/12</f>
        <v>2.5507113479743118E-14</v>
      </c>
      <c r="BS130" s="22">
        <f t="shared" si="63"/>
        <v>2.0300907303307487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-1.1368683772161603E-13</v>
      </c>
      <c r="BZ130" s="13">
        <f>BY130*VLOOKUP('Données projet'!$B$12,Paramètres!$A$1:$I$89,3,0)*VLOOKUP('Données projet'!$B$12,Paramètres!$A$1:$I$89,5,0)</f>
        <v>-7.626113074366004E-14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254.8851926268614</v>
      </c>
      <c r="CE130" s="59">
        <f t="shared" si="94"/>
        <v>182.11500693273973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0.44605397234781208</v>
      </c>
      <c r="CL130" s="21">
        <f>EXP(-LN(2)/25)*CL129+(1-EXP(-LN(2)/25))/(LN(2)/25)*Calculateur!CG130*Calculateur!CI130*VLOOKUP('Données projet'!$B$12,Paramètres!$A$1:$I$89,3,0)*0.475*44/12</f>
        <v>0.26038548153155278</v>
      </c>
      <c r="CM130" s="21">
        <f>EXP(-LN(2)/2)*CM129+(1-EXP(-LN(2)/2))/(LN(2)/2)*CG130*CJ130*VLOOKUP('Données projet'!$B$12,Paramètres!$A$1:$I$89,3,0)*0.475*44/12</f>
        <v>1.1366040215455462E-14</v>
      </c>
      <c r="CN130" s="22">
        <f t="shared" si="66"/>
        <v>0.70643945387937612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256.66666666666669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1.4210854715202004E-13</v>
      </c>
      <c r="O131" s="13">
        <f>N131*VLOOKUP('Données projet'!$B$9,Paramètres!$A$1:$I$89,3,0)*VLOOKUP('Données projet'!$B$9,Paramètres!$A$1:$I$89,5,0)</f>
        <v>1.4853185348329134E-13</v>
      </c>
      <c r="P131" s="13">
        <f t="shared" si="87"/>
        <v>2.1309431512949395E-12</v>
      </c>
      <c r="Q131" s="20">
        <f t="shared" ref="Q131:Q153" si="108">(O131+P131)*0.475*44/12</f>
        <v>3.9700856333220852E-12</v>
      </c>
      <c r="R131" s="59">
        <f t="shared" ref="R131:R194" si="109">Q131+(I131+J131)*44/12</f>
        <v>293.33333333333729</v>
      </c>
      <c r="S131" s="59">
        <f ca="1">AVERAGE(OFFSET($R$3,0,0,'Données projet'!$E$9+1,1))-AVERAGE(OFFSET($H$3,0,0,'Données projet'!$E$9+1,1))</f>
        <v>241.84492910369795</v>
      </c>
      <c r="T131" s="59">
        <f t="shared" si="88"/>
        <v>338.04336767245667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0.86940351213280342</v>
      </c>
      <c r="AA131" s="21">
        <f>EXP(-LN(2)/25)*AA130+(1-EXP(-LN(2)/25))/(LN(2)/25)*Calculateur!V131*Calculateur!X131*VLOOKUP('Données projet'!$B$9,Paramètres!$A$1:$I$89,3,0)*0.475*44/12</f>
        <v>0.91798733719859194</v>
      </c>
      <c r="AB131" s="21">
        <f>EXP(-LN(2)/2)*AB130+(1-EXP(-LN(2)/2))/(LN(2)/2)*V131*Y131*VLOOKUP('Données projet'!$B$9,Paramètres!$A$1:$I$89,3,0)*0.475*44/12</f>
        <v>1.5358131315410684E-14</v>
      </c>
      <c r="AC131" s="22">
        <f t="shared" si="57"/>
        <v>1.7873908493314106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>
        <f>AI131*VLOOKUP('Données projet'!$B$10,Paramètres!$A$1:$I$89,3,0)*VLOOKUP('Données projet'!$B$10,Paramètres!$A$1:$I$89,5,0)</f>
        <v>0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370.12772664814923</v>
      </c>
      <c r="AO131" s="59">
        <f t="shared" si="90"/>
        <v>292.26503163353146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1.0738629014907239</v>
      </c>
      <c r="AV131" s="21">
        <f>EXP(-LN(2)/25)*AV130+(1-EXP(-LN(2)/25))/(LN(2)/25)*Calculateur!AQ131*Calculateur!AS131*VLOOKUP('Données projet'!$B$10,Paramètres!$A$1:$I$89,3,0)*0.475*44/12</f>
        <v>0.43887578474220129</v>
      </c>
      <c r="AW131" s="21">
        <f>EXP(-LN(2)/2)*AW130+(1-EXP(-LN(2)/2))/(LN(2)/2)*AQ131*AT131*VLOOKUP('Données projet'!$B$10,Paramètres!$A$1:$I$89,3,0)*0.475*44/12</f>
        <v>1.4073779485237028E-14</v>
      </c>
      <c r="AX131" s="21">
        <f t="shared" si="60"/>
        <v>1.5127386862329393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>
        <f>BD131*VLOOKUP('Données projet'!$B$11,Paramètres!$A$1:$I$89,3,0)*VLOOKUP('Données projet'!$B$11,Paramètres!$A$1:$I$89,5,0)</f>
        <v>0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475.01366239340246</v>
      </c>
      <c r="BJ131" s="59">
        <f t="shared" si="92"/>
        <v>322.81767004794284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1.2484238747579013</v>
      </c>
      <c r="BQ131" s="21">
        <f>EXP(-LN(2)/25)*BQ130+(1-EXP(-LN(2)/25))/(LN(2)/25)*Calculateur!BL131*Calculateur!BN131*VLOOKUP('Données projet'!$B$11,Paramètres!$A$1:$I$89,3,0)*0.475*44/12</f>
        <v>0.73600446683901166</v>
      </c>
      <c r="BR131" s="21">
        <f>EXP(-LN(2)/2)*BR130+(1-EXP(-LN(2)/2))/(LN(2)/2)*BL131*BO131*VLOOKUP('Données projet'!$B$11,Paramètres!$A$1:$I$89,3,0)*0.475*44/12</f>
        <v>1.8036252910021153E-14</v>
      </c>
      <c r="BS131" s="22">
        <f t="shared" si="63"/>
        <v>1.9844283415969308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-1.1368683772161603E-13</v>
      </c>
      <c r="BZ131" s="13">
        <f>BY131*VLOOKUP('Données projet'!$B$12,Paramètres!$A$1:$I$89,3,0)*VLOOKUP('Données projet'!$B$12,Paramètres!$A$1:$I$89,5,0)</f>
        <v>-7.626113074366004E-14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254.8851926268614</v>
      </c>
      <c r="CE131" s="59">
        <f t="shared" si="94"/>
        <v>182.11500693273973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0.43730712601613031</v>
      </c>
      <c r="CL131" s="21">
        <f>EXP(-LN(2)/25)*CL130+(1-EXP(-LN(2)/25))/(LN(2)/25)*Calculateur!CG131*Calculateur!CI131*VLOOKUP('Données projet'!$B$12,Paramètres!$A$1:$I$89,3,0)*0.475*44/12</f>
        <v>0.25326522684599512</v>
      </c>
      <c r="CM131" s="21">
        <f>EXP(-LN(2)/2)*CM130+(1-EXP(-LN(2)/2))/(LN(2)/2)*CG131*CJ131*VLOOKUP('Données projet'!$B$12,Paramètres!$A$1:$I$89,3,0)*0.475*44/12</f>
        <v>8.0370041115875647E-15</v>
      </c>
      <c r="CN131" s="22">
        <f t="shared" si="66"/>
        <v>0.69057235286213348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256.66666666666669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1.4210854715202004E-13</v>
      </c>
      <c r="O132" s="13">
        <f>N132*VLOOKUP('Données projet'!$B$9,Paramètres!$A$1:$I$89,3,0)*VLOOKUP('Données projet'!$B$9,Paramètres!$A$1:$I$89,5,0)</f>
        <v>1.4853185348329134E-13</v>
      </c>
      <c r="P132" s="13">
        <f t="shared" si="87"/>
        <v>2.1309431512949395E-12</v>
      </c>
      <c r="Q132" s="20">
        <f t="shared" si="108"/>
        <v>3.9700856333220852E-12</v>
      </c>
      <c r="R132" s="59">
        <f t="shared" si="109"/>
        <v>293.33333333333729</v>
      </c>
      <c r="S132" s="59">
        <f ca="1">AVERAGE(OFFSET($R$3,0,0,'Données projet'!$E$9+1,1))-AVERAGE(OFFSET($H$3,0,0,'Données projet'!$E$9+1,1))</f>
        <v>241.84492910369795</v>
      </c>
      <c r="T132" s="59">
        <f t="shared" si="88"/>
        <v>338.04336767245667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0.85235503954366043</v>
      </c>
      <c r="AA132" s="21">
        <f>EXP(-LN(2)/25)*AA131+(1-EXP(-LN(2)/25))/(LN(2)/25)*Calculateur!V132*Calculateur!X132*VLOOKUP('Données projet'!$B$9,Paramètres!$A$1:$I$89,3,0)*0.475*44/12</f>
        <v>0.89288492518804041</v>
      </c>
      <c r="AB132" s="21">
        <f>EXP(-LN(2)/2)*AB131+(1-EXP(-LN(2)/2))/(LN(2)/2)*V132*Y132*VLOOKUP('Données projet'!$B$9,Paramètres!$A$1:$I$89,3,0)*0.475*44/12</f>
        <v>1.0859838799480366E-14</v>
      </c>
      <c r="AC132" s="22">
        <f t="shared" ref="AC132:AC153" si="111">SUM(Z132:AB132)</f>
        <v>1.7452399647317118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>
        <f>AI132*VLOOKUP('Données projet'!$B$10,Paramètres!$A$1:$I$89,3,0)*VLOOKUP('Données projet'!$B$10,Paramètres!$A$1:$I$89,5,0)</f>
        <v>0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370.12772664814923</v>
      </c>
      <c r="AO132" s="59">
        <f t="shared" si="90"/>
        <v>292.26503163353146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1.0528051049841858</v>
      </c>
      <c r="AV132" s="21">
        <f>EXP(-LN(2)/25)*AV131+(1-EXP(-LN(2)/25))/(LN(2)/25)*Calculateur!AQ132*Calculateur!AS132*VLOOKUP('Données projet'!$B$10,Paramètres!$A$1:$I$89,3,0)*0.475*44/12</f>
        <v>0.42687470332895133</v>
      </c>
      <c r="AW132" s="21">
        <f>EXP(-LN(2)/2)*AW131+(1-EXP(-LN(2)/2))/(LN(2)/2)*AQ132*AT132*VLOOKUP('Données projet'!$B$10,Paramètres!$A$1:$I$89,3,0)*0.475*44/12</f>
        <v>9.951664910935221E-15</v>
      </c>
      <c r="AX132" s="21">
        <f t="shared" ref="AX132:AX153" si="114">SUM(AU132:AW132)</f>
        <v>1.479679808313147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>
        <f>BD132*VLOOKUP('Données projet'!$B$11,Paramètres!$A$1:$I$89,3,0)*VLOOKUP('Données projet'!$B$11,Paramètres!$A$1:$I$89,5,0)</f>
        <v>0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475.01366239340246</v>
      </c>
      <c r="BJ132" s="59">
        <f t="shared" si="92"/>
        <v>322.81767004794284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1.2239430440372743</v>
      </c>
      <c r="BQ132" s="21">
        <f>EXP(-LN(2)/25)*BQ131+(1-EXP(-LN(2)/25))/(LN(2)/25)*Calculateur!BL132*Calculateur!BN132*VLOOKUP('Données projet'!$B$11,Paramètres!$A$1:$I$89,3,0)*0.475*44/12</f>
        <v>0.71587838598850617</v>
      </c>
      <c r="BR132" s="21">
        <f>EXP(-LN(2)/2)*BR131+(1-EXP(-LN(2)/2))/(LN(2)/2)*BL132*BO132*VLOOKUP('Données projet'!$B$11,Paramètres!$A$1:$I$89,3,0)*0.475*44/12</f>
        <v>1.2753556739871559E-14</v>
      </c>
      <c r="BS132" s="22">
        <f t="shared" ref="BS132:BS153" si="117">SUM(BP132:BR132)</f>
        <v>1.9398214300257932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-1.1368683772161603E-13</v>
      </c>
      <c r="BZ132" s="13">
        <f>BY132*VLOOKUP('Données projet'!$B$12,Paramètres!$A$1:$I$89,3,0)*VLOOKUP('Données projet'!$B$12,Paramètres!$A$1:$I$89,5,0)</f>
        <v>-7.626113074366004E-14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254.8851926268614</v>
      </c>
      <c r="CE132" s="59">
        <f t="shared" si="94"/>
        <v>182.11500693273973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0.42873180000596334</v>
      </c>
      <c r="CL132" s="21">
        <f>EXP(-LN(2)/25)*CL131+(1-EXP(-LN(2)/25))/(LN(2)/25)*Calculateur!CG132*Calculateur!CI132*VLOOKUP('Données projet'!$B$12,Paramètres!$A$1:$I$89,3,0)*0.475*44/12</f>
        <v>0.24633967589925196</v>
      </c>
      <c r="CM132" s="21">
        <f>EXP(-LN(2)/2)*CM131+(1-EXP(-LN(2)/2))/(LN(2)/2)*CG132*CJ132*VLOOKUP('Données projet'!$B$12,Paramètres!$A$1:$I$89,3,0)*0.475*44/12</f>
        <v>5.6830201077277309E-15</v>
      </c>
      <c r="CN132" s="22">
        <f t="shared" ref="CN132:CN153" si="120">SUM(CK132:CM132)</f>
        <v>0.67507147590522099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256.66666666666669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1.4210854715202004E-13</v>
      </c>
      <c r="O133" s="13">
        <f>N133*VLOOKUP('Données projet'!$B$9,Paramètres!$A$1:$I$89,3,0)*VLOOKUP('Données projet'!$B$9,Paramètres!$A$1:$I$89,5,0)</f>
        <v>1.4853185348329134E-13</v>
      </c>
      <c r="P133" s="13">
        <f t="shared" ref="P133:P196" si="141">EXP(-1.0587+0.8836*LN(O133)+0.284)</f>
        <v>2.1309431512949395E-12</v>
      </c>
      <c r="Q133" s="20">
        <f t="shared" si="108"/>
        <v>3.9700856333220852E-12</v>
      </c>
      <c r="R133" s="59">
        <f t="shared" si="109"/>
        <v>293.33333333333729</v>
      </c>
      <c r="S133" s="59">
        <f ca="1">AVERAGE(OFFSET($R$3,0,0,'Données projet'!$E$9+1,1))-AVERAGE(OFFSET($H$3,0,0,'Données projet'!$E$9+1,1))</f>
        <v>241.84492910369795</v>
      </c>
      <c r="T133" s="59">
        <f t="shared" ref="T133:T196" si="142">$T$3</f>
        <v>338.04336767245667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0.83564087710344892</v>
      </c>
      <c r="AA133" s="21">
        <f>EXP(-LN(2)/25)*AA132+(1-EXP(-LN(2)/25))/(LN(2)/25)*Calculateur!V133*Calculateur!X133*VLOOKUP('Données projet'!$B$9,Paramètres!$A$1:$I$89,3,0)*0.475*44/12</f>
        <v>0.86846893995399599</v>
      </c>
      <c r="AB133" s="21">
        <f>EXP(-LN(2)/2)*AB132+(1-EXP(-LN(2)/2))/(LN(2)/2)*V133*Y133*VLOOKUP('Données projet'!$B$9,Paramètres!$A$1:$I$89,3,0)*0.475*44/12</f>
        <v>7.679065657705342E-15</v>
      </c>
      <c r="AC133" s="22">
        <f t="shared" si="111"/>
        <v>1.7041098170574527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>
        <f>AI133*VLOOKUP('Données projet'!$B$10,Paramètres!$A$1:$I$89,3,0)*VLOOKUP('Données projet'!$B$10,Paramètres!$A$1:$I$89,5,0)</f>
        <v>0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370.12772664814923</v>
      </c>
      <c r="AO133" s="59">
        <f t="shared" ref="AO133:AO196" si="144">$AO$3</f>
        <v>292.26503163353146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1.032160239023153</v>
      </c>
      <c r="AV133" s="21">
        <f>EXP(-LN(2)/25)*AV132+(1-EXP(-LN(2)/25))/(LN(2)/25)*Calculateur!AQ133*Calculateur!AS133*VLOOKUP('Données projet'!$B$10,Paramètres!$A$1:$I$89,3,0)*0.475*44/12</f>
        <v>0.41520179211805613</v>
      </c>
      <c r="AW133" s="21">
        <f>EXP(-LN(2)/2)*AW132+(1-EXP(-LN(2)/2))/(LN(2)/2)*AQ133*AT133*VLOOKUP('Données projet'!$B$10,Paramètres!$A$1:$I$89,3,0)*0.475*44/12</f>
        <v>7.0368897426185148E-15</v>
      </c>
      <c r="AX133" s="21">
        <f t="shared" si="114"/>
        <v>1.4473620311412163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>
        <f>BD133*VLOOKUP('Données projet'!$B$11,Paramètres!$A$1:$I$89,3,0)*VLOOKUP('Données projet'!$B$11,Paramètres!$A$1:$I$89,5,0)</f>
        <v>0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475.01366239340246</v>
      </c>
      <c r="BJ133" s="59">
        <f t="shared" ref="BJ133:BJ196" si="146">$BJ$3</f>
        <v>322.81767004794284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1.1999422674752462</v>
      </c>
      <c r="BQ133" s="21">
        <f>EXP(-LN(2)/25)*BQ132+(1-EXP(-LN(2)/25))/(LN(2)/25)*Calculateur!BL133*Calculateur!BN133*VLOOKUP('Données projet'!$B$11,Paramètres!$A$1:$I$89,3,0)*0.475*44/12</f>
        <v>0.69630265387724233</v>
      </c>
      <c r="BR133" s="21">
        <f>EXP(-LN(2)/2)*BR132+(1-EXP(-LN(2)/2))/(LN(2)/2)*BL133*BO133*VLOOKUP('Données projet'!$B$11,Paramètres!$A$1:$I$89,3,0)*0.475*44/12</f>
        <v>9.0181264550105766E-15</v>
      </c>
      <c r="BS133" s="22">
        <f t="shared" si="117"/>
        <v>1.8962449213524977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-1.1368683772161603E-13</v>
      </c>
      <c r="BZ133" s="13">
        <f>BY133*VLOOKUP('Données projet'!$B$12,Paramètres!$A$1:$I$89,3,0)*VLOOKUP('Données projet'!$B$12,Paramètres!$A$1:$I$89,5,0)</f>
        <v>-7.626113074366004E-14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254.8851926268614</v>
      </c>
      <c r="CE133" s="59">
        <f t="shared" ref="CE133:CE196" si="148">$CE$3</f>
        <v>182.11500693273973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0.42032463090842337</v>
      </c>
      <c r="CL133" s="21">
        <f>EXP(-LN(2)/25)*CL132+(1-EXP(-LN(2)/25))/(LN(2)/25)*Calculateur!CG133*Calculateur!CI133*VLOOKUP('Données projet'!$B$12,Paramètres!$A$1:$I$89,3,0)*0.475*44/12</f>
        <v>0.23960350450734638</v>
      </c>
      <c r="CM133" s="21">
        <f>EXP(-LN(2)/2)*CM132+(1-EXP(-LN(2)/2))/(LN(2)/2)*CG133*CJ133*VLOOKUP('Données projet'!$B$12,Paramètres!$A$1:$I$89,3,0)*0.475*44/12</f>
        <v>4.0185020557937824E-15</v>
      </c>
      <c r="CN133" s="22">
        <f t="shared" si="120"/>
        <v>0.65992813541577378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256.66666666666669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1.4210854715202004E-13</v>
      </c>
      <c r="O134" s="13">
        <f>N134*VLOOKUP('Données projet'!$B$9,Paramètres!$A$1:$I$89,3,0)*VLOOKUP('Données projet'!$B$9,Paramètres!$A$1:$I$89,5,0)</f>
        <v>1.4853185348329134E-13</v>
      </c>
      <c r="P134" s="13">
        <f t="shared" si="141"/>
        <v>2.1309431512949395E-12</v>
      </c>
      <c r="Q134" s="20">
        <f t="shared" si="108"/>
        <v>3.9700856333220852E-12</v>
      </c>
      <c r="R134" s="59">
        <f t="shared" si="109"/>
        <v>293.33333333333729</v>
      </c>
      <c r="S134" s="59">
        <f ca="1">AVERAGE(OFFSET($R$3,0,0,'Données projet'!$E$9+1,1))-AVERAGE(OFFSET($H$3,0,0,'Données projet'!$E$9+1,1))</f>
        <v>241.84492910369795</v>
      </c>
      <c r="T134" s="59">
        <f t="shared" si="142"/>
        <v>338.04336767245667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0.81925446919405753</v>
      </c>
      <c r="AA134" s="21">
        <f>EXP(-LN(2)/25)*AA133+(1-EXP(-LN(2)/25))/(LN(2)/25)*Calculateur!V134*Calculateur!X134*VLOOKUP('Données projet'!$B$9,Paramètres!$A$1:$I$89,3,0)*0.475*44/12</f>
        <v>0.84472061112015728</v>
      </c>
      <c r="AB134" s="21">
        <f>EXP(-LN(2)/2)*AB133+(1-EXP(-LN(2)/2))/(LN(2)/2)*V134*Y134*VLOOKUP('Données projet'!$B$9,Paramètres!$A$1:$I$89,3,0)*0.475*44/12</f>
        <v>5.4299193997401829E-15</v>
      </c>
      <c r="AC134" s="22">
        <f t="shared" si="111"/>
        <v>1.6639750803142201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>
        <f>AI134*VLOOKUP('Données projet'!$B$10,Paramètres!$A$1:$I$89,3,0)*VLOOKUP('Données projet'!$B$10,Paramètres!$A$1:$I$89,5,0)</f>
        <v>0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370.12772664814923</v>
      </c>
      <c r="AO134" s="59">
        <f t="shared" si="144"/>
        <v>292.26503163353146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1.0119202062914914</v>
      </c>
      <c r="AV134" s="21">
        <f>EXP(-LN(2)/25)*AV133+(1-EXP(-LN(2)/25))/(LN(2)/25)*Calculateur!AQ134*Calculateur!AS134*VLOOKUP('Données projet'!$B$10,Paramètres!$A$1:$I$89,3,0)*0.475*44/12</f>
        <v>0.40384807727807459</v>
      </c>
      <c r="AW134" s="21">
        <f>EXP(-LN(2)/2)*AW133+(1-EXP(-LN(2)/2))/(LN(2)/2)*AQ134*AT134*VLOOKUP('Données projet'!$B$10,Paramètres!$A$1:$I$89,3,0)*0.475*44/12</f>
        <v>4.9758324554676113E-15</v>
      </c>
      <c r="AX134" s="21">
        <f t="shared" si="114"/>
        <v>1.4157682835695709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>
        <f>BD134*VLOOKUP('Données projet'!$B$11,Paramètres!$A$1:$I$89,3,0)*VLOOKUP('Données projet'!$B$11,Paramètres!$A$1:$I$89,5,0)</f>
        <v>0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475.01366239340246</v>
      </c>
      <c r="BJ134" s="59">
        <f t="shared" si="146"/>
        <v>322.81767004794284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1.1764121315025715</v>
      </c>
      <c r="BQ134" s="21">
        <f>EXP(-LN(2)/25)*BQ133+(1-EXP(-LN(2)/25))/(LN(2)/25)*Calculateur!BL134*Calculateur!BN134*VLOOKUP('Données projet'!$B$11,Paramètres!$A$1:$I$89,3,0)*0.475*44/12</f>
        <v>0.67726222119000401</v>
      </c>
      <c r="BR134" s="21">
        <f>EXP(-LN(2)/2)*BR133+(1-EXP(-LN(2)/2))/(LN(2)/2)*BL134*BO134*VLOOKUP('Données projet'!$B$11,Paramètres!$A$1:$I$89,3,0)*0.475*44/12</f>
        <v>6.3767783699357794E-15</v>
      </c>
      <c r="BS134" s="22">
        <f t="shared" si="117"/>
        <v>1.8536743526925819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-1.1368683772161603E-13</v>
      </c>
      <c r="BZ134" s="13">
        <f>BY134*VLOOKUP('Données projet'!$B$12,Paramètres!$A$1:$I$89,3,0)*VLOOKUP('Données projet'!$B$12,Paramètres!$A$1:$I$89,5,0)</f>
        <v>-7.626113074366004E-14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254.8851926268614</v>
      </c>
      <c r="CE134" s="59">
        <f t="shared" si="148"/>
        <v>182.11500693273973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0.41208232126901934</v>
      </c>
      <c r="CL134" s="21">
        <f>EXP(-LN(2)/25)*CL133+(1-EXP(-LN(2)/25))/(LN(2)/25)*Calculateur!CG134*Calculateur!CI134*VLOOKUP('Données projet'!$B$12,Paramètres!$A$1:$I$89,3,0)*0.475*44/12</f>
        <v>0.23305153407639231</v>
      </c>
      <c r="CM134" s="21">
        <f>EXP(-LN(2)/2)*CM133+(1-EXP(-LN(2)/2))/(LN(2)/2)*CG134*CJ134*VLOOKUP('Données projet'!$B$12,Paramètres!$A$1:$I$89,3,0)*0.475*44/12</f>
        <v>2.8415100538638655E-15</v>
      </c>
      <c r="CN134" s="22">
        <f t="shared" si="120"/>
        <v>0.64513385534541456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256.66666666666669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1.4210854715202004E-13</v>
      </c>
      <c r="O135" s="13">
        <f>N135*VLOOKUP('Données projet'!$B$9,Paramètres!$A$1:$I$89,3,0)*VLOOKUP('Données projet'!$B$9,Paramètres!$A$1:$I$89,5,0)</f>
        <v>1.4853185348329134E-13</v>
      </c>
      <c r="P135" s="13">
        <f t="shared" si="141"/>
        <v>2.1309431512949395E-12</v>
      </c>
      <c r="Q135" s="20">
        <f t="shared" si="108"/>
        <v>3.9700856333220852E-12</v>
      </c>
      <c r="R135" s="59">
        <f t="shared" si="109"/>
        <v>293.33333333333729</v>
      </c>
      <c r="S135" s="59">
        <f ca="1">AVERAGE(OFFSET($R$3,0,0,'Données projet'!$E$9+1,1))-AVERAGE(OFFSET($H$3,0,0,'Données projet'!$E$9+1,1))</f>
        <v>241.84492910369795</v>
      </c>
      <c r="T135" s="59">
        <f t="shared" si="142"/>
        <v>338.04336767245667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0.80318938874904744</v>
      </c>
      <c r="AA135" s="21">
        <f>EXP(-LN(2)/25)*AA134+(1-EXP(-LN(2)/25))/(LN(2)/25)*Calculateur!V135*Calculateur!X135*VLOOKUP('Données projet'!$B$9,Paramètres!$A$1:$I$89,3,0)*0.475*44/12</f>
        <v>0.82162168158715032</v>
      </c>
      <c r="AB135" s="21">
        <f>EXP(-LN(2)/2)*AB134+(1-EXP(-LN(2)/2))/(LN(2)/2)*V135*Y135*VLOOKUP('Données projet'!$B$9,Paramètres!$A$1:$I$89,3,0)*0.475*44/12</f>
        <v>3.839532828852671E-15</v>
      </c>
      <c r="AC135" s="22">
        <f t="shared" si="111"/>
        <v>1.6248110703362015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>
        <f>AI135*VLOOKUP('Données projet'!$B$10,Paramètres!$A$1:$I$89,3,0)*VLOOKUP('Données projet'!$B$10,Paramètres!$A$1:$I$89,5,0)</f>
        <v>0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370.12772664814923</v>
      </c>
      <c r="AO135" s="59">
        <f t="shared" si="144"/>
        <v>292.26503163353146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0.99207706825649655</v>
      </c>
      <c r="AV135" s="21">
        <f>EXP(-LN(2)/25)*AV134+(1-EXP(-LN(2)/25))/(LN(2)/25)*Calculateur!AQ135*Calculateur!AS135*VLOOKUP('Données projet'!$B$10,Paramètres!$A$1:$I$89,3,0)*0.475*44/12</f>
        <v>0.39280483036745828</v>
      </c>
      <c r="AW135" s="21">
        <f>EXP(-LN(2)/2)*AW134+(1-EXP(-LN(2)/2))/(LN(2)/2)*AQ135*AT135*VLOOKUP('Données projet'!$B$10,Paramètres!$A$1:$I$89,3,0)*0.475*44/12</f>
        <v>3.5184448713092578E-15</v>
      </c>
      <c r="AX135" s="21">
        <f t="shared" si="114"/>
        <v>1.3848818986239584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>
        <f>BD135*VLOOKUP('Données projet'!$B$11,Paramètres!$A$1:$I$89,3,0)*VLOOKUP('Données projet'!$B$11,Paramètres!$A$1:$I$89,5,0)</f>
        <v>0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475.01366239340246</v>
      </c>
      <c r="BJ135" s="59">
        <f t="shared" si="146"/>
        <v>322.81767004794284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1.1533434071443551</v>
      </c>
      <c r="BQ135" s="21">
        <f>EXP(-LN(2)/25)*BQ134+(1-EXP(-LN(2)/25))/(LN(2)/25)*Calculateur!BL135*Calculateur!BN135*VLOOKUP('Données projet'!$B$11,Paramètres!$A$1:$I$89,3,0)*0.475*44/12</f>
        <v>0.65874245013589106</v>
      </c>
      <c r="BR135" s="21">
        <f>EXP(-LN(2)/2)*BR134+(1-EXP(-LN(2)/2))/(LN(2)/2)*BL135*BO135*VLOOKUP('Données projet'!$B$11,Paramètres!$A$1:$I$89,3,0)*0.475*44/12</f>
        <v>4.5090632275052883E-15</v>
      </c>
      <c r="BS135" s="22">
        <f t="shared" si="117"/>
        <v>1.8120858572802505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-1.1368683772161603E-13</v>
      </c>
      <c r="BZ135" s="13">
        <f>BY135*VLOOKUP('Données projet'!$B$12,Paramètres!$A$1:$I$89,3,0)*VLOOKUP('Données projet'!$B$12,Paramètres!$A$1:$I$89,5,0)</f>
        <v>-7.626113074366004E-14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254.8851926268614</v>
      </c>
      <c r="CE135" s="59">
        <f t="shared" si="148"/>
        <v>182.11500693273973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0.40400163829433156</v>
      </c>
      <c r="CL135" s="21">
        <f>EXP(-LN(2)/25)*CL134+(1-EXP(-LN(2)/25))/(LN(2)/25)*Calculateur!CG135*Calculateur!CI135*VLOOKUP('Données projet'!$B$12,Paramètres!$A$1:$I$89,3,0)*0.475*44/12</f>
        <v>0.22667872762142582</v>
      </c>
      <c r="CM135" s="21">
        <f>EXP(-LN(2)/2)*CM134+(1-EXP(-LN(2)/2))/(LN(2)/2)*CG135*CJ135*VLOOKUP('Données projet'!$B$12,Paramètres!$A$1:$I$89,3,0)*0.475*44/12</f>
        <v>2.0092510278968912E-15</v>
      </c>
      <c r="CN135" s="22">
        <f t="shared" si="120"/>
        <v>0.63068036591575938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256.66666666666669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1.4210854715202004E-13</v>
      </c>
      <c r="O136" s="13">
        <f>N136*VLOOKUP('Données projet'!$B$9,Paramètres!$A$1:$I$89,3,0)*VLOOKUP('Données projet'!$B$9,Paramètres!$A$1:$I$89,5,0)</f>
        <v>1.4853185348329134E-13</v>
      </c>
      <c r="P136" s="13">
        <f t="shared" si="141"/>
        <v>2.1309431512949395E-12</v>
      </c>
      <c r="Q136" s="20">
        <f t="shared" si="108"/>
        <v>3.9700856333220852E-12</v>
      </c>
      <c r="R136" s="59">
        <f t="shared" si="109"/>
        <v>293.33333333333729</v>
      </c>
      <c r="S136" s="59">
        <f ca="1">AVERAGE(OFFSET($R$3,0,0,'Données projet'!$E$9+1,1))-AVERAGE(OFFSET($H$3,0,0,'Données projet'!$E$9+1,1))</f>
        <v>241.84492910369795</v>
      </c>
      <c r="T136" s="59">
        <f t="shared" si="142"/>
        <v>338.04336767245667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0.78743933473283245</v>
      </c>
      <c r="AA136" s="21">
        <f>EXP(-LN(2)/25)*AA135+(1-EXP(-LN(2)/25))/(LN(2)/25)*Calculateur!V136*Calculateur!X136*VLOOKUP('Données projet'!$B$9,Paramètres!$A$1:$I$89,3,0)*0.475*44/12</f>
        <v>0.79915439349694328</v>
      </c>
      <c r="AB136" s="21">
        <f>EXP(-LN(2)/2)*AB135+(1-EXP(-LN(2)/2))/(LN(2)/2)*V136*Y136*VLOOKUP('Données projet'!$B$9,Paramètres!$A$1:$I$89,3,0)*0.475*44/12</f>
        <v>2.7149596998700915E-15</v>
      </c>
      <c r="AC136" s="22">
        <f t="shared" si="111"/>
        <v>1.5865937282297784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>
        <f>AI136*VLOOKUP('Données projet'!$B$10,Paramètres!$A$1:$I$89,3,0)*VLOOKUP('Données projet'!$B$10,Paramètres!$A$1:$I$89,5,0)</f>
        <v>0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370.12772664814923</v>
      </c>
      <c r="AO136" s="59">
        <f t="shared" si="144"/>
        <v>292.26503163353146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0.97262304205524897</v>
      </c>
      <c r="AV136" s="21">
        <f>EXP(-LN(2)/25)*AV135+(1-EXP(-LN(2)/25))/(LN(2)/25)*Calculateur!AQ136*Calculateur!AS136*VLOOKUP('Données projet'!$B$10,Paramètres!$A$1:$I$89,3,0)*0.475*44/12</f>
        <v>0.38206356162435184</v>
      </c>
      <c r="AW136" s="21">
        <f>EXP(-LN(2)/2)*AW135+(1-EXP(-LN(2)/2))/(LN(2)/2)*AQ136*AT136*VLOOKUP('Données projet'!$B$10,Paramètres!$A$1:$I$89,3,0)*0.475*44/12</f>
        <v>2.487916227733806E-15</v>
      </c>
      <c r="AX136" s="21">
        <f t="shared" si="114"/>
        <v>1.3546866036796033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>
        <f>BD136*VLOOKUP('Données projet'!$B$11,Paramètres!$A$1:$I$89,3,0)*VLOOKUP('Données projet'!$B$11,Paramètres!$A$1:$I$89,5,0)</f>
        <v>0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475.01366239340246</v>
      </c>
      <c r="BJ136" s="59">
        <f t="shared" si="146"/>
        <v>322.81767004794284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1.1307270464002708</v>
      </c>
      <c r="BQ136" s="21">
        <f>EXP(-LN(2)/25)*BQ135+(1-EXP(-LN(2)/25))/(LN(2)/25)*Calculateur!BL136*Calculateur!BN136*VLOOKUP('Données projet'!$B$11,Paramètres!$A$1:$I$89,3,0)*0.475*44/12</f>
        <v>0.64072910319516518</v>
      </c>
      <c r="BR136" s="21">
        <f>EXP(-LN(2)/2)*BR135+(1-EXP(-LN(2)/2))/(LN(2)/2)*BL136*BO136*VLOOKUP('Données projet'!$B$11,Paramètres!$A$1:$I$89,3,0)*0.475*44/12</f>
        <v>3.1883891849678897E-15</v>
      </c>
      <c r="BS136" s="22">
        <f t="shared" si="117"/>
        <v>1.7714561495954391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-1.1368683772161603E-13</v>
      </c>
      <c r="BZ136" s="13">
        <f>BY136*VLOOKUP('Données projet'!$B$12,Paramètres!$A$1:$I$89,3,0)*VLOOKUP('Données projet'!$B$12,Paramètres!$A$1:$I$89,5,0)</f>
        <v>-7.626113074366004E-14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254.8851926268614</v>
      </c>
      <c r="CE136" s="59">
        <f t="shared" si="148"/>
        <v>182.11500693273973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0.39607941258404744</v>
      </c>
      <c r="CL136" s="21">
        <f>EXP(-LN(2)/25)*CL135+(1-EXP(-LN(2)/25))/(LN(2)/25)*Calculateur!CG136*Calculateur!CI136*VLOOKUP('Données projet'!$B$12,Paramètres!$A$1:$I$89,3,0)*0.475*44/12</f>
        <v>0.22048018589410173</v>
      </c>
      <c r="CM136" s="21">
        <f>EXP(-LN(2)/2)*CM135+(1-EXP(-LN(2)/2))/(LN(2)/2)*CG136*CJ136*VLOOKUP('Données projet'!$B$12,Paramètres!$A$1:$I$89,3,0)*0.475*44/12</f>
        <v>1.4207550269319327E-15</v>
      </c>
      <c r="CN136" s="22">
        <f t="shared" si="120"/>
        <v>0.61655959847815056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256.66666666666669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1.4210854715202004E-13</v>
      </c>
      <c r="O137" s="13">
        <f>N137*VLOOKUP('Données projet'!$B$9,Paramètres!$A$1:$I$89,3,0)*VLOOKUP('Données projet'!$B$9,Paramètres!$A$1:$I$89,5,0)</f>
        <v>1.4853185348329134E-13</v>
      </c>
      <c r="P137" s="13">
        <f t="shared" si="141"/>
        <v>2.1309431512949395E-12</v>
      </c>
      <c r="Q137" s="20">
        <f t="shared" si="108"/>
        <v>3.9700856333220852E-12</v>
      </c>
      <c r="R137" s="59">
        <f t="shared" si="109"/>
        <v>293.33333333333729</v>
      </c>
      <c r="S137" s="59">
        <f ca="1">AVERAGE(OFFSET($R$3,0,0,'Données projet'!$E$9+1,1))-AVERAGE(OFFSET($H$3,0,0,'Données projet'!$E$9+1,1))</f>
        <v>241.84492910369795</v>
      </c>
      <c r="T137" s="59">
        <f t="shared" si="142"/>
        <v>338.04336767245667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0.77199812966929104</v>
      </c>
      <c r="AA137" s="21">
        <f>EXP(-LN(2)/25)*AA136+(1-EXP(-LN(2)/25))/(LN(2)/25)*Calculateur!V137*Calculateur!X137*VLOOKUP('Données projet'!$B$9,Paramètres!$A$1:$I$89,3,0)*0.475*44/12</f>
        <v>0.77730147458106635</v>
      </c>
      <c r="AB137" s="21">
        <f>EXP(-LN(2)/2)*AB136+(1-EXP(-LN(2)/2))/(LN(2)/2)*V137*Y137*VLOOKUP('Données projet'!$B$9,Paramètres!$A$1:$I$89,3,0)*0.475*44/12</f>
        <v>1.9197664144263355E-15</v>
      </c>
      <c r="AC137" s="22">
        <f t="shared" si="111"/>
        <v>1.5492996042503593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>
        <f>AI137*VLOOKUP('Données projet'!$B$10,Paramètres!$A$1:$I$89,3,0)*VLOOKUP('Données projet'!$B$10,Paramètres!$A$1:$I$89,5,0)</f>
        <v>0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370.12772664814923</v>
      </c>
      <c r="AO137" s="59">
        <f t="shared" si="144"/>
        <v>292.26503163353146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0.95355049744202347</v>
      </c>
      <c r="AV137" s="21">
        <f>EXP(-LN(2)/25)*AV136+(1-EXP(-LN(2)/25))/(LN(2)/25)*Calculateur!AQ137*Calculateur!AS137*VLOOKUP('Données projet'!$B$10,Paramètres!$A$1:$I$89,3,0)*0.475*44/12</f>
        <v>0.37161601343988443</v>
      </c>
      <c r="AW137" s="21">
        <f>EXP(-LN(2)/2)*AW136+(1-EXP(-LN(2)/2))/(LN(2)/2)*AQ137*AT137*VLOOKUP('Données projet'!$B$10,Paramètres!$A$1:$I$89,3,0)*0.475*44/12</f>
        <v>1.7592224356546293E-15</v>
      </c>
      <c r="AX137" s="21">
        <f t="shared" si="114"/>
        <v>1.3251665108819097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>
        <f>BD137*VLOOKUP('Données projet'!$B$11,Paramètres!$A$1:$I$89,3,0)*VLOOKUP('Données projet'!$B$11,Paramètres!$A$1:$I$89,5,0)</f>
        <v>0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475.01366239340246</v>
      </c>
      <c r="BJ137" s="59">
        <f t="shared" si="146"/>
        <v>322.81767004794284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1.10855417869576</v>
      </c>
      <c r="BQ137" s="21">
        <f>EXP(-LN(2)/25)*BQ136+(1-EXP(-LN(2)/25))/(LN(2)/25)*Calculateur!BL137*Calculateur!BN137*VLOOKUP('Données projet'!$B$11,Paramètres!$A$1:$I$89,3,0)*0.475*44/12</f>
        <v>0.62320833217381422</v>
      </c>
      <c r="BR137" s="21">
        <f>EXP(-LN(2)/2)*BR136+(1-EXP(-LN(2)/2))/(LN(2)/2)*BL137*BO137*VLOOKUP('Données projet'!$B$11,Paramètres!$A$1:$I$89,3,0)*0.475*44/12</f>
        <v>2.2545316137526441E-15</v>
      </c>
      <c r="BS137" s="22">
        <f t="shared" si="117"/>
        <v>1.7317625108695764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-1.1368683772161603E-13</v>
      </c>
      <c r="BZ137" s="13">
        <f>BY137*VLOOKUP('Données projet'!$B$12,Paramètres!$A$1:$I$89,3,0)*VLOOKUP('Données projet'!$B$12,Paramètres!$A$1:$I$89,5,0)</f>
        <v>-7.626113074366004E-14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254.8851926268614</v>
      </c>
      <c r="CE137" s="59">
        <f t="shared" si="148"/>
        <v>182.11500693273973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0.38831253688786144</v>
      </c>
      <c r="CL137" s="21">
        <f>EXP(-LN(2)/25)*CL136+(1-EXP(-LN(2)/25))/(LN(2)/25)*Calculateur!CG137*Calculateur!CI137*VLOOKUP('Données projet'!$B$12,Paramètres!$A$1:$I$89,3,0)*0.475*44/12</f>
        <v>0.21445114361627846</v>
      </c>
      <c r="CM137" s="21">
        <f>EXP(-LN(2)/2)*CM136+(1-EXP(-LN(2)/2))/(LN(2)/2)*CG137*CJ137*VLOOKUP('Données projet'!$B$12,Paramètres!$A$1:$I$89,3,0)*0.475*44/12</f>
        <v>1.0046255139484456E-15</v>
      </c>
      <c r="CN137" s="22">
        <f t="shared" si="120"/>
        <v>0.60276368050414086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256.66666666666669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1.4210854715202004E-13</v>
      </c>
      <c r="O138" s="13">
        <f>N138*VLOOKUP('Données projet'!$B$9,Paramètres!$A$1:$I$89,3,0)*VLOOKUP('Données projet'!$B$9,Paramètres!$A$1:$I$89,5,0)</f>
        <v>1.4853185348329134E-13</v>
      </c>
      <c r="P138" s="13">
        <f t="shared" si="141"/>
        <v>2.1309431512949395E-12</v>
      </c>
      <c r="Q138" s="20">
        <f t="shared" si="108"/>
        <v>3.9700856333220852E-12</v>
      </c>
      <c r="R138" s="59">
        <f t="shared" si="109"/>
        <v>293.33333333333729</v>
      </c>
      <c r="S138" s="59">
        <f ca="1">AVERAGE(OFFSET($R$3,0,0,'Données projet'!$E$9+1,1))-AVERAGE(OFFSET($H$3,0,0,'Données projet'!$E$9+1,1))</f>
        <v>241.84492910369795</v>
      </c>
      <c r="T138" s="59">
        <f t="shared" si="142"/>
        <v>338.04336767245667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0.7568597172188406</v>
      </c>
      <c r="AA138" s="21">
        <f>EXP(-LN(2)/25)*AA137+(1-EXP(-LN(2)/25))/(LN(2)/25)*Calculateur!V138*Calculateur!X138*VLOOKUP('Données projet'!$B$9,Paramètres!$A$1:$I$89,3,0)*0.475*44/12</f>
        <v>0.75604612488213907</v>
      </c>
      <c r="AB138" s="21">
        <f>EXP(-LN(2)/2)*AB137+(1-EXP(-LN(2)/2))/(LN(2)/2)*V138*Y138*VLOOKUP('Données projet'!$B$9,Paramètres!$A$1:$I$89,3,0)*0.475*44/12</f>
        <v>1.3574798499350457E-15</v>
      </c>
      <c r="AC138" s="22">
        <f t="shared" si="111"/>
        <v>1.5129058421009809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>
        <f>AI138*VLOOKUP('Données projet'!$B$10,Paramètres!$A$1:$I$89,3,0)*VLOOKUP('Données projet'!$B$10,Paramètres!$A$1:$I$89,5,0)</f>
        <v>0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370.12772664814923</v>
      </c>
      <c r="AO138" s="59">
        <f t="shared" si="144"/>
        <v>292.26503163353146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0.93485195379555974</v>
      </c>
      <c r="AV138" s="21">
        <f>EXP(-LN(2)/25)*AV137+(1-EXP(-LN(2)/25))/(LN(2)/25)*Calculateur!AQ138*Calculateur!AS138*VLOOKUP('Données projet'!$B$10,Paramètres!$A$1:$I$89,3,0)*0.475*44/12</f>
        <v>0.36145415400993397</v>
      </c>
      <c r="AW138" s="21">
        <f>EXP(-LN(2)/2)*AW137+(1-EXP(-LN(2)/2))/(LN(2)/2)*AQ138*AT138*VLOOKUP('Données projet'!$B$10,Paramètres!$A$1:$I$89,3,0)*0.475*44/12</f>
        <v>1.2439581138669032E-15</v>
      </c>
      <c r="AX138" s="21">
        <f t="shared" si="114"/>
        <v>1.2963061078054952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>
        <f>BD138*VLOOKUP('Données projet'!$B$11,Paramètres!$A$1:$I$89,3,0)*VLOOKUP('Données projet'!$B$11,Paramètres!$A$1:$I$89,5,0)</f>
        <v>0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475.01366239340246</v>
      </c>
      <c r="BJ138" s="59">
        <f t="shared" si="146"/>
        <v>322.81767004794284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1.0868161074028209</v>
      </c>
      <c r="BQ138" s="21">
        <f>EXP(-LN(2)/25)*BQ137+(1-EXP(-LN(2)/25))/(LN(2)/25)*Calculateur!BL138*Calculateur!BN138*VLOOKUP('Données projet'!$B$11,Paramètres!$A$1:$I$89,3,0)*0.475*44/12</f>
        <v>0.60616666755741944</v>
      </c>
      <c r="BR138" s="21">
        <f>EXP(-LN(2)/2)*BR137+(1-EXP(-LN(2)/2))/(LN(2)/2)*BL138*BO138*VLOOKUP('Données projet'!$B$11,Paramètres!$A$1:$I$89,3,0)*0.475*44/12</f>
        <v>1.5941945924839448E-15</v>
      </c>
      <c r="BS138" s="22">
        <f t="shared" si="117"/>
        <v>1.6929827749602417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-1.1368683772161603E-13</v>
      </c>
      <c r="BZ138" s="13">
        <f>BY138*VLOOKUP('Données projet'!$B$12,Paramètres!$A$1:$I$89,3,0)*VLOOKUP('Données projet'!$B$12,Paramètres!$A$1:$I$89,5,0)</f>
        <v>-7.626113074366004E-14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254.8851926268614</v>
      </c>
      <c r="CE138" s="59">
        <f t="shared" si="148"/>
        <v>182.11500693273973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0.38069796488675123</v>
      </c>
      <c r="CL138" s="21">
        <f>EXP(-LN(2)/25)*CL137+(1-EXP(-LN(2)/25))/(LN(2)/25)*Calculateur!CG138*Calculateur!CI138*VLOOKUP('Données projet'!$B$12,Paramètres!$A$1:$I$89,3,0)*0.475*44/12</f>
        <v>0.2085869658165958</v>
      </c>
      <c r="CM138" s="21">
        <f>EXP(-LN(2)/2)*CM137+(1-EXP(-LN(2)/2))/(LN(2)/2)*CG138*CJ138*VLOOKUP('Données projet'!$B$12,Paramètres!$A$1:$I$89,3,0)*0.475*44/12</f>
        <v>7.1037751346596636E-16</v>
      </c>
      <c r="CN138" s="22">
        <f t="shared" si="120"/>
        <v>0.58928493070334764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256.66666666666669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1.4210854715202004E-13</v>
      </c>
      <c r="O139" s="13">
        <f>N139*VLOOKUP('Données projet'!$B$9,Paramètres!$A$1:$I$89,3,0)*VLOOKUP('Données projet'!$B$9,Paramètres!$A$1:$I$89,5,0)</f>
        <v>1.4853185348329134E-13</v>
      </c>
      <c r="P139" s="13">
        <f t="shared" si="141"/>
        <v>2.1309431512949395E-12</v>
      </c>
      <c r="Q139" s="20">
        <f t="shared" si="108"/>
        <v>3.9700856333220852E-12</v>
      </c>
      <c r="R139" s="59">
        <f t="shared" si="109"/>
        <v>293.33333333333729</v>
      </c>
      <c r="S139" s="59">
        <f ca="1">AVERAGE(OFFSET($R$3,0,0,'Données projet'!$E$9+1,1))-AVERAGE(OFFSET($H$3,0,0,'Données projet'!$E$9+1,1))</f>
        <v>241.84492910369795</v>
      </c>
      <c r="T139" s="59">
        <f t="shared" si="142"/>
        <v>338.04336767245667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0.74201815980302355</v>
      </c>
      <c r="AA139" s="21">
        <f>EXP(-LN(2)/25)*AA138+(1-EXP(-LN(2)/25))/(LN(2)/25)*Calculateur!V139*Calculateur!X139*VLOOKUP('Données projet'!$B$9,Paramètres!$A$1:$I$89,3,0)*0.475*44/12</f>
        <v>0.73537200383849921</v>
      </c>
      <c r="AB139" s="21">
        <f>EXP(-LN(2)/2)*AB138+(1-EXP(-LN(2)/2))/(LN(2)/2)*V139*Y139*VLOOKUP('Données projet'!$B$9,Paramètres!$A$1:$I$89,3,0)*0.475*44/12</f>
        <v>9.5988320721316775E-16</v>
      </c>
      <c r="AC139" s="22">
        <f t="shared" si="111"/>
        <v>1.4773901636415236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>
        <f>AI139*VLOOKUP('Données projet'!$B$10,Paramètres!$A$1:$I$89,3,0)*VLOOKUP('Données projet'!$B$10,Paramètres!$A$1:$I$89,5,0)</f>
        <v>0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370.12772664814923</v>
      </c>
      <c r="AO139" s="59">
        <f t="shared" si="144"/>
        <v>292.26503163353146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0.91652007718501771</v>
      </c>
      <c r="AV139" s="21">
        <f>EXP(-LN(2)/25)*AV138+(1-EXP(-LN(2)/25))/(LN(2)/25)*Calculateur!AQ139*Calculateur!AS139*VLOOKUP('Données projet'!$B$10,Paramètres!$A$1:$I$89,3,0)*0.475*44/12</f>
        <v>0.3515701711604845</v>
      </c>
      <c r="AW139" s="21">
        <f>EXP(-LN(2)/2)*AW138+(1-EXP(-LN(2)/2))/(LN(2)/2)*AQ139*AT139*VLOOKUP('Données projet'!$B$10,Paramètres!$A$1:$I$89,3,0)*0.475*44/12</f>
        <v>8.7961121782731475E-16</v>
      </c>
      <c r="AX139" s="21">
        <f t="shared" si="114"/>
        <v>1.2680902483455032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>
        <f>BD139*VLOOKUP('Données projet'!$B$11,Paramètres!$A$1:$I$89,3,0)*VLOOKUP('Données projet'!$B$11,Paramètres!$A$1:$I$89,5,0)</f>
        <v>0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475.01366239340246</v>
      </c>
      <c r="BJ139" s="59">
        <f t="shared" si="146"/>
        <v>322.81767004794284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1.0655043064290219</v>
      </c>
      <c r="BQ139" s="21">
        <f>EXP(-LN(2)/25)*BQ138+(1-EXP(-LN(2)/25))/(LN(2)/25)*Calculateur!BL139*Calculateur!BN139*VLOOKUP('Données projet'!$B$11,Paramètres!$A$1:$I$89,3,0)*0.475*44/12</f>
        <v>0.58959100815614218</v>
      </c>
      <c r="BR139" s="21">
        <f>EXP(-LN(2)/2)*BR138+(1-EXP(-LN(2)/2))/(LN(2)/2)*BL139*BO139*VLOOKUP('Données projet'!$B$11,Paramètres!$A$1:$I$89,3,0)*0.475*44/12</f>
        <v>1.1272658068763221E-15</v>
      </c>
      <c r="BS139" s="22">
        <f t="shared" si="117"/>
        <v>1.6550953145851652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-1.1368683772161603E-13</v>
      </c>
      <c r="BZ139" s="13">
        <f>BY139*VLOOKUP('Données projet'!$B$12,Paramètres!$A$1:$I$89,3,0)*VLOOKUP('Données projet'!$B$12,Paramètres!$A$1:$I$89,5,0)</f>
        <v>-7.626113074366004E-14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254.8851926268614</v>
      </c>
      <c r="CE139" s="59">
        <f t="shared" si="148"/>
        <v>182.11500693273973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0.3732327099981525</v>
      </c>
      <c r="CL139" s="21">
        <f>EXP(-LN(2)/25)*CL138+(1-EXP(-LN(2)/25))/(LN(2)/25)*Calculateur!CG139*Calculateur!CI139*VLOOKUP('Données projet'!$B$12,Paramètres!$A$1:$I$89,3,0)*0.475*44/12</f>
        <v>0.2028831442672292</v>
      </c>
      <c r="CM139" s="21">
        <f>EXP(-LN(2)/2)*CM138+(1-EXP(-LN(2)/2))/(LN(2)/2)*CG139*CJ139*VLOOKUP('Données projet'!$B$12,Paramètres!$A$1:$I$89,3,0)*0.475*44/12</f>
        <v>5.0231275697422279E-16</v>
      </c>
      <c r="CN139" s="22">
        <f t="shared" si="120"/>
        <v>0.57611585426538225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256.66666666666669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1.4210854715202004E-13</v>
      </c>
      <c r="O140" s="13">
        <f>N140*VLOOKUP('Données projet'!$B$9,Paramètres!$A$1:$I$89,3,0)*VLOOKUP('Données projet'!$B$9,Paramètres!$A$1:$I$89,5,0)</f>
        <v>1.4853185348329134E-13</v>
      </c>
      <c r="P140" s="13">
        <f t="shared" si="141"/>
        <v>2.1309431512949395E-12</v>
      </c>
      <c r="Q140" s="20">
        <f t="shared" si="108"/>
        <v>3.9700856333220852E-12</v>
      </c>
      <c r="R140" s="59">
        <f t="shared" si="109"/>
        <v>293.33333333333729</v>
      </c>
      <c r="S140" s="59">
        <f ca="1">AVERAGE(OFFSET($R$3,0,0,'Données projet'!$E$9+1,1))-AVERAGE(OFFSET($H$3,0,0,'Données projet'!$E$9+1,1))</f>
        <v>241.84492910369795</v>
      </c>
      <c r="T140" s="59">
        <f t="shared" si="142"/>
        <v>338.04336767245667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0.72746763627567457</v>
      </c>
      <c r="AA140" s="21">
        <f>EXP(-LN(2)/25)*AA139+(1-EXP(-LN(2)/25))/(LN(2)/25)*Calculateur!V140*Calculateur!X140*VLOOKUP('Données projet'!$B$9,Paramètres!$A$1:$I$89,3,0)*0.475*44/12</f>
        <v>0.71526321772200252</v>
      </c>
      <c r="AB140" s="21">
        <f>EXP(-LN(2)/2)*AB139+(1-EXP(-LN(2)/2))/(LN(2)/2)*V140*Y140*VLOOKUP('Données projet'!$B$9,Paramètres!$A$1:$I$89,3,0)*0.475*44/12</f>
        <v>6.7873992496752287E-16</v>
      </c>
      <c r="AC140" s="22">
        <f t="shared" si="111"/>
        <v>1.4427308539976778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>
        <f>AI140*VLOOKUP('Données projet'!$B$10,Paramètres!$A$1:$I$89,3,0)*VLOOKUP('Données projet'!$B$10,Paramètres!$A$1:$I$89,5,0)</f>
        <v>0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370.12772664814923</v>
      </c>
      <c r="AO140" s="59">
        <f t="shared" si="144"/>
        <v>292.26503163353146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0.89854767749346776</v>
      </c>
      <c r="AV140" s="21">
        <f>EXP(-LN(2)/25)*AV139+(1-EXP(-LN(2)/25))/(LN(2)/25)*Calculateur!AQ140*Calculateur!AS140*VLOOKUP('Données projet'!$B$10,Paramètres!$A$1:$I$89,3,0)*0.475*44/12</f>
        <v>0.3419564663418293</v>
      </c>
      <c r="AW140" s="21">
        <f>EXP(-LN(2)/2)*AW139+(1-EXP(-LN(2)/2))/(LN(2)/2)*AQ140*AT140*VLOOKUP('Données projet'!$B$10,Paramètres!$A$1:$I$89,3,0)*0.475*44/12</f>
        <v>6.2197905693345171E-16</v>
      </c>
      <c r="AX140" s="21">
        <f t="shared" si="114"/>
        <v>1.2405041438352977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>
        <f>BD140*VLOOKUP('Données projet'!$B$11,Paramètres!$A$1:$I$89,3,0)*VLOOKUP('Données projet'!$B$11,Paramètres!$A$1:$I$89,5,0)</f>
        <v>0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475.01366239340246</v>
      </c>
      <c r="BJ140" s="59">
        <f t="shared" si="146"/>
        <v>322.81767004794284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1.0446104168734041</v>
      </c>
      <c r="BQ140" s="21">
        <f>EXP(-LN(2)/25)*BQ139+(1-EXP(-LN(2)/25))/(LN(2)/25)*Calculateur!BL140*Calculateur!BN140*VLOOKUP('Données projet'!$B$11,Paramètres!$A$1:$I$89,3,0)*0.475*44/12</f>
        <v>0.57346861103286884</v>
      </c>
      <c r="BR140" s="21">
        <f>EXP(-LN(2)/2)*BR139+(1-EXP(-LN(2)/2))/(LN(2)/2)*BL140*BO140*VLOOKUP('Données projet'!$B$11,Paramètres!$A$1:$I$89,3,0)*0.475*44/12</f>
        <v>7.9709729624197242E-16</v>
      </c>
      <c r="BS140" s="22">
        <f t="shared" si="117"/>
        <v>1.6180790279062738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-1.1368683772161603E-13</v>
      </c>
      <c r="BZ140" s="13">
        <f>BY140*VLOOKUP('Données projet'!$B$12,Paramètres!$A$1:$I$89,3,0)*VLOOKUP('Données projet'!$B$12,Paramètres!$A$1:$I$89,5,0)</f>
        <v>-7.626113074366004E-14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254.8851926268614</v>
      </c>
      <c r="CE140" s="59">
        <f t="shared" si="148"/>
        <v>182.11500693273973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0.3659138442045633</v>
      </c>
      <c r="CL140" s="21">
        <f>EXP(-LN(2)/25)*CL139+(1-EXP(-LN(2)/25))/(LN(2)/25)*Calculateur!CG140*Calculateur!CI140*VLOOKUP('Données projet'!$B$12,Paramètres!$A$1:$I$89,3,0)*0.475*44/12</f>
        <v>0.19733529401808095</v>
      </c>
      <c r="CM140" s="21">
        <f>EXP(-LN(2)/2)*CM139+(1-EXP(-LN(2)/2))/(LN(2)/2)*CG140*CJ140*VLOOKUP('Données projet'!$B$12,Paramètres!$A$1:$I$89,3,0)*0.475*44/12</f>
        <v>3.5518875673298318E-16</v>
      </c>
      <c r="CN140" s="22">
        <f t="shared" si="120"/>
        <v>0.56324913822264455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256.66666666666669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1.4210854715202004E-13</v>
      </c>
      <c r="O141" s="13">
        <f>N141*VLOOKUP('Données projet'!$B$9,Paramètres!$A$1:$I$89,3,0)*VLOOKUP('Données projet'!$B$9,Paramètres!$A$1:$I$89,5,0)</f>
        <v>1.4853185348329134E-13</v>
      </c>
      <c r="P141" s="13">
        <f t="shared" si="141"/>
        <v>2.1309431512949395E-12</v>
      </c>
      <c r="Q141" s="20">
        <f t="shared" si="108"/>
        <v>3.9700856333220852E-12</v>
      </c>
      <c r="R141" s="59">
        <f t="shared" si="109"/>
        <v>293.33333333333729</v>
      </c>
      <c r="S141" s="59">
        <f ca="1">AVERAGE(OFFSET($R$3,0,0,'Données projet'!$E$9+1,1))-AVERAGE(OFFSET($H$3,0,0,'Données projet'!$E$9+1,1))</f>
        <v>241.84492910369795</v>
      </c>
      <c r="T141" s="59">
        <f t="shared" si="142"/>
        <v>338.04336767245667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0.71320243963975383</v>
      </c>
      <c r="AA141" s="21">
        <f>EXP(-LN(2)/25)*AA140+(1-EXP(-LN(2)/25))/(LN(2)/25)*Calculateur!V141*Calculateur!X141*VLOOKUP('Données projet'!$B$9,Paramètres!$A$1:$I$89,3,0)*0.475*44/12</f>
        <v>0.69570430741933653</v>
      </c>
      <c r="AB141" s="21">
        <f>EXP(-LN(2)/2)*AB140+(1-EXP(-LN(2)/2))/(LN(2)/2)*V141*Y141*VLOOKUP('Données projet'!$B$9,Paramètres!$A$1:$I$89,3,0)*0.475*44/12</f>
        <v>4.7994160360658388E-16</v>
      </c>
      <c r="AC141" s="22">
        <f t="shared" si="111"/>
        <v>1.4089067470590908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>
        <f>AI141*VLOOKUP('Données projet'!$B$10,Paramètres!$A$1:$I$89,3,0)*VLOOKUP('Données projet'!$B$10,Paramètres!$A$1:$I$89,5,0)</f>
        <v>0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370.12772664814923</v>
      </c>
      <c r="AO141" s="59">
        <f t="shared" si="144"/>
        <v>292.26503163353146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0.88092770559778766</v>
      </c>
      <c r="AV141" s="21">
        <f>EXP(-LN(2)/25)*AV140+(1-EXP(-LN(2)/25))/(LN(2)/25)*Calculateur!AQ141*Calculateur!AS141*VLOOKUP('Données projet'!$B$10,Paramètres!$A$1:$I$89,3,0)*0.475*44/12</f>
        <v>0.33260564878700294</v>
      </c>
      <c r="AW141" s="21">
        <f>EXP(-LN(2)/2)*AW140+(1-EXP(-LN(2)/2))/(LN(2)/2)*AQ141*AT141*VLOOKUP('Données projet'!$B$10,Paramètres!$A$1:$I$89,3,0)*0.475*44/12</f>
        <v>4.3980560891365747E-16</v>
      </c>
      <c r="AX141" s="21">
        <f t="shared" si="114"/>
        <v>1.213533354384791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>
        <f>BD141*VLOOKUP('Données projet'!$B$11,Paramètres!$A$1:$I$89,3,0)*VLOOKUP('Données projet'!$B$11,Paramètres!$A$1:$I$89,5,0)</f>
        <v>0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475.01366239340246</v>
      </c>
      <c r="BJ141" s="59">
        <f t="shared" si="146"/>
        <v>322.81767004794284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1.0241262437479577</v>
      </c>
      <c r="BQ141" s="21">
        <f>EXP(-LN(2)/25)*BQ140+(1-EXP(-LN(2)/25))/(LN(2)/25)*Calculateur!BL141*Calculateur!BN141*VLOOKUP('Données projet'!$B$11,Paramètres!$A$1:$I$89,3,0)*0.475*44/12</f>
        <v>0.55778708170677149</v>
      </c>
      <c r="BR141" s="21">
        <f>EXP(-LN(2)/2)*BR140+(1-EXP(-LN(2)/2))/(LN(2)/2)*BL141*BO141*VLOOKUP('Données projet'!$B$11,Paramètres!$A$1:$I$89,3,0)*0.475*44/12</f>
        <v>5.6363290343816104E-16</v>
      </c>
      <c r="BS141" s="22">
        <f t="shared" si="117"/>
        <v>1.5819133254547297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-1.1368683772161603E-13</v>
      </c>
      <c r="BZ141" s="13">
        <f>BY141*VLOOKUP('Données projet'!$B$12,Paramètres!$A$1:$I$89,3,0)*VLOOKUP('Données projet'!$B$12,Paramètres!$A$1:$I$89,5,0)</f>
        <v>-7.626113074366004E-14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254.8851926268614</v>
      </c>
      <c r="CE141" s="59">
        <f t="shared" si="148"/>
        <v>182.11500693273973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0.35873849690511905</v>
      </c>
      <c r="CL141" s="21">
        <f>EXP(-LN(2)/25)*CL140+(1-EXP(-LN(2)/25))/(LN(2)/25)*Calculateur!CG141*Calculateur!CI141*VLOOKUP('Données projet'!$B$12,Paramètres!$A$1:$I$89,3,0)*0.475*44/12</f>
        <v>0.19193915002574444</v>
      </c>
      <c r="CM141" s="21">
        <f>EXP(-LN(2)/2)*CM140+(1-EXP(-LN(2)/2))/(LN(2)/2)*CG141*CJ141*VLOOKUP('Données projet'!$B$12,Paramètres!$A$1:$I$89,3,0)*0.475*44/12</f>
        <v>2.511563784871114E-16</v>
      </c>
      <c r="CN141" s="22">
        <f t="shared" si="120"/>
        <v>0.55067764693086374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256.66666666666669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1.4210854715202004E-13</v>
      </c>
      <c r="O142" s="13">
        <f>N142*VLOOKUP('Données projet'!$B$9,Paramètres!$A$1:$I$89,3,0)*VLOOKUP('Données projet'!$B$9,Paramètres!$A$1:$I$89,5,0)</f>
        <v>1.4853185348329134E-13</v>
      </c>
      <c r="P142" s="13">
        <f t="shared" si="141"/>
        <v>2.1309431512949395E-12</v>
      </c>
      <c r="Q142" s="20">
        <f t="shared" si="108"/>
        <v>3.9700856333220852E-12</v>
      </c>
      <c r="R142" s="59">
        <f t="shared" si="109"/>
        <v>293.33333333333729</v>
      </c>
      <c r="S142" s="59">
        <f ca="1">AVERAGE(OFFSET($R$3,0,0,'Données projet'!$E$9+1,1))-AVERAGE(OFFSET($H$3,0,0,'Données projet'!$E$9+1,1))</f>
        <v>241.84492910369795</v>
      </c>
      <c r="T142" s="59">
        <f t="shared" si="142"/>
        <v>338.04336767245667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0.69921697480895273</v>
      </c>
      <c r="AA142" s="21">
        <f>EXP(-LN(2)/25)*AA141+(1-EXP(-LN(2)/25))/(LN(2)/25)*Calculateur!V142*Calculateur!X142*VLOOKUP('Données projet'!$B$9,Paramètres!$A$1:$I$89,3,0)*0.475*44/12</f>
        <v>0.67668023654745535</v>
      </c>
      <c r="AB142" s="21">
        <f>EXP(-LN(2)/2)*AB141+(1-EXP(-LN(2)/2))/(LN(2)/2)*V142*Y142*VLOOKUP('Données projet'!$B$9,Paramètres!$A$1:$I$89,3,0)*0.475*44/12</f>
        <v>3.3936996248376143E-16</v>
      </c>
      <c r="AC142" s="22">
        <f t="shared" si="111"/>
        <v>1.3758972113564085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>
        <f>AI142*VLOOKUP('Données projet'!$B$10,Paramètres!$A$1:$I$89,3,0)*VLOOKUP('Données projet'!$B$10,Paramètres!$A$1:$I$89,5,0)</f>
        <v>0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370.12772664814923</v>
      </c>
      <c r="AO142" s="59">
        <f t="shared" si="144"/>
        <v>292.26503163353146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0.86365325060386022</v>
      </c>
      <c r="AV142" s="21">
        <f>EXP(-LN(2)/25)*AV141+(1-EXP(-LN(2)/25))/(LN(2)/25)*Calculateur!AQ142*Calculateur!AS142*VLOOKUP('Données projet'!$B$10,Paramètres!$A$1:$I$89,3,0)*0.475*44/12</f>
        <v>0.32351052982995143</v>
      </c>
      <c r="AW142" s="21">
        <f>EXP(-LN(2)/2)*AW141+(1-EXP(-LN(2)/2))/(LN(2)/2)*AQ142*AT142*VLOOKUP('Données projet'!$B$10,Paramètres!$A$1:$I$89,3,0)*0.475*44/12</f>
        <v>3.109895284667259E-16</v>
      </c>
      <c r="AX142" s="21">
        <f t="shared" si="114"/>
        <v>1.187163780433812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>
        <f>BD142*VLOOKUP('Données projet'!$B$11,Paramètres!$A$1:$I$89,3,0)*VLOOKUP('Données projet'!$B$11,Paramètres!$A$1:$I$89,5,0)</f>
        <v>0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475.01366239340246</v>
      </c>
      <c r="BJ142" s="59">
        <f t="shared" si="146"/>
        <v>322.81767004794284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1.0040437527633894</v>
      </c>
      <c r="BQ142" s="21">
        <f>EXP(-LN(2)/25)*BQ141+(1-EXP(-LN(2)/25))/(LN(2)/25)*Calculateur!BL142*Calculateur!BN142*VLOOKUP('Données projet'!$B$11,Paramètres!$A$1:$I$89,3,0)*0.475*44/12</f>
        <v>0.54253436462475202</v>
      </c>
      <c r="BR142" s="21">
        <f>EXP(-LN(2)/2)*BR141+(1-EXP(-LN(2)/2))/(LN(2)/2)*BL142*BO142*VLOOKUP('Données projet'!$B$11,Paramètres!$A$1:$I$89,3,0)*0.475*44/12</f>
        <v>3.9854864812098621E-16</v>
      </c>
      <c r="BS142" s="22">
        <f t="shared" si="117"/>
        <v>1.5465781173881419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-1.1368683772161603E-13</v>
      </c>
      <c r="BZ142" s="13">
        <f>BY142*VLOOKUP('Données projet'!$B$12,Paramètres!$A$1:$I$89,3,0)*VLOOKUP('Données projet'!$B$12,Paramètres!$A$1:$I$89,5,0)</f>
        <v>-7.626113074366004E-14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254.8851926268614</v>
      </c>
      <c r="CE142" s="59">
        <f t="shared" si="148"/>
        <v>182.11500693273973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0.35170385378968722</v>
      </c>
      <c r="CL142" s="21">
        <f>EXP(-LN(2)/25)*CL141+(1-EXP(-LN(2)/25))/(LN(2)/25)*Calculateur!CG142*Calculateur!CI142*VLOOKUP('Données projet'!$B$12,Paramètres!$A$1:$I$89,3,0)*0.475*44/12</f>
        <v>0.18669056387464925</v>
      </c>
      <c r="CM142" s="21">
        <f>EXP(-LN(2)/2)*CM141+(1-EXP(-LN(2)/2))/(LN(2)/2)*CG142*CJ142*VLOOKUP('Données projet'!$B$12,Paramètres!$A$1:$I$89,3,0)*0.475*44/12</f>
        <v>1.7759437836649159E-16</v>
      </c>
      <c r="CN142" s="22">
        <f t="shared" si="120"/>
        <v>0.53839441766433671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256.66666666666669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1.4210854715202004E-13</v>
      </c>
      <c r="O143" s="13">
        <f>N143*VLOOKUP('Données projet'!$B$9,Paramètres!$A$1:$I$89,3,0)*VLOOKUP('Données projet'!$B$9,Paramètres!$A$1:$I$89,5,0)</f>
        <v>1.4853185348329134E-13</v>
      </c>
      <c r="P143" s="13">
        <f t="shared" si="141"/>
        <v>2.1309431512949395E-12</v>
      </c>
      <c r="Q143" s="20">
        <f t="shared" si="108"/>
        <v>3.9700856333220852E-12</v>
      </c>
      <c r="R143" s="59">
        <f t="shared" si="109"/>
        <v>293.33333333333729</v>
      </c>
      <c r="S143" s="59">
        <f ca="1">AVERAGE(OFFSET($R$3,0,0,'Données projet'!$E$9+1,1))-AVERAGE(OFFSET($H$3,0,0,'Données projet'!$E$9+1,1))</f>
        <v>241.84492910369795</v>
      </c>
      <c r="T143" s="59">
        <f t="shared" si="142"/>
        <v>338.04336767245667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0.68550575641319234</v>
      </c>
      <c r="AA143" s="21">
        <f>EXP(-LN(2)/25)*AA142+(1-EXP(-LN(2)/25))/(LN(2)/25)*Calculateur!V143*Calculateur!X143*VLOOKUP('Données projet'!$B$9,Paramètres!$A$1:$I$89,3,0)*0.475*44/12</f>
        <v>0.65817637989399813</v>
      </c>
      <c r="AB143" s="21">
        <f>EXP(-LN(2)/2)*AB142+(1-EXP(-LN(2)/2))/(LN(2)/2)*V143*Y143*VLOOKUP('Données projet'!$B$9,Paramètres!$A$1:$I$89,3,0)*0.475*44/12</f>
        <v>2.3997080180329194E-16</v>
      </c>
      <c r="AC143" s="22">
        <f t="shared" si="111"/>
        <v>1.3436821363071907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>
        <f>AI143*VLOOKUP('Données projet'!$B$10,Paramètres!$A$1:$I$89,3,0)*VLOOKUP('Données projet'!$B$10,Paramètres!$A$1:$I$89,5,0)</f>
        <v>0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370.12772664814923</v>
      </c>
      <c r="AO143" s="59">
        <f t="shared" si="144"/>
        <v>292.26503163353146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0.84671753713598652</v>
      </c>
      <c r="AV143" s="21">
        <f>EXP(-LN(2)/25)*AV142+(1-EXP(-LN(2)/25))/(LN(2)/25)*Calculateur!AQ143*Calculateur!AS143*VLOOKUP('Données projet'!$B$10,Paramètres!$A$1:$I$89,3,0)*0.475*44/12</f>
        <v>0.31466411737907202</v>
      </c>
      <c r="AW143" s="21">
        <f>EXP(-LN(2)/2)*AW142+(1-EXP(-LN(2)/2))/(LN(2)/2)*AQ143*AT143*VLOOKUP('Données projet'!$B$10,Paramètres!$A$1:$I$89,3,0)*0.475*44/12</f>
        <v>2.1990280445682876E-16</v>
      </c>
      <c r="AX143" s="21">
        <f t="shared" si="114"/>
        <v>1.1613816545150588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>
        <f>BD143*VLOOKUP('Données projet'!$B$11,Paramètres!$A$1:$I$89,3,0)*VLOOKUP('Données projet'!$B$11,Paramètres!$A$1:$I$89,5,0)</f>
        <v>0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475.01366239340246</v>
      </c>
      <c r="BJ143" s="59">
        <f t="shared" si="146"/>
        <v>322.81767004794284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0.98435506717791843</v>
      </c>
      <c r="BQ143" s="21">
        <f>EXP(-LN(2)/25)*BQ142+(1-EXP(-LN(2)/25))/(LN(2)/25)*Calculateur!BL143*Calculateur!BN143*VLOOKUP('Données projet'!$B$11,Paramètres!$A$1:$I$89,3,0)*0.475*44/12</f>
        <v>0.5276987338934459</v>
      </c>
      <c r="BR143" s="21">
        <f>EXP(-LN(2)/2)*BR142+(1-EXP(-LN(2)/2))/(LN(2)/2)*BL143*BO143*VLOOKUP('Données projet'!$B$11,Paramètres!$A$1:$I$89,3,0)*0.475*44/12</f>
        <v>2.8181645171908052E-16</v>
      </c>
      <c r="BS143" s="22">
        <f t="shared" si="117"/>
        <v>1.5120538010713644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-1.1368683772161603E-13</v>
      </c>
      <c r="BZ143" s="13">
        <f>BY143*VLOOKUP('Données projet'!$B$12,Paramètres!$A$1:$I$89,3,0)*VLOOKUP('Données projet'!$B$12,Paramètres!$A$1:$I$89,5,0)</f>
        <v>-7.626113074366004E-14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254.8851926268614</v>
      </c>
      <c r="CE143" s="59">
        <f t="shared" si="148"/>
        <v>182.11500693273973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0.34480715573504034</v>
      </c>
      <c r="CL143" s="21">
        <f>EXP(-LN(2)/25)*CL142+(1-EXP(-LN(2)/25))/(LN(2)/25)*Calculateur!CG143*Calculateur!CI143*VLOOKUP('Données projet'!$B$12,Paramètres!$A$1:$I$89,3,0)*0.475*44/12</f>
        <v>0.1815855005878669</v>
      </c>
      <c r="CM143" s="21">
        <f>EXP(-LN(2)/2)*CM142+(1-EXP(-LN(2)/2))/(LN(2)/2)*CG143*CJ143*VLOOKUP('Données projet'!$B$12,Paramètres!$A$1:$I$89,3,0)*0.475*44/12</f>
        <v>1.255781892435557E-16</v>
      </c>
      <c r="CN143" s="22">
        <f t="shared" si="120"/>
        <v>0.52639265632290733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256.66666666666669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1.4210854715202004E-13</v>
      </c>
      <c r="O144" s="13">
        <f>N144*VLOOKUP('Données projet'!$B$9,Paramètres!$A$1:$I$89,3,0)*VLOOKUP('Données projet'!$B$9,Paramètres!$A$1:$I$89,5,0)</f>
        <v>1.4853185348329134E-13</v>
      </c>
      <c r="P144" s="13">
        <f t="shared" si="141"/>
        <v>2.1309431512949395E-12</v>
      </c>
      <c r="Q144" s="20">
        <f t="shared" si="108"/>
        <v>3.9700856333220852E-12</v>
      </c>
      <c r="R144" s="59">
        <f t="shared" si="109"/>
        <v>293.33333333333729</v>
      </c>
      <c r="S144" s="59">
        <f ca="1">AVERAGE(OFFSET($R$3,0,0,'Données projet'!$E$9+1,1))-AVERAGE(OFFSET($H$3,0,0,'Données projet'!$E$9+1,1))</f>
        <v>241.84492910369795</v>
      </c>
      <c r="T144" s="59">
        <f t="shared" si="142"/>
        <v>338.04336767245667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0.67206340664715536</v>
      </c>
      <c r="AA144" s="21">
        <f>EXP(-LN(2)/25)*AA143+(1-EXP(-LN(2)/25))/(LN(2)/25)*Calculateur!V144*Calculateur!X144*VLOOKUP('Données projet'!$B$9,Paramètres!$A$1:$I$89,3,0)*0.475*44/12</f>
        <v>0.64017851217380517</v>
      </c>
      <c r="AB144" s="21">
        <f>EXP(-LN(2)/2)*AB143+(1-EXP(-LN(2)/2))/(LN(2)/2)*V144*Y144*VLOOKUP('Données projet'!$B$9,Paramètres!$A$1:$I$89,3,0)*0.475*44/12</f>
        <v>1.6968498124188072E-16</v>
      </c>
      <c r="AC144" s="22">
        <f t="shared" si="111"/>
        <v>1.3122419188209606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>
        <f>AI144*VLOOKUP('Données projet'!$B$10,Paramètres!$A$1:$I$89,3,0)*VLOOKUP('Données projet'!$B$10,Paramètres!$A$1:$I$89,5,0)</f>
        <v>0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370.12772664814923</v>
      </c>
      <c r="AO144" s="59">
        <f t="shared" si="144"/>
        <v>292.26503163353146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0.83011392267945261</v>
      </c>
      <c r="AV144" s="21">
        <f>EXP(-LN(2)/25)*AV143+(1-EXP(-LN(2)/25))/(LN(2)/25)*Calculateur!AQ144*Calculateur!AS144*VLOOKUP('Données projet'!$B$10,Paramètres!$A$1:$I$89,3,0)*0.475*44/12</f>
        <v>0.30605961054187453</v>
      </c>
      <c r="AW144" s="21">
        <f>EXP(-LN(2)/2)*AW143+(1-EXP(-LN(2)/2))/(LN(2)/2)*AQ144*AT144*VLOOKUP('Données projet'!$B$10,Paramètres!$A$1:$I$89,3,0)*0.475*44/12</f>
        <v>1.5549476423336298E-16</v>
      </c>
      <c r="AX144" s="21">
        <f t="shared" si="114"/>
        <v>1.1361735332213274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>
        <f>BD144*VLOOKUP('Données projet'!$B$11,Paramètres!$A$1:$I$89,3,0)*VLOOKUP('Données projet'!$B$11,Paramètres!$A$1:$I$89,5,0)</f>
        <v>0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475.01366239340246</v>
      </c>
      <c r="BJ144" s="59">
        <f t="shared" si="146"/>
        <v>322.81767004794284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0.9650524647078661</v>
      </c>
      <c r="BQ144" s="21">
        <f>EXP(-LN(2)/25)*BQ143+(1-EXP(-LN(2)/25))/(LN(2)/25)*Calculateur!BL144*Calculateur!BN144*VLOOKUP('Données projet'!$B$11,Paramètres!$A$1:$I$89,3,0)*0.475*44/12</f>
        <v>0.51326878426465927</v>
      </c>
      <c r="BR144" s="21">
        <f>EXP(-LN(2)/2)*BR143+(1-EXP(-LN(2)/2))/(LN(2)/2)*BL144*BO144*VLOOKUP('Données projet'!$B$11,Paramètres!$A$1:$I$89,3,0)*0.475*44/12</f>
        <v>1.9927432406049311E-16</v>
      </c>
      <c r="BS144" s="22">
        <f t="shared" si="117"/>
        <v>1.4783212489725257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-1.1368683772161603E-13</v>
      </c>
      <c r="BZ144" s="13">
        <f>BY144*VLOOKUP('Données projet'!$B$12,Paramètres!$A$1:$I$89,3,0)*VLOOKUP('Données projet'!$B$12,Paramètres!$A$1:$I$89,5,0)</f>
        <v>-7.626113074366004E-14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254.8851926268614</v>
      </c>
      <c r="CE144" s="59">
        <f t="shared" si="148"/>
        <v>182.11500693273973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0.33804569772267468</v>
      </c>
      <c r="CL144" s="21">
        <f>EXP(-LN(2)/25)*CL143+(1-EXP(-LN(2)/25))/(LN(2)/25)*Calculateur!CG144*Calculateur!CI144*VLOOKUP('Données projet'!$B$12,Paramètres!$A$1:$I$89,3,0)*0.475*44/12</f>
        <v>0.17662003552512523</v>
      </c>
      <c r="CM144" s="21">
        <f>EXP(-LN(2)/2)*CM143+(1-EXP(-LN(2)/2))/(LN(2)/2)*CG144*CJ144*VLOOKUP('Données projet'!$B$12,Paramètres!$A$1:$I$89,3,0)*0.475*44/12</f>
        <v>8.8797189183245795E-17</v>
      </c>
      <c r="CN144" s="22">
        <f t="shared" si="120"/>
        <v>0.51466573324780007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256.66666666666669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1.4210854715202004E-13</v>
      </c>
      <c r="O145" s="13">
        <f>N145*VLOOKUP('Données projet'!$B$9,Paramètres!$A$1:$I$89,3,0)*VLOOKUP('Données projet'!$B$9,Paramètres!$A$1:$I$89,5,0)</f>
        <v>1.4853185348329134E-13</v>
      </c>
      <c r="P145" s="13">
        <f t="shared" si="141"/>
        <v>2.1309431512949395E-12</v>
      </c>
      <c r="Q145" s="20">
        <f t="shared" si="108"/>
        <v>3.9700856333220852E-12</v>
      </c>
      <c r="R145" s="59">
        <f t="shared" si="109"/>
        <v>293.33333333333729</v>
      </c>
      <c r="S145" s="59">
        <f ca="1">AVERAGE(OFFSET($R$3,0,0,'Données projet'!$E$9+1,1))-AVERAGE(OFFSET($H$3,0,0,'Données projet'!$E$9+1,1))</f>
        <v>241.84492910369795</v>
      </c>
      <c r="T145" s="59">
        <f t="shared" si="142"/>
        <v>338.04336767245667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0.65888465316100664</v>
      </c>
      <c r="AA145" s="21">
        <f>EXP(-LN(2)/25)*AA144+(1-EXP(-LN(2)/25))/(LN(2)/25)*Calculateur!V145*Calculateur!X145*VLOOKUP('Données projet'!$B$9,Paramètres!$A$1:$I$89,3,0)*0.475*44/12</f>
        <v>0.6226727970928877</v>
      </c>
      <c r="AB145" s="21">
        <f>EXP(-LN(2)/2)*AB144+(1-EXP(-LN(2)/2))/(LN(2)/2)*V145*Y145*VLOOKUP('Données projet'!$B$9,Paramètres!$A$1:$I$89,3,0)*0.475*44/12</f>
        <v>1.1998540090164597E-16</v>
      </c>
      <c r="AC145" s="22">
        <f t="shared" si="111"/>
        <v>1.2815574502538947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>
        <f>AI145*VLOOKUP('Données projet'!$B$10,Paramètres!$A$1:$I$89,3,0)*VLOOKUP('Données projet'!$B$10,Paramètres!$A$1:$I$89,5,0)</f>
        <v>0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370.12772664814923</v>
      </c>
      <c r="AO145" s="59">
        <f t="shared" si="144"/>
        <v>292.26503163353146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0.81383589497520648</v>
      </c>
      <c r="AV145" s="21">
        <f>EXP(-LN(2)/25)*AV144+(1-EXP(-LN(2)/25))/(LN(2)/25)*Calculateur!AQ145*Calculateur!AS145*VLOOKUP('Données projet'!$B$10,Paramètres!$A$1:$I$89,3,0)*0.475*44/12</f>
        <v>0.29769039439663159</v>
      </c>
      <c r="AW145" s="21">
        <f>EXP(-LN(2)/2)*AW144+(1-EXP(-LN(2)/2))/(LN(2)/2)*AQ145*AT145*VLOOKUP('Données projet'!$B$10,Paramètres!$A$1:$I$89,3,0)*0.475*44/12</f>
        <v>1.0995140222841439E-16</v>
      </c>
      <c r="AX145" s="21">
        <f t="shared" si="114"/>
        <v>1.1115262893718381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>
        <f>BD145*VLOOKUP('Données projet'!$B$11,Paramètres!$A$1:$I$89,3,0)*VLOOKUP('Données projet'!$B$11,Paramètres!$A$1:$I$89,5,0)</f>
        <v>0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475.01366239340246</v>
      </c>
      <c r="BJ145" s="59">
        <f t="shared" si="146"/>
        <v>322.81767004794284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0.94612837449882659</v>
      </c>
      <c r="BQ145" s="21">
        <f>EXP(-LN(2)/25)*BQ144+(1-EXP(-LN(2)/25))/(LN(2)/25)*Calculateur!BL145*Calculateur!BN145*VLOOKUP('Données projet'!$B$11,Paramètres!$A$1:$I$89,3,0)*0.475*44/12</f>
        <v>0.49923342236730989</v>
      </c>
      <c r="BR145" s="21">
        <f>EXP(-LN(2)/2)*BR144+(1-EXP(-LN(2)/2))/(LN(2)/2)*BL145*BO145*VLOOKUP('Données projet'!$B$11,Paramètres!$A$1:$I$89,3,0)*0.475*44/12</f>
        <v>1.4090822585954026E-16</v>
      </c>
      <c r="BS145" s="22">
        <f t="shared" si="117"/>
        <v>1.4453617968661367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-1.1368683772161603E-13</v>
      </c>
      <c r="BZ145" s="13">
        <f>BY145*VLOOKUP('Données projet'!$B$12,Paramètres!$A$1:$I$89,3,0)*VLOOKUP('Données projet'!$B$12,Paramètres!$A$1:$I$89,5,0)</f>
        <v>-7.626113074366004E-14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254.8851926268614</v>
      </c>
      <c r="CE145" s="59">
        <f t="shared" si="148"/>
        <v>182.11500693273973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0.33141682777784931</v>
      </c>
      <c r="CL145" s="21">
        <f>EXP(-LN(2)/25)*CL144+(1-EXP(-LN(2)/25))/(LN(2)/25)*Calculateur!CG145*Calculateur!CI145*VLOOKUP('Données projet'!$B$12,Paramètres!$A$1:$I$89,3,0)*0.475*44/12</f>
        <v>0.17179035136564669</v>
      </c>
      <c r="CM145" s="21">
        <f>EXP(-LN(2)/2)*CM144+(1-EXP(-LN(2)/2))/(LN(2)/2)*CG145*CJ145*VLOOKUP('Données projet'!$B$12,Paramètres!$A$1:$I$89,3,0)*0.475*44/12</f>
        <v>6.2789094621777849E-17</v>
      </c>
      <c r="CN145" s="22">
        <f t="shared" si="120"/>
        <v>0.50320717914349611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256.66666666666669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1.4210854715202004E-13</v>
      </c>
      <c r="O146" s="13">
        <f>N146*VLOOKUP('Données projet'!$B$9,Paramètres!$A$1:$I$89,3,0)*VLOOKUP('Données projet'!$B$9,Paramètres!$A$1:$I$89,5,0)</f>
        <v>1.4853185348329134E-13</v>
      </c>
      <c r="P146" s="13">
        <f t="shared" si="141"/>
        <v>2.1309431512949395E-12</v>
      </c>
      <c r="Q146" s="20">
        <f t="shared" si="108"/>
        <v>3.9700856333220852E-12</v>
      </c>
      <c r="R146" s="59">
        <f t="shared" si="109"/>
        <v>293.33333333333729</v>
      </c>
      <c r="S146" s="59">
        <f ca="1">AVERAGE(OFFSET($R$3,0,0,'Données projet'!$E$9+1,1))-AVERAGE(OFFSET($H$3,0,0,'Données projet'!$E$9+1,1))</f>
        <v>241.84492910369795</v>
      </c>
      <c r="T146" s="59">
        <f t="shared" si="142"/>
        <v>338.04336767245667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0.64596432699247541</v>
      </c>
      <c r="AA146" s="21">
        <f>EXP(-LN(2)/25)*AA145+(1-EXP(-LN(2)/25))/(LN(2)/25)*Calculateur!V146*Calculateur!X146*VLOOKUP('Données projet'!$B$9,Paramètres!$A$1:$I$89,3,0)*0.475*44/12</f>
        <v>0.60564577671144337</v>
      </c>
      <c r="AB146" s="21">
        <f>EXP(-LN(2)/2)*AB145+(1-EXP(-LN(2)/2))/(LN(2)/2)*V146*Y146*VLOOKUP('Données projet'!$B$9,Paramètres!$A$1:$I$89,3,0)*0.475*44/12</f>
        <v>8.4842490620940358E-17</v>
      </c>
      <c r="AC146" s="22">
        <f t="shared" si="111"/>
        <v>1.2516101037039187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>
        <f>AI146*VLOOKUP('Données projet'!$B$10,Paramètres!$A$1:$I$89,3,0)*VLOOKUP('Données projet'!$B$10,Paramètres!$A$1:$I$89,5,0)</f>
        <v>0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370.12772664814923</v>
      </c>
      <c r="AO146" s="59">
        <f t="shared" si="144"/>
        <v>292.26503163353146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0.79787706946562409</v>
      </c>
      <c r="AV146" s="21">
        <f>EXP(-LN(2)/25)*AV145+(1-EXP(-LN(2)/25))/(LN(2)/25)*Calculateur!AQ146*Calculateur!AS146*VLOOKUP('Données projet'!$B$10,Paramètres!$A$1:$I$89,3,0)*0.475*44/12</f>
        <v>0.28955003490699821</v>
      </c>
      <c r="AW146" s="21">
        <f>EXP(-LN(2)/2)*AW145+(1-EXP(-LN(2)/2))/(LN(2)/2)*AQ146*AT146*VLOOKUP('Données projet'!$B$10,Paramètres!$A$1:$I$89,3,0)*0.475*44/12</f>
        <v>7.77473821166815E-17</v>
      </c>
      <c r="AX146" s="21">
        <f t="shared" si="114"/>
        <v>1.0874271043726222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>
        <f>BD146*VLOOKUP('Données projet'!$B$11,Paramètres!$A$1:$I$89,3,0)*VLOOKUP('Données projet'!$B$11,Paramètres!$A$1:$I$89,5,0)</f>
        <v>0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475.01366239340246</v>
      </c>
      <c r="BJ146" s="59">
        <f t="shared" si="146"/>
        <v>322.81767004794284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0.92757537415623104</v>
      </c>
      <c r="BQ146" s="21">
        <f>EXP(-LN(2)/25)*BQ145+(1-EXP(-LN(2)/25))/(LN(2)/25)*Calculateur!BL146*Calculateur!BN146*VLOOKUP('Données projet'!$B$11,Paramètres!$A$1:$I$89,3,0)*0.475*44/12</f>
        <v>0.48558185817913113</v>
      </c>
      <c r="BR146" s="21">
        <f>EXP(-LN(2)/2)*BR145+(1-EXP(-LN(2)/2))/(LN(2)/2)*BL146*BO146*VLOOKUP('Données projet'!$B$11,Paramètres!$A$1:$I$89,3,0)*0.475*44/12</f>
        <v>9.9637162030246553E-17</v>
      </c>
      <c r="BS146" s="22">
        <f t="shared" si="117"/>
        <v>1.4131572323353621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-1.1368683772161603E-13</v>
      </c>
      <c r="BZ146" s="13">
        <f>BY146*VLOOKUP('Données projet'!$B$12,Paramètres!$A$1:$I$89,3,0)*VLOOKUP('Données projet'!$B$12,Paramètres!$A$1:$I$89,5,0)</f>
        <v>-7.626113074366004E-14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254.8851926268614</v>
      </c>
      <c r="CE146" s="59">
        <f t="shared" si="148"/>
        <v>182.11500693273973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0.32491794592943052</v>
      </c>
      <c r="CL146" s="21">
        <f>EXP(-LN(2)/25)*CL145+(1-EXP(-LN(2)/25))/(LN(2)/25)*Calculateur!CG146*Calculateur!CI146*VLOOKUP('Données projet'!$B$12,Paramètres!$A$1:$I$89,3,0)*0.475*44/12</f>
        <v>0.16709273517349113</v>
      </c>
      <c r="CM146" s="21">
        <f>EXP(-LN(2)/2)*CM145+(1-EXP(-LN(2)/2))/(LN(2)/2)*CG146*CJ146*VLOOKUP('Données projet'!$B$12,Paramètres!$A$1:$I$89,3,0)*0.475*44/12</f>
        <v>4.4398594591622898E-17</v>
      </c>
      <c r="CN146" s="22">
        <f t="shared" si="120"/>
        <v>0.49201068110292173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256.66666666666669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1.4210854715202004E-13</v>
      </c>
      <c r="O147" s="13">
        <f>N147*VLOOKUP('Données projet'!$B$9,Paramètres!$A$1:$I$89,3,0)*VLOOKUP('Données projet'!$B$9,Paramètres!$A$1:$I$89,5,0)</f>
        <v>1.4853185348329134E-13</v>
      </c>
      <c r="P147" s="13">
        <f t="shared" si="141"/>
        <v>2.1309431512949395E-12</v>
      </c>
      <c r="Q147" s="20">
        <f t="shared" si="108"/>
        <v>3.9700856333220852E-12</v>
      </c>
      <c r="R147" s="59">
        <f t="shared" si="109"/>
        <v>293.33333333333729</v>
      </c>
      <c r="S147" s="59">
        <f ca="1">AVERAGE(OFFSET($R$3,0,0,'Données projet'!$E$9+1,1))-AVERAGE(OFFSET($H$3,0,0,'Données projet'!$E$9+1,1))</f>
        <v>241.84492910369795</v>
      </c>
      <c r="T147" s="59">
        <f t="shared" si="142"/>
        <v>338.04336767245667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0.63329736053948826</v>
      </c>
      <c r="AA147" s="21">
        <f>EXP(-LN(2)/25)*AA146+(1-EXP(-LN(2)/25))/(LN(2)/25)*Calculateur!V147*Calculateur!X147*VLOOKUP('Données projet'!$B$9,Paramètres!$A$1:$I$89,3,0)*0.475*44/12</f>
        <v>0.58908436109774176</v>
      </c>
      <c r="AB147" s="21">
        <f>EXP(-LN(2)/2)*AB146+(1-EXP(-LN(2)/2))/(LN(2)/2)*V147*Y147*VLOOKUP('Données projet'!$B$9,Paramètres!$A$1:$I$89,3,0)*0.475*44/12</f>
        <v>5.9992700450822985E-17</v>
      </c>
      <c r="AC147" s="22">
        <f t="shared" si="111"/>
        <v>1.2223817216372299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>
        <f>AI147*VLOOKUP('Données projet'!$B$10,Paramètres!$A$1:$I$89,3,0)*VLOOKUP('Données projet'!$B$10,Paramètres!$A$1:$I$89,5,0)</f>
        <v>0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370.12772664814923</v>
      </c>
      <c r="AO147" s="59">
        <f t="shared" si="144"/>
        <v>292.26503163353146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0.78223118679036219</v>
      </c>
      <c r="AV147" s="21">
        <f>EXP(-LN(2)/25)*AV146+(1-EXP(-LN(2)/25))/(LN(2)/25)*Calculateur!AQ147*Calculateur!AS147*VLOOKUP('Données projet'!$B$10,Paramètres!$A$1:$I$89,3,0)*0.475*44/12</f>
        <v>0.28163227397569179</v>
      </c>
      <c r="AW147" s="21">
        <f>EXP(-LN(2)/2)*AW146+(1-EXP(-LN(2)/2))/(LN(2)/2)*AQ147*AT147*VLOOKUP('Données projet'!$B$10,Paramètres!$A$1:$I$89,3,0)*0.475*44/12</f>
        <v>5.4975701114207209E-17</v>
      </c>
      <c r="AX147" s="21">
        <f t="shared" si="114"/>
        <v>1.063863460766054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>
        <f>BD147*VLOOKUP('Données projet'!$B$11,Paramètres!$A$1:$I$89,3,0)*VLOOKUP('Données projet'!$B$11,Paramètres!$A$1:$I$89,5,0)</f>
        <v>0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475.01366239340246</v>
      </c>
      <c r="BJ147" s="59">
        <f t="shared" si="146"/>
        <v>322.81767004794284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0.90938618683414096</v>
      </c>
      <c r="BQ147" s="21">
        <f>EXP(-LN(2)/25)*BQ146+(1-EXP(-LN(2)/25))/(LN(2)/25)*Calculateur!BL147*Calculateur!BN147*VLOOKUP('Données projet'!$B$11,Paramètres!$A$1:$I$89,3,0)*0.475*44/12</f>
        <v>0.47230359673158268</v>
      </c>
      <c r="BR147" s="21">
        <f>EXP(-LN(2)/2)*BR146+(1-EXP(-LN(2)/2))/(LN(2)/2)*BL147*BO147*VLOOKUP('Données projet'!$B$11,Paramètres!$A$1:$I$89,3,0)*0.475*44/12</f>
        <v>7.0454112929770129E-17</v>
      </c>
      <c r="BS147" s="22">
        <f t="shared" si="117"/>
        <v>1.3816897835657236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-1.1368683772161603E-13</v>
      </c>
      <c r="BZ147" s="13">
        <f>BY147*VLOOKUP('Données projet'!$B$12,Paramètres!$A$1:$I$89,3,0)*VLOOKUP('Données projet'!$B$12,Paramètres!$A$1:$I$89,5,0)</f>
        <v>-7.626113074366004E-14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254.8851926268614</v>
      </c>
      <c r="CE147" s="59">
        <f t="shared" si="148"/>
        <v>182.11500693273973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0.31854650319013272</v>
      </c>
      <c r="CL147" s="21">
        <f>EXP(-LN(2)/25)*CL146+(1-EXP(-LN(2)/25))/(LN(2)/25)*Calculateur!CG147*Calculateur!CI147*VLOOKUP('Données projet'!$B$12,Paramètres!$A$1:$I$89,3,0)*0.475*44/12</f>
        <v>0.16252357554314698</v>
      </c>
      <c r="CM147" s="21">
        <f>EXP(-LN(2)/2)*CM146+(1-EXP(-LN(2)/2))/(LN(2)/2)*CG147*CJ147*VLOOKUP('Données projet'!$B$12,Paramètres!$A$1:$I$89,3,0)*0.475*44/12</f>
        <v>3.1394547310888925E-17</v>
      </c>
      <c r="CN147" s="22">
        <f t="shared" si="120"/>
        <v>0.48107007873327973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256.66666666666669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1.4210854715202004E-13</v>
      </c>
      <c r="O148" s="13">
        <f>N148*VLOOKUP('Données projet'!$B$9,Paramètres!$A$1:$I$89,3,0)*VLOOKUP('Données projet'!$B$9,Paramètres!$A$1:$I$89,5,0)</f>
        <v>1.4853185348329134E-13</v>
      </c>
      <c r="P148" s="13">
        <f t="shared" si="141"/>
        <v>2.1309431512949395E-12</v>
      </c>
      <c r="Q148" s="20">
        <f t="shared" si="108"/>
        <v>3.9700856333220852E-12</v>
      </c>
      <c r="R148" s="59">
        <f t="shared" si="109"/>
        <v>293.33333333333729</v>
      </c>
      <c r="S148" s="59">
        <f ca="1">AVERAGE(OFFSET($R$3,0,0,'Données projet'!$E$9+1,1))-AVERAGE(OFFSET($H$3,0,0,'Données projet'!$E$9+1,1))</f>
        <v>241.84492910369795</v>
      </c>
      <c r="T148" s="59">
        <f t="shared" si="142"/>
        <v>338.04336767245667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0.62087878557255749</v>
      </c>
      <c r="AA148" s="21">
        <f>EXP(-LN(2)/25)*AA147+(1-EXP(-LN(2)/25))/(LN(2)/25)*Calculateur!V148*Calculateur!X148*VLOOKUP('Données projet'!$B$9,Paramètres!$A$1:$I$89,3,0)*0.475*44/12</f>
        <v>0.57297581826492383</v>
      </c>
      <c r="AB148" s="21">
        <f>EXP(-LN(2)/2)*AB147+(1-EXP(-LN(2)/2))/(LN(2)/2)*V148*Y148*VLOOKUP('Données projet'!$B$9,Paramètres!$A$1:$I$89,3,0)*0.475*44/12</f>
        <v>4.2421245310470179E-17</v>
      </c>
      <c r="AC148" s="22">
        <f t="shared" si="111"/>
        <v>1.1938546038374813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>
        <f>AI148*VLOOKUP('Données projet'!$B$10,Paramètres!$A$1:$I$89,3,0)*VLOOKUP('Données projet'!$B$10,Paramètres!$A$1:$I$89,5,0)</f>
        <v>0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370.12772664814923</v>
      </c>
      <c r="AO148" s="59">
        <f t="shared" si="144"/>
        <v>292.26503163353146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0.76689211033131599</v>
      </c>
      <c r="AV148" s="21">
        <f>EXP(-LN(2)/25)*AV147+(1-EXP(-LN(2)/25))/(LN(2)/25)*Calculateur!AQ148*Calculateur!AS148*VLOOKUP('Données projet'!$B$10,Paramètres!$A$1:$I$89,3,0)*0.475*44/12</f>
        <v>0.27393102463342889</v>
      </c>
      <c r="AW148" s="21">
        <f>EXP(-LN(2)/2)*AW147+(1-EXP(-LN(2)/2))/(LN(2)/2)*AQ148*AT148*VLOOKUP('Données projet'!$B$10,Paramètres!$A$1:$I$89,3,0)*0.475*44/12</f>
        <v>3.8873691058340756E-17</v>
      </c>
      <c r="AX148" s="21">
        <f t="shared" si="114"/>
        <v>1.0408231349647448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>
        <f>BD148*VLOOKUP('Données projet'!$B$11,Paramètres!$A$1:$I$89,3,0)*VLOOKUP('Données projet'!$B$11,Paramètres!$A$1:$I$89,5,0)</f>
        <v>0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475.01366239340246</v>
      </c>
      <c r="BJ148" s="59">
        <f t="shared" si="146"/>
        <v>322.81767004794284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0.8915536783811282</v>
      </c>
      <c r="BQ148" s="21">
        <f>EXP(-LN(2)/25)*BQ147+(1-EXP(-LN(2)/25))/(LN(2)/25)*Calculateur!BL148*Calculateur!BN148*VLOOKUP('Données projet'!$B$11,Paramètres!$A$1:$I$89,3,0)*0.475*44/12</f>
        <v>0.45938843004159086</v>
      </c>
      <c r="BR148" s="21">
        <f>EXP(-LN(2)/2)*BR147+(1-EXP(-LN(2)/2))/(LN(2)/2)*BL148*BO148*VLOOKUP('Données projet'!$B$11,Paramètres!$A$1:$I$89,3,0)*0.475*44/12</f>
        <v>4.9818581015123276E-17</v>
      </c>
      <c r="BS148" s="22">
        <f t="shared" si="117"/>
        <v>1.3509421084227191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-1.1368683772161603E-13</v>
      </c>
      <c r="BZ148" s="13">
        <f>BY148*VLOOKUP('Données projet'!$B$12,Paramètres!$A$1:$I$89,3,0)*VLOOKUP('Données projet'!$B$12,Paramètres!$A$1:$I$89,5,0)</f>
        <v>-7.626113074366004E-14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254.8851926268614</v>
      </c>
      <c r="CE148" s="59">
        <f t="shared" si="148"/>
        <v>182.11500693273973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0.31230000055675622</v>
      </c>
      <c r="CL148" s="21">
        <f>EXP(-LN(2)/25)*CL147+(1-EXP(-LN(2)/25))/(LN(2)/25)*Calculateur!CG148*Calculateur!CI148*VLOOKUP('Données projet'!$B$12,Paramètres!$A$1:$I$89,3,0)*0.475*44/12</f>
        <v>0.15807935982317622</v>
      </c>
      <c r="CM148" s="21">
        <f>EXP(-LN(2)/2)*CM147+(1-EXP(-LN(2)/2))/(LN(2)/2)*CG148*CJ148*VLOOKUP('Données projet'!$B$12,Paramètres!$A$1:$I$89,3,0)*0.475*44/12</f>
        <v>2.2199297295811449E-17</v>
      </c>
      <c r="CN148" s="22">
        <f t="shared" si="120"/>
        <v>0.47037936037993244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256.66666666666669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1.4210854715202004E-13</v>
      </c>
      <c r="O149" s="13">
        <f>N149*VLOOKUP('Données projet'!$B$9,Paramètres!$A$1:$I$89,3,0)*VLOOKUP('Données projet'!$B$9,Paramètres!$A$1:$I$89,5,0)</f>
        <v>1.4853185348329134E-13</v>
      </c>
      <c r="P149" s="13">
        <f t="shared" si="141"/>
        <v>2.1309431512949395E-12</v>
      </c>
      <c r="Q149" s="20">
        <f t="shared" si="108"/>
        <v>3.9700856333220852E-12</v>
      </c>
      <c r="R149" s="59">
        <f t="shared" si="109"/>
        <v>293.33333333333729</v>
      </c>
      <c r="S149" s="59">
        <f ca="1">AVERAGE(OFFSET($R$3,0,0,'Données projet'!$E$9+1,1))-AVERAGE(OFFSET($H$3,0,0,'Données projet'!$E$9+1,1))</f>
        <v>241.84492910369795</v>
      </c>
      <c r="T149" s="59">
        <f t="shared" si="142"/>
        <v>338.04336767245667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0.60870373128614541</v>
      </c>
      <c r="AA149" s="21">
        <f>EXP(-LN(2)/25)*AA148+(1-EXP(-LN(2)/25))/(LN(2)/25)*Calculateur!V149*Calculateur!X149*VLOOKUP('Données projet'!$B$9,Paramètres!$A$1:$I$89,3,0)*0.475*44/12</f>
        <v>0.5573077643829808</v>
      </c>
      <c r="AB149" s="21">
        <f>EXP(-LN(2)/2)*AB148+(1-EXP(-LN(2)/2))/(LN(2)/2)*V149*Y149*VLOOKUP('Données projet'!$B$9,Paramètres!$A$1:$I$89,3,0)*0.475*44/12</f>
        <v>2.9996350225411492E-17</v>
      </c>
      <c r="AC149" s="22">
        <f t="shared" si="111"/>
        <v>1.1660114956691263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>
        <f>AI149*VLOOKUP('Données projet'!$B$10,Paramètres!$A$1:$I$89,3,0)*VLOOKUP('Données projet'!$B$10,Paramètres!$A$1:$I$89,5,0)</f>
        <v>0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370.12772664814923</v>
      </c>
      <c r="AO149" s="59">
        <f t="shared" si="144"/>
        <v>292.26503163353146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0.75185382380571897</v>
      </c>
      <c r="AV149" s="21">
        <f>EXP(-LN(2)/25)*AV148+(1-EXP(-LN(2)/25))/(LN(2)/25)*Calculateur!AQ149*Calculateur!AS149*VLOOKUP('Données projet'!$B$10,Paramètres!$A$1:$I$89,3,0)*0.475*44/12</f>
        <v>0.26644036635942125</v>
      </c>
      <c r="AW149" s="21">
        <f>EXP(-LN(2)/2)*AW148+(1-EXP(-LN(2)/2))/(LN(2)/2)*AQ149*AT149*VLOOKUP('Données projet'!$B$10,Paramètres!$A$1:$I$89,3,0)*0.475*44/12</f>
        <v>2.7487850557103607E-17</v>
      </c>
      <c r="AX149" s="21">
        <f t="shared" si="114"/>
        <v>1.0182941901651401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>
        <f>BD149*VLOOKUP('Données projet'!$B$11,Paramètres!$A$1:$I$89,3,0)*VLOOKUP('Données projet'!$B$11,Paramètres!$A$1:$I$89,5,0)</f>
        <v>0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475.01366239340246</v>
      </c>
      <c r="BJ149" s="59">
        <f t="shared" si="146"/>
        <v>322.81767004794284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0.87407085454212285</v>
      </c>
      <c r="BQ149" s="21">
        <f>EXP(-LN(2)/25)*BQ148+(1-EXP(-LN(2)/25))/(LN(2)/25)*Calculateur!BL149*Calculateur!BN149*VLOOKUP('Données projet'!$B$11,Paramètres!$A$1:$I$89,3,0)*0.475*44/12</f>
        <v>0.44682642926391597</v>
      </c>
      <c r="BR149" s="21">
        <f>EXP(-LN(2)/2)*BR148+(1-EXP(-LN(2)/2))/(LN(2)/2)*BL149*BO149*VLOOKUP('Données projet'!$B$11,Paramètres!$A$1:$I$89,3,0)*0.475*44/12</f>
        <v>3.5227056464885065E-17</v>
      </c>
      <c r="BS149" s="22">
        <f t="shared" si="117"/>
        <v>1.3208972838060389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-1.1368683772161603E-13</v>
      </c>
      <c r="BZ149" s="13">
        <f>BY149*VLOOKUP('Données projet'!$B$12,Paramètres!$A$1:$I$89,3,0)*VLOOKUP('Données projet'!$B$12,Paramètres!$A$1:$I$89,5,0)</f>
        <v>-7.626113074366004E-14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254.8851926268614</v>
      </c>
      <c r="CE149" s="59">
        <f t="shared" si="148"/>
        <v>182.11500693273973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0.30617598803002982</v>
      </c>
      <c r="CL149" s="21">
        <f>EXP(-LN(2)/25)*CL148+(1-EXP(-LN(2)/25))/(LN(2)/25)*Calculateur!CG149*Calculateur!CI149*VLOOKUP('Données projet'!$B$12,Paramètres!$A$1:$I$89,3,0)*0.475*44/12</f>
        <v>0.15375667141577923</v>
      </c>
      <c r="CM149" s="21">
        <f>EXP(-LN(2)/2)*CM148+(1-EXP(-LN(2)/2))/(LN(2)/2)*CG149*CJ149*VLOOKUP('Données projet'!$B$12,Paramètres!$A$1:$I$89,3,0)*0.475*44/12</f>
        <v>1.5697273655444462E-17</v>
      </c>
      <c r="CN149" s="22">
        <f t="shared" si="120"/>
        <v>0.45993265944580908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256.66666666666669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1.4210854715202004E-13</v>
      </c>
      <c r="O150" s="13">
        <f>N150*VLOOKUP('Données projet'!$B$9,Paramètres!$A$1:$I$89,3,0)*VLOOKUP('Données projet'!$B$9,Paramètres!$A$1:$I$89,5,0)</f>
        <v>1.4853185348329134E-13</v>
      </c>
      <c r="P150" s="13">
        <f t="shared" si="141"/>
        <v>2.1309431512949395E-12</v>
      </c>
      <c r="Q150" s="20">
        <f t="shared" si="108"/>
        <v>3.9700856333220852E-12</v>
      </c>
      <c r="R150" s="59">
        <f t="shared" si="109"/>
        <v>293.33333333333729</v>
      </c>
      <c r="S150" s="59">
        <f ca="1">AVERAGE(OFFSET($R$3,0,0,'Données projet'!$E$9+1,1))-AVERAGE(OFFSET($H$3,0,0,'Données projet'!$E$9+1,1))</f>
        <v>241.84492910369795</v>
      </c>
      <c r="T150" s="59">
        <f t="shared" si="142"/>
        <v>338.04336767245667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0.5967674223882401</v>
      </c>
      <c r="AA150" s="21">
        <f>EXP(-LN(2)/25)*AA149+(1-EXP(-LN(2)/25))/(LN(2)/25)*Calculateur!V150*Calculateur!X150*VLOOKUP('Données projet'!$B$9,Paramètres!$A$1:$I$89,3,0)*0.475*44/12</f>
        <v>0.54206815425838661</v>
      </c>
      <c r="AB150" s="21">
        <f>EXP(-LN(2)/2)*AB149+(1-EXP(-LN(2)/2))/(LN(2)/2)*V150*Y150*VLOOKUP('Données projet'!$B$9,Paramètres!$A$1:$I$89,3,0)*0.475*44/12</f>
        <v>2.121062265523509E-17</v>
      </c>
      <c r="AC150" s="22">
        <f t="shared" si="111"/>
        <v>1.1388355766466267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>
        <f>AI150*VLOOKUP('Données projet'!$B$10,Paramètres!$A$1:$I$89,3,0)*VLOOKUP('Données projet'!$B$10,Paramètres!$A$1:$I$89,5,0)</f>
        <v>0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370.12772664814923</v>
      </c>
      <c r="AO150" s="59">
        <f t="shared" si="144"/>
        <v>292.26503163353146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0.73711042890643974</v>
      </c>
      <c r="AV150" s="21">
        <f>EXP(-LN(2)/25)*AV149+(1-EXP(-LN(2)/25))/(LN(2)/25)*Calculateur!AQ150*Calculateur!AS150*VLOOKUP('Données projet'!$B$10,Paramètres!$A$1:$I$89,3,0)*0.475*44/12</f>
        <v>0.25915454052983294</v>
      </c>
      <c r="AW150" s="21">
        <f>EXP(-LN(2)/2)*AW149+(1-EXP(-LN(2)/2))/(LN(2)/2)*AQ150*AT150*VLOOKUP('Données projet'!$B$10,Paramètres!$A$1:$I$89,3,0)*0.475*44/12</f>
        <v>1.9436845529170381E-17</v>
      </c>
      <c r="AX150" s="21">
        <f t="shared" si="114"/>
        <v>0.99626496943627263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>
        <f>BD150*VLOOKUP('Données projet'!$B$11,Paramètres!$A$1:$I$89,3,0)*VLOOKUP('Données projet'!$B$11,Paramètres!$A$1:$I$89,5,0)</f>
        <v>0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475.01366239340246</v>
      </c>
      <c r="BJ150" s="59">
        <f t="shared" si="146"/>
        <v>322.81767004794284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0.85693085821513082</v>
      </c>
      <c r="BQ150" s="21">
        <f>EXP(-LN(2)/25)*BQ149+(1-EXP(-LN(2)/25))/(LN(2)/25)*Calculateur!BL150*Calculateur!BN150*VLOOKUP('Données projet'!$B$11,Paramètres!$A$1:$I$89,3,0)*0.475*44/12</f>
        <v>0.43460793705811351</v>
      </c>
      <c r="BR150" s="21">
        <f>EXP(-LN(2)/2)*BR149+(1-EXP(-LN(2)/2))/(LN(2)/2)*BL150*BO150*VLOOKUP('Données projet'!$B$11,Paramètres!$A$1:$I$89,3,0)*0.475*44/12</f>
        <v>2.4909290507561638E-17</v>
      </c>
      <c r="BS150" s="22">
        <f t="shared" si="117"/>
        <v>1.2915387952732442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-1.1368683772161603E-13</v>
      </c>
      <c r="BZ150" s="13">
        <f>BY150*VLOOKUP('Données projet'!$B$12,Paramètres!$A$1:$I$89,3,0)*VLOOKUP('Données projet'!$B$12,Paramètres!$A$1:$I$89,5,0)</f>
        <v>-7.626113074366004E-14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254.8851926268614</v>
      </c>
      <c r="CE150" s="59">
        <f t="shared" si="148"/>
        <v>182.11500693273973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0.30017206365367372</v>
      </c>
      <c r="CL150" s="21">
        <f>EXP(-LN(2)/25)*CL149+(1-EXP(-LN(2)/25))/(LN(2)/25)*Calculateur!CG150*Calculateur!CI150*VLOOKUP('Données projet'!$B$12,Paramètres!$A$1:$I$89,3,0)*0.475*44/12</f>
        <v>0.1495521871502028</v>
      </c>
      <c r="CM150" s="21">
        <f>EXP(-LN(2)/2)*CM149+(1-EXP(-LN(2)/2))/(LN(2)/2)*CG150*CJ150*VLOOKUP('Données projet'!$B$12,Paramètres!$A$1:$I$89,3,0)*0.475*44/12</f>
        <v>1.1099648647905724E-17</v>
      </c>
      <c r="CN150" s="22">
        <f t="shared" si="120"/>
        <v>0.44972425080387651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256.66666666666669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1.4210854715202004E-13</v>
      </c>
      <c r="O151" s="13">
        <f>N151*VLOOKUP('Données projet'!$B$9,Paramètres!$A$1:$I$89,3,0)*VLOOKUP('Données projet'!$B$9,Paramètres!$A$1:$I$89,5,0)</f>
        <v>1.4853185348329134E-13</v>
      </c>
      <c r="P151" s="13">
        <f t="shared" si="141"/>
        <v>2.1309431512949395E-12</v>
      </c>
      <c r="Q151" s="20">
        <f t="shared" si="108"/>
        <v>3.9700856333220852E-12</v>
      </c>
      <c r="R151" s="59">
        <f t="shared" si="109"/>
        <v>293.33333333333729</v>
      </c>
      <c r="S151" s="59">
        <f ca="1">AVERAGE(OFFSET($R$3,0,0,'Données projet'!$E$9+1,1))-AVERAGE(OFFSET($H$3,0,0,'Données projet'!$E$9+1,1))</f>
        <v>241.84492910369795</v>
      </c>
      <c r="T151" s="59">
        <f t="shared" si="142"/>
        <v>338.04336767245667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0.58506517722739315</v>
      </c>
      <c r="AA151" s="21">
        <f>EXP(-LN(2)/25)*AA150+(1-EXP(-LN(2)/25))/(LN(2)/25)*Calculateur!V151*Calculateur!X151*VLOOKUP('Données projet'!$B$9,Paramètres!$A$1:$I$89,3,0)*0.475*44/12</f>
        <v>0.52724527207406569</v>
      </c>
      <c r="AB151" s="21">
        <f>EXP(-LN(2)/2)*AB150+(1-EXP(-LN(2)/2))/(LN(2)/2)*V151*Y151*VLOOKUP('Données projet'!$B$9,Paramètres!$A$1:$I$89,3,0)*0.475*44/12</f>
        <v>1.4998175112705746E-17</v>
      </c>
      <c r="AC151" s="22">
        <f t="shared" si="111"/>
        <v>1.1123104493014588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>
        <f>AI151*VLOOKUP('Données projet'!$B$10,Paramètres!$A$1:$I$89,3,0)*VLOOKUP('Données projet'!$B$10,Paramètres!$A$1:$I$89,5,0)</f>
        <v>0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370.12772664814923</v>
      </c>
      <c r="AO151" s="59">
        <f t="shared" si="144"/>
        <v>292.26503163353146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0.72265614298855252</v>
      </c>
      <c r="AV151" s="21">
        <f>EXP(-LN(2)/25)*AV150+(1-EXP(-LN(2)/25))/(LN(2)/25)*Calculateur!AQ151*Calculateur!AS151*VLOOKUP('Données projet'!$B$10,Paramètres!$A$1:$I$89,3,0)*0.475*44/12</f>
        <v>0.2520679459906997</v>
      </c>
      <c r="AW151" s="21">
        <f>EXP(-LN(2)/2)*AW150+(1-EXP(-LN(2)/2))/(LN(2)/2)*AQ151*AT151*VLOOKUP('Données projet'!$B$10,Paramètres!$A$1:$I$89,3,0)*0.475*44/12</f>
        <v>1.3743925278551807E-17</v>
      </c>
      <c r="AX151" s="21">
        <f t="shared" si="114"/>
        <v>0.97472408897925222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>
        <f>BD151*VLOOKUP('Données projet'!$B$11,Paramètres!$A$1:$I$89,3,0)*VLOOKUP('Données projet'!$B$11,Paramètres!$A$1:$I$89,5,0)</f>
        <v>0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475.01366239340246</v>
      </c>
      <c r="BJ151" s="59">
        <f t="shared" si="146"/>
        <v>322.81767004794284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0.84012696676174559</v>
      </c>
      <c r="BQ151" s="21">
        <f>EXP(-LN(2)/25)*BQ150+(1-EXP(-LN(2)/25))/(LN(2)/25)*Calculateur!BL151*Calculateur!BN151*VLOOKUP('Données projet'!$B$11,Paramètres!$A$1:$I$89,3,0)*0.475*44/12</f>
        <v>0.4227235601642213</v>
      </c>
      <c r="BR151" s="21">
        <f>EXP(-LN(2)/2)*BR150+(1-EXP(-LN(2)/2))/(LN(2)/2)*BL151*BO151*VLOOKUP('Données projet'!$B$11,Paramètres!$A$1:$I$89,3,0)*0.475*44/12</f>
        <v>1.7613528232442532E-17</v>
      </c>
      <c r="BS151" s="22">
        <f t="shared" si="117"/>
        <v>1.2628505269259669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-1.1368683772161603E-13</v>
      </c>
      <c r="BZ151" s="13">
        <f>BY151*VLOOKUP('Données projet'!$B$12,Paramètres!$A$1:$I$89,3,0)*VLOOKUP('Données projet'!$B$12,Paramètres!$A$1:$I$89,5,0)</f>
        <v>-7.626113074366004E-14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254.8851926268614</v>
      </c>
      <c r="CE151" s="59">
        <f t="shared" si="148"/>
        <v>182.11500693273973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0.29428587257230565</v>
      </c>
      <c r="CL151" s="21">
        <f>EXP(-LN(2)/25)*CL150+(1-EXP(-LN(2)/25))/(LN(2)/25)*Calculateur!CG151*Calculateur!CI151*VLOOKUP('Données projet'!$B$12,Paramètres!$A$1:$I$89,3,0)*0.475*44/12</f>
        <v>0.14546267472797278</v>
      </c>
      <c r="CM151" s="21">
        <f>EXP(-LN(2)/2)*CM150+(1-EXP(-LN(2)/2))/(LN(2)/2)*CG151*CJ151*VLOOKUP('Données projet'!$B$12,Paramètres!$A$1:$I$89,3,0)*0.475*44/12</f>
        <v>7.8486368277222312E-18</v>
      </c>
      <c r="CN151" s="22">
        <f t="shared" si="120"/>
        <v>0.43974854730027846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256.66666666666669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1.4210854715202004E-13</v>
      </c>
      <c r="O152" s="13">
        <f>N152*VLOOKUP('Données projet'!$B$9,Paramètres!$A$1:$I$89,3,0)*VLOOKUP('Données projet'!$B$9,Paramètres!$A$1:$I$89,5,0)</f>
        <v>1.4853185348329134E-13</v>
      </c>
      <c r="P152" s="13">
        <f t="shared" si="141"/>
        <v>2.1309431512949395E-12</v>
      </c>
      <c r="Q152" s="20">
        <f t="shared" si="108"/>
        <v>3.9700856333220852E-12</v>
      </c>
      <c r="R152" s="59">
        <f t="shared" si="109"/>
        <v>293.33333333333729</v>
      </c>
      <c r="S152" s="59">
        <f ca="1">AVERAGE(OFFSET($R$3,0,0,'Données projet'!$E$9+1,1))-AVERAGE(OFFSET($H$3,0,0,'Données projet'!$E$9+1,1))</f>
        <v>241.84492910369795</v>
      </c>
      <c r="T152" s="59">
        <f t="shared" si="142"/>
        <v>338.04336767245667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0.57359240595648564</v>
      </c>
      <c r="AA152" s="21">
        <f>EXP(-LN(2)/25)*AA151+(1-EXP(-LN(2)/25))/(LN(2)/25)*Calculateur!V152*Calculateur!X152*VLOOKUP('Données projet'!$B$9,Paramètres!$A$1:$I$89,3,0)*0.475*44/12</f>
        <v>0.51282772238257657</v>
      </c>
      <c r="AB152" s="21">
        <f>EXP(-LN(2)/2)*AB151+(1-EXP(-LN(2)/2))/(LN(2)/2)*V152*Y152*VLOOKUP('Données projet'!$B$9,Paramètres!$A$1:$I$89,3,0)*0.475*44/12</f>
        <v>1.0605311327617545E-17</v>
      </c>
      <c r="AC152" s="22">
        <f t="shared" si="111"/>
        <v>1.0864201283390622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>
        <f>AI152*VLOOKUP('Données projet'!$B$10,Paramètres!$A$1:$I$89,3,0)*VLOOKUP('Données projet'!$B$10,Paramètres!$A$1:$I$89,5,0)</f>
        <v>0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370.12772664814923</v>
      </c>
      <c r="AO152" s="59">
        <f t="shared" si="144"/>
        <v>292.26503163353146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0.70848529680127115</v>
      </c>
      <c r="AV152" s="21">
        <f>EXP(-LN(2)/25)*AV151+(1-EXP(-LN(2)/25))/(LN(2)/25)*Calculateur!AQ152*Calculateur!AS152*VLOOKUP('Données projet'!$B$10,Paramètres!$A$1:$I$89,3,0)*0.475*44/12</f>
        <v>0.24517513475190686</v>
      </c>
      <c r="AW152" s="21">
        <f>EXP(-LN(2)/2)*AW151+(1-EXP(-LN(2)/2))/(LN(2)/2)*AQ152*AT152*VLOOKUP('Données projet'!$B$10,Paramètres!$A$1:$I$89,3,0)*0.475*44/12</f>
        <v>9.7184227645851922E-18</v>
      </c>
      <c r="AX152" s="21">
        <f t="shared" si="114"/>
        <v>0.95366043155317803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>
        <f>BD152*VLOOKUP('Données projet'!$B$11,Paramètres!$A$1:$I$89,3,0)*VLOOKUP('Données projet'!$B$11,Paramètres!$A$1:$I$89,5,0)</f>
        <v>0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475.01366239340246</v>
      </c>
      <c r="BJ152" s="59">
        <f t="shared" si="146"/>
        <v>322.81767004794284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0.82365258937039953</v>
      </c>
      <c r="BQ152" s="21">
        <f>EXP(-LN(2)/25)*BQ151+(1-EXP(-LN(2)/25))/(LN(2)/25)*Calculateur!BL152*Calculateur!BN152*VLOOKUP('Données projet'!$B$11,Paramètres!$A$1:$I$89,3,0)*0.475*44/12</f>
        <v>0.41116416218146479</v>
      </c>
      <c r="BR152" s="21">
        <f>EXP(-LN(2)/2)*BR151+(1-EXP(-LN(2)/2))/(LN(2)/2)*BL152*BO152*VLOOKUP('Données projet'!$B$11,Paramètres!$A$1:$I$89,3,0)*0.475*44/12</f>
        <v>1.2454645253780819E-17</v>
      </c>
      <c r="BS152" s="22">
        <f t="shared" si="117"/>
        <v>1.2348167515518642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-1.1368683772161603E-13</v>
      </c>
      <c r="BZ152" s="13">
        <f>BY152*VLOOKUP('Données projet'!$B$12,Paramètres!$A$1:$I$89,3,0)*VLOOKUP('Données projet'!$B$12,Paramètres!$A$1:$I$89,5,0)</f>
        <v>-7.626113074366004E-14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254.8851926268614</v>
      </c>
      <c r="CE152" s="59">
        <f t="shared" si="148"/>
        <v>182.11500693273973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0.28851510610782116</v>
      </c>
      <c r="CL152" s="21">
        <f>EXP(-LN(2)/25)*CL151+(1-EXP(-LN(2)/25))/(LN(2)/25)*Calculateur!CG152*Calculateur!CI152*VLOOKUP('Données projet'!$B$12,Paramètres!$A$1:$I$89,3,0)*0.475*44/12</f>
        <v>0.14148499023798675</v>
      </c>
      <c r="CM152" s="21">
        <f>EXP(-LN(2)/2)*CM151+(1-EXP(-LN(2)/2))/(LN(2)/2)*CG152*CJ152*VLOOKUP('Données projet'!$B$12,Paramètres!$A$1:$I$89,3,0)*0.475*44/12</f>
        <v>5.5498243239528622E-18</v>
      </c>
      <c r="CN152" s="22">
        <f t="shared" si="120"/>
        <v>0.43000009634580794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256.66666666666669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1.4210854715202004E-13</v>
      </c>
      <c r="O153" s="13">
        <f>N153*VLOOKUP('Données projet'!$B$9,Paramètres!$A$1:$I$89,3,0)*VLOOKUP('Données projet'!$B$9,Paramètres!$A$1:$I$89,5,0)</f>
        <v>1.4853185348329134E-13</v>
      </c>
      <c r="P153" s="13">
        <f t="shared" si="141"/>
        <v>2.1309431512949395E-12</v>
      </c>
      <c r="Q153" s="20">
        <f t="shared" si="108"/>
        <v>3.9700856333220852E-12</v>
      </c>
      <c r="R153" s="59">
        <f t="shared" si="109"/>
        <v>293.33333333333729</v>
      </c>
      <c r="S153" s="59">
        <f ca="1">AVERAGE(OFFSET($R$3,0,0,'Données projet'!$E$9+1,1))-AVERAGE(OFFSET($H$3,0,0,'Données projet'!$E$9+1,1))</f>
        <v>241.84492910369795</v>
      </c>
      <c r="T153" s="59">
        <f t="shared" si="142"/>
        <v>338.04336767245667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0.56234460873250114</v>
      </c>
      <c r="AA153" s="21">
        <f>EXP(-LN(2)/25)*AA152+(1-EXP(-LN(2)/25))/(LN(2)/25)*Calculateur!V153*Calculateur!X153*VLOOKUP('Données projet'!$B$9,Paramètres!$A$1:$I$89,3,0)*0.475*44/12</f>
        <v>0.49880442134558717</v>
      </c>
      <c r="AB153" s="21">
        <f>EXP(-LN(2)/2)*AB152+(1-EXP(-LN(2)/2))/(LN(2)/2)*V153*Y153*VLOOKUP('Données projet'!$B$9,Paramètres!$A$1:$I$89,3,0)*0.475*44/12</f>
        <v>7.4990875563528731E-18</v>
      </c>
      <c r="AC153" s="22">
        <f t="shared" si="111"/>
        <v>1.0611490300780884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>
        <f>AI153*VLOOKUP('Données projet'!$B$10,Paramètres!$A$1:$I$89,3,0)*VLOOKUP('Données projet'!$B$10,Paramètres!$A$1:$I$89,5,0)</f>
        <v>0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370.12772664814923</v>
      </c>
      <c r="AO153" s="59">
        <f t="shared" si="144"/>
        <v>292.26503163353146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0.69459233226435968</v>
      </c>
      <c r="AV153" s="21">
        <f>EXP(-LN(2)/25)*AV152+(1-EXP(-LN(2)/25))/(LN(2)/25)*Calculateur!AQ153*Calculateur!AS153*VLOOKUP('Données projet'!$B$10,Paramètres!$A$1:$I$89,3,0)*0.475*44/12</f>
        <v>0.238470807798916</v>
      </c>
      <c r="AW153" s="21">
        <f>EXP(-LN(2)/2)*AW152+(1-EXP(-LN(2)/2))/(LN(2)/2)*AQ153*AT153*VLOOKUP('Données projet'!$B$10,Paramètres!$A$1:$I$89,3,0)*0.475*44/12</f>
        <v>6.8719626392759042E-18</v>
      </c>
      <c r="AX153" s="21">
        <f t="shared" si="114"/>
        <v>0.93306314006327562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>
        <f>BD153*VLOOKUP('Données projet'!$B$11,Paramètres!$A$1:$I$89,3,0)*VLOOKUP('Données projet'!$B$11,Paramètres!$A$1:$I$89,5,0)</f>
        <v>0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475.01366239340246</v>
      </c>
      <c r="BJ153" s="59">
        <f t="shared" si="146"/>
        <v>322.81767004794284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0.80750126447131976</v>
      </c>
      <c r="BQ153" s="21">
        <f>EXP(-LN(2)/25)*BQ152+(1-EXP(-LN(2)/25))/(LN(2)/25)*Calculateur!BL153*Calculateur!BN153*VLOOKUP('Données projet'!$B$11,Paramètres!$A$1:$I$89,3,0)*0.475*44/12</f>
        <v>0.39992085654442905</v>
      </c>
      <c r="BR153" s="21">
        <f>EXP(-LN(2)/2)*BR152+(1-EXP(-LN(2)/2))/(LN(2)/2)*BL153*BO153*VLOOKUP('Données projet'!$B$11,Paramètres!$A$1:$I$89,3,0)*0.475*44/12</f>
        <v>8.8067641162212662E-18</v>
      </c>
      <c r="BS153" s="22">
        <f t="shared" si="117"/>
        <v>1.2074221210157488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-1.1368683772161603E-13</v>
      </c>
      <c r="BZ153" s="13">
        <f>BY153*VLOOKUP('Données projet'!$B$12,Paramètres!$A$1:$I$89,3,0)*VLOOKUP('Données projet'!$B$12,Paramètres!$A$1:$I$89,5,0)</f>
        <v>-7.626113074366004E-14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254.8851926268614</v>
      </c>
      <c r="CE153" s="59">
        <f t="shared" si="148"/>
        <v>182.11500693273973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0.28285750085388522</v>
      </c>
      <c r="CL153" s="21">
        <f>EXP(-LN(2)/25)*CL152+(1-EXP(-LN(2)/25))/(LN(2)/25)*Calculateur!CG153*Calculateur!CI153*VLOOKUP('Données projet'!$B$12,Paramètres!$A$1:$I$89,3,0)*0.475*44/12</f>
        <v>0.13761607573955673</v>
      </c>
      <c r="CM153" s="21">
        <f>EXP(-LN(2)/2)*CM152+(1-EXP(-LN(2)/2))/(LN(2)/2)*CG153*CJ153*VLOOKUP('Données projet'!$B$12,Paramètres!$A$1:$I$89,3,0)*0.475*44/12</f>
        <v>3.9243184138611156E-18</v>
      </c>
      <c r="CN153" s="22">
        <f t="shared" si="120"/>
        <v>0.42047357659344198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256.66666666666669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1.4210854715202004E-13</v>
      </c>
      <c r="O154" s="13">
        <f>N154*VLOOKUP('Données projet'!$B$9,Paramètres!$A$1:$I$89,3,0)*VLOOKUP('Données projet'!$B$9,Paramètres!$A$1:$I$89,5,0)</f>
        <v>1.4853185348329134E-13</v>
      </c>
      <c r="P154" s="13">
        <f t="shared" si="141"/>
        <v>2.1309431512949395E-12</v>
      </c>
      <c r="Q154" s="20">
        <f t="shared" ref="Q154:Q203" si="162">(O154+P154)*0.475*44/12</f>
        <v>3.9700856333220852E-12</v>
      </c>
      <c r="R154" s="59">
        <f t="shared" si="109"/>
        <v>293.33333333333729</v>
      </c>
      <c r="S154" s="59">
        <f ca="1">AVERAGE(OFFSET($R$3,0,0,'Données projet'!$E$9+1,1))-AVERAGE(OFFSET($H$3,0,0,'Données projet'!$E$9+1,1))</f>
        <v>241.84492910369795</v>
      </c>
      <c r="T154" s="59">
        <f t="shared" si="142"/>
        <v>338.04336767245667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0.55131737395160008</v>
      </c>
      <c r="AA154" s="21">
        <f>EXP(-LN(2)/25)*AA153+(1-EXP(-LN(2)/25))/(LN(2)/25)*Calculateur!V154*Calculateur!X154*VLOOKUP('Données projet'!$B$9,Paramètres!$A$1:$I$89,3,0)*0.475*44/12</f>
        <v>0.48516458821290759</v>
      </c>
      <c r="AB154" s="21">
        <f>EXP(-LN(2)/2)*AB153+(1-EXP(-LN(2)/2))/(LN(2)/2)*V154*Y154*VLOOKUP('Données projet'!$B$9,Paramètres!$A$1:$I$89,3,0)*0.475*44/12</f>
        <v>5.3026556638087724E-18</v>
      </c>
      <c r="AC154" s="22">
        <f t="shared" ref="AC154:AC203" si="163">SUM(Z154:AB154)</f>
        <v>1.0364819621645076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>
        <f>AI154*VLOOKUP('Données projet'!$B$10,Paramètres!$A$1:$I$89,3,0)*VLOOKUP('Données projet'!$B$10,Paramètres!$A$1:$I$89,5,0)</f>
        <v>0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370.12772664814923</v>
      </c>
      <c r="AO154" s="59">
        <f t="shared" si="144"/>
        <v>292.26503163353146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0.68097180028814541</v>
      </c>
      <c r="AV154" s="21">
        <f>EXP(-LN(2)/25)*AV153+(1-EXP(-LN(2)/25))/(LN(2)/25)*Calculateur!AQ154*Calculateur!AS154*VLOOKUP('Données projet'!$B$10,Paramètres!$A$1:$I$89,3,0)*0.475*44/12</f>
        <v>0.23194981101901987</v>
      </c>
      <c r="AW154" s="21">
        <f>EXP(-LN(2)/2)*AW153+(1-EXP(-LN(2)/2))/(LN(2)/2)*AQ154*AT154*VLOOKUP('Données projet'!$B$10,Paramètres!$A$1:$I$89,3,0)*0.475*44/12</f>
        <v>4.8592113822925969E-18</v>
      </c>
      <c r="AX154" s="21">
        <f t="shared" ref="AX154:AX203" si="166">SUM(AU154:AW154)</f>
        <v>0.91292161130716531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>
        <f>BD154*VLOOKUP('Données projet'!$B$11,Paramètres!$A$1:$I$89,3,0)*VLOOKUP('Données projet'!$B$11,Paramètres!$A$1:$I$89,5,0)</f>
        <v>0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475.01366239340246</v>
      </c>
      <c r="BJ154" s="59">
        <f t="shared" si="146"/>
        <v>322.81767004794284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0.79166665720217544</v>
      </c>
      <c r="BQ154" s="21">
        <f>EXP(-LN(2)/25)*BQ153+(1-EXP(-LN(2)/25))/(LN(2)/25)*Calculateur!BL154*Calculateur!BN154*VLOOKUP('Données projet'!$B$11,Paramètres!$A$1:$I$89,3,0)*0.475*44/12</f>
        <v>0.38898499969129779</v>
      </c>
      <c r="BR154" s="21">
        <f>EXP(-LN(2)/2)*BR153+(1-EXP(-LN(2)/2))/(LN(2)/2)*BL154*BO154*VLOOKUP('Données projet'!$B$11,Paramètres!$A$1:$I$89,3,0)*0.475*44/12</f>
        <v>6.2273226268904095E-18</v>
      </c>
      <c r="BS154" s="22">
        <f t="shared" ref="BS154:BS203" si="169">SUM(BP154:BR154)</f>
        <v>1.1806516568934733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-1.1368683772161603E-13</v>
      </c>
      <c r="BZ154" s="13">
        <f>BY154*VLOOKUP('Données projet'!$B$12,Paramètres!$A$1:$I$89,3,0)*VLOOKUP('Données projet'!$B$12,Paramètres!$A$1:$I$89,5,0)</f>
        <v>-7.626113074366004E-14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254.8851926268614</v>
      </c>
      <c r="CE154" s="59">
        <f t="shared" si="148"/>
        <v>182.11500693273973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0.2773108377881805</v>
      </c>
      <c r="CL154" s="21">
        <f>EXP(-LN(2)/25)*CL153+(1-EXP(-LN(2)/25))/(LN(2)/25)*Calculateur!CG154*Calculateur!CI154*VLOOKUP('Données projet'!$B$12,Paramètres!$A$1:$I$89,3,0)*0.475*44/12</f>
        <v>0.13385295691154364</v>
      </c>
      <c r="CM154" s="21">
        <f>EXP(-LN(2)/2)*CM153+(1-EXP(-LN(2)/2))/(LN(2)/2)*CG154*CJ154*VLOOKUP('Données projet'!$B$12,Paramètres!$A$1:$I$89,3,0)*0.475*44/12</f>
        <v>2.7749121619764311E-18</v>
      </c>
      <c r="CN154" s="22">
        <f t="shared" ref="CN154:CN203" si="172">SUM(CK154:CM154)</f>
        <v>0.41116379469972414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256.66666666666669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1.4210854715202004E-13</v>
      </c>
      <c r="O155" s="13">
        <f>N155*VLOOKUP('Données projet'!$B$9,Paramètres!$A$1:$I$89,3,0)*VLOOKUP('Données projet'!$B$9,Paramètres!$A$1:$I$89,5,0)</f>
        <v>1.4853185348329134E-13</v>
      </c>
      <c r="P155" s="13">
        <f t="shared" si="141"/>
        <v>2.1309431512949395E-12</v>
      </c>
      <c r="Q155" s="20">
        <f t="shared" si="162"/>
        <v>3.9700856333220852E-12</v>
      </c>
      <c r="R155" s="59">
        <f t="shared" si="109"/>
        <v>293.33333333333729</v>
      </c>
      <c r="S155" s="59">
        <f ca="1">AVERAGE(OFFSET($R$3,0,0,'Données projet'!$E$9+1,1))-AVERAGE(OFFSET($H$3,0,0,'Données projet'!$E$9+1,1))</f>
        <v>241.84492910369795</v>
      </c>
      <c r="T155" s="59">
        <f t="shared" si="142"/>
        <v>338.04336767245667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0.5405063765188034</v>
      </c>
      <c r="AA155" s="21">
        <f>EXP(-LN(2)/25)*AA154+(1-EXP(-LN(2)/25))/(LN(2)/25)*Calculateur!V155*Calculateur!X155*VLOOKUP('Données projet'!$B$9,Paramètres!$A$1:$I$89,3,0)*0.475*44/12</f>
        <v>0.47189773703452881</v>
      </c>
      <c r="AB155" s="21">
        <f>EXP(-LN(2)/2)*AB154+(1-EXP(-LN(2)/2))/(LN(2)/2)*V155*Y155*VLOOKUP('Données projet'!$B$9,Paramètres!$A$1:$I$89,3,0)*0.475*44/12</f>
        <v>3.7495437781764365E-18</v>
      </c>
      <c r="AC155" s="22">
        <f t="shared" si="163"/>
        <v>1.0124041135533322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>
        <f>AI155*VLOOKUP('Données projet'!$B$10,Paramètres!$A$1:$I$89,3,0)*VLOOKUP('Données projet'!$B$10,Paramètres!$A$1:$I$89,5,0)</f>
        <v>0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370.12772664814923</v>
      </c>
      <c r="AO155" s="59">
        <f t="shared" si="144"/>
        <v>292.26503163353146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0.6676183586362805</v>
      </c>
      <c r="AV155" s="21">
        <f>EXP(-LN(2)/25)*AV154+(1-EXP(-LN(2)/25))/(LN(2)/25)*Calculateur!AQ155*Calculateur!AS155*VLOOKUP('Données projet'!$B$10,Paramètres!$A$1:$I$89,3,0)*0.475*44/12</f>
        <v>0.22560713123899434</v>
      </c>
      <c r="AW155" s="21">
        <f>EXP(-LN(2)/2)*AW154+(1-EXP(-LN(2)/2))/(LN(2)/2)*AQ155*AT155*VLOOKUP('Données projet'!$B$10,Paramètres!$A$1:$I$89,3,0)*0.475*44/12</f>
        <v>3.4359813196379525E-18</v>
      </c>
      <c r="AX155" s="21">
        <f t="shared" si="166"/>
        <v>0.89322548987527484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>
        <f>BD155*VLOOKUP('Données projet'!$B$11,Paramètres!$A$1:$I$89,3,0)*VLOOKUP('Données projet'!$B$11,Paramètres!$A$1:$I$89,5,0)</f>
        <v>0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475.01366239340246</v>
      </c>
      <c r="BJ155" s="59">
        <f t="shared" si="146"/>
        <v>322.81767004794284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0.77614255692342227</v>
      </c>
      <c r="BQ155" s="21">
        <f>EXP(-LN(2)/25)*BQ154+(1-EXP(-LN(2)/25))/(LN(2)/25)*Calculateur!BL155*Calculateur!BN155*VLOOKUP('Données projet'!$B$11,Paramètres!$A$1:$I$89,3,0)*0.475*44/12</f>
        <v>0.37834818441890716</v>
      </c>
      <c r="BR155" s="21">
        <f>EXP(-LN(2)/2)*BR154+(1-EXP(-LN(2)/2))/(LN(2)/2)*BL155*BO155*VLOOKUP('Données projet'!$B$11,Paramètres!$A$1:$I$89,3,0)*0.475*44/12</f>
        <v>4.4033820581106331E-18</v>
      </c>
      <c r="BS155" s="22">
        <f t="shared" si="169"/>
        <v>1.1544907413423293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-1.1368683772161603E-13</v>
      </c>
      <c r="BZ155" s="13">
        <f>BY155*VLOOKUP('Données projet'!$B$12,Paramètres!$A$1:$I$89,3,0)*VLOOKUP('Données projet'!$B$12,Paramètres!$A$1:$I$89,5,0)</f>
        <v>-7.626113074366004E-14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254.8851926268614</v>
      </c>
      <c r="CE155" s="59">
        <f t="shared" si="148"/>
        <v>182.11500693273973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0.27187294140206386</v>
      </c>
      <c r="CL155" s="21">
        <f>EXP(-LN(2)/25)*CL154+(1-EXP(-LN(2)/25))/(LN(2)/25)*Calculateur!CG155*Calculateur!CI155*VLOOKUP('Données projet'!$B$12,Paramètres!$A$1:$I$89,3,0)*0.475*44/12</f>
        <v>0.13019274076577639</v>
      </c>
      <c r="CM155" s="21">
        <f>EXP(-LN(2)/2)*CM154+(1-EXP(-LN(2)/2))/(LN(2)/2)*CG155*CJ155*VLOOKUP('Données projet'!$B$12,Paramètres!$A$1:$I$89,3,0)*0.475*44/12</f>
        <v>1.9621592069305578E-18</v>
      </c>
      <c r="CN155" s="22">
        <f t="shared" si="172"/>
        <v>0.40206568216784022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256.66666666666669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1.4210854715202004E-13</v>
      </c>
      <c r="O156" s="13">
        <f>N156*VLOOKUP('Données projet'!$B$9,Paramètres!$A$1:$I$89,3,0)*VLOOKUP('Données projet'!$B$9,Paramètres!$A$1:$I$89,5,0)</f>
        <v>1.4853185348329134E-13</v>
      </c>
      <c r="P156" s="13">
        <f t="shared" si="141"/>
        <v>2.1309431512949395E-12</v>
      </c>
      <c r="Q156" s="20">
        <f t="shared" si="162"/>
        <v>3.9700856333220852E-12</v>
      </c>
      <c r="R156" s="59">
        <f t="shared" si="109"/>
        <v>293.33333333333729</v>
      </c>
      <c r="S156" s="59">
        <f ca="1">AVERAGE(OFFSET($R$3,0,0,'Données projet'!$E$9+1,1))-AVERAGE(OFFSET($H$3,0,0,'Données projet'!$E$9+1,1))</f>
        <v>241.84492910369795</v>
      </c>
      <c r="T156" s="59">
        <f t="shared" si="142"/>
        <v>338.04336767245667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0.52990737615160655</v>
      </c>
      <c r="AA156" s="21">
        <f>EXP(-LN(2)/25)*AA155+(1-EXP(-LN(2)/25))/(LN(2)/25)*Calculateur!V156*Calculateur!X156*VLOOKUP('Données projet'!$B$9,Paramètres!$A$1:$I$89,3,0)*0.475*44/12</f>
        <v>0.45899366859929619</v>
      </c>
      <c r="AB156" s="21">
        <f>EXP(-LN(2)/2)*AB155+(1-EXP(-LN(2)/2))/(LN(2)/2)*V156*Y156*VLOOKUP('Données projet'!$B$9,Paramètres!$A$1:$I$89,3,0)*0.475*44/12</f>
        <v>2.6513278319043862E-18</v>
      </c>
      <c r="AC156" s="22">
        <f t="shared" si="163"/>
        <v>0.98890104475090279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>
        <f>AI156*VLOOKUP('Données projet'!$B$10,Paramètres!$A$1:$I$89,3,0)*VLOOKUP('Données projet'!$B$10,Paramètres!$A$1:$I$89,5,0)</f>
        <v>0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370.12772664814923</v>
      </c>
      <c r="AO156" s="59">
        <f t="shared" si="144"/>
        <v>292.26503163353146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0.65452676983041347</v>
      </c>
      <c r="AV156" s="21">
        <f>EXP(-LN(2)/25)*AV155+(1-EXP(-LN(2)/25))/(LN(2)/25)*Calculateur!AQ156*Calculateur!AS156*VLOOKUP('Données projet'!$B$10,Paramètres!$A$1:$I$89,3,0)*0.475*44/12</f>
        <v>0.21943789237110065</v>
      </c>
      <c r="AW156" s="21">
        <f>EXP(-LN(2)/2)*AW155+(1-EXP(-LN(2)/2))/(LN(2)/2)*AQ156*AT156*VLOOKUP('Données projet'!$B$10,Paramètres!$A$1:$I$89,3,0)*0.475*44/12</f>
        <v>2.4296056911462988E-18</v>
      </c>
      <c r="AX156" s="21">
        <f t="shared" si="166"/>
        <v>0.87396466220151414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>
        <f>BD156*VLOOKUP('Données projet'!$B$11,Paramètres!$A$1:$I$89,3,0)*VLOOKUP('Données projet'!$B$11,Paramètres!$A$1:$I$89,5,0)</f>
        <v>0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475.01366239340246</v>
      </c>
      <c r="BJ156" s="59">
        <f t="shared" si="146"/>
        <v>322.81767004794284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0.76092287478236931</v>
      </c>
      <c r="BQ156" s="21">
        <f>EXP(-LN(2)/25)*BQ155+(1-EXP(-LN(2)/25))/(LN(2)/25)*Calculateur!BL156*Calculateur!BN156*VLOOKUP('Données projet'!$B$11,Paramètres!$A$1:$I$89,3,0)*0.475*44/12</f>
        <v>0.36800223341950583</v>
      </c>
      <c r="BR156" s="21">
        <f>EXP(-LN(2)/2)*BR155+(1-EXP(-LN(2)/2))/(LN(2)/2)*BL156*BO156*VLOOKUP('Données projet'!$B$11,Paramètres!$A$1:$I$89,3,0)*0.475*44/12</f>
        <v>3.1136613134452048E-18</v>
      </c>
      <c r="BS156" s="22">
        <f t="shared" si="169"/>
        <v>1.1289251082018752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-1.1368683772161603E-13</v>
      </c>
      <c r="BZ156" s="13">
        <f>BY156*VLOOKUP('Données projet'!$B$12,Paramètres!$A$1:$I$89,3,0)*VLOOKUP('Données projet'!$B$12,Paramètres!$A$1:$I$89,5,0)</f>
        <v>-7.626113074366004E-14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254.8851926268614</v>
      </c>
      <c r="CE156" s="59">
        <f t="shared" si="148"/>
        <v>182.11500693273973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0.26654167884728969</v>
      </c>
      <c r="CL156" s="21">
        <f>EXP(-LN(2)/25)*CL155+(1-EXP(-LN(2)/25))/(LN(2)/25)*Calculateur!CG156*Calculateur!CI156*VLOOKUP('Données projet'!$B$12,Paramètres!$A$1:$I$89,3,0)*0.475*44/12</f>
        <v>0.12663261342299756</v>
      </c>
      <c r="CM156" s="21">
        <f>EXP(-LN(2)/2)*CM155+(1-EXP(-LN(2)/2))/(LN(2)/2)*CG156*CJ156*VLOOKUP('Données projet'!$B$12,Paramètres!$A$1:$I$89,3,0)*0.475*44/12</f>
        <v>1.3874560809882156E-18</v>
      </c>
      <c r="CN156" s="22">
        <f t="shared" si="172"/>
        <v>0.39317429227028722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256.66666666666669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1.4210854715202004E-13</v>
      </c>
      <c r="O157" s="13">
        <f>N157*VLOOKUP('Données projet'!$B$9,Paramètres!$A$1:$I$89,3,0)*VLOOKUP('Données projet'!$B$9,Paramètres!$A$1:$I$89,5,0)</f>
        <v>1.4853185348329134E-13</v>
      </c>
      <c r="P157" s="13">
        <f t="shared" si="141"/>
        <v>2.1309431512949395E-12</v>
      </c>
      <c r="Q157" s="20">
        <f t="shared" si="162"/>
        <v>3.9700856333220852E-12</v>
      </c>
      <c r="R157" s="59">
        <f t="shared" si="109"/>
        <v>293.33333333333729</v>
      </c>
      <c r="S157" s="59">
        <f ca="1">AVERAGE(OFFSET($R$3,0,0,'Données projet'!$E$9+1,1))-AVERAGE(OFFSET($H$3,0,0,'Données projet'!$E$9+1,1))</f>
        <v>241.84492910369795</v>
      </c>
      <c r="T157" s="59">
        <f t="shared" si="142"/>
        <v>338.04336767245667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0.51951621571685846</v>
      </c>
      <c r="AA157" s="21">
        <f>EXP(-LN(2)/25)*AA156+(1-EXP(-LN(2)/25))/(LN(2)/25)*Calculateur!V157*Calculateur!X157*VLOOKUP('Données projet'!$B$9,Paramètres!$A$1:$I$89,3,0)*0.475*44/12</f>
        <v>0.44644246259402043</v>
      </c>
      <c r="AB157" s="21">
        <f>EXP(-LN(2)/2)*AB156+(1-EXP(-LN(2)/2))/(LN(2)/2)*V157*Y157*VLOOKUP('Données projet'!$B$9,Paramètres!$A$1:$I$89,3,0)*0.475*44/12</f>
        <v>1.8747718890882183E-18</v>
      </c>
      <c r="AC157" s="22">
        <f t="shared" si="163"/>
        <v>0.96595867831087889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>
        <f>AI157*VLOOKUP('Données projet'!$B$10,Paramètres!$A$1:$I$89,3,0)*VLOOKUP('Données projet'!$B$10,Paramètres!$A$1:$I$89,5,0)</f>
        <v>0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370.12772664814923</v>
      </c>
      <c r="AO157" s="59">
        <f t="shared" si="144"/>
        <v>292.26503163353146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0.64169189909594881</v>
      </c>
      <c r="AV157" s="21">
        <f>EXP(-LN(2)/25)*AV156+(1-EXP(-LN(2)/25))/(LN(2)/25)*Calculateur!AQ157*Calculateur!AS157*VLOOKUP('Données projet'!$B$10,Paramètres!$A$1:$I$89,3,0)*0.475*44/12</f>
        <v>0.21343735166447567</v>
      </c>
      <c r="AW157" s="21">
        <f>EXP(-LN(2)/2)*AW156+(1-EXP(-LN(2)/2))/(LN(2)/2)*AQ157*AT157*VLOOKUP('Données projet'!$B$10,Paramètres!$A$1:$I$89,3,0)*0.475*44/12</f>
        <v>1.7179906598189766E-18</v>
      </c>
      <c r="AX157" s="21">
        <f t="shared" si="166"/>
        <v>0.85512925076042445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>
        <f>BD157*VLOOKUP('Données projet'!$B$11,Paramètres!$A$1:$I$89,3,0)*VLOOKUP('Données projet'!$B$11,Paramètres!$A$1:$I$89,5,0)</f>
        <v>0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475.01366239340246</v>
      </c>
      <c r="BJ157" s="59">
        <f t="shared" si="146"/>
        <v>322.81767004794284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0.7460016413250129</v>
      </c>
      <c r="BQ157" s="21">
        <f>EXP(-LN(2)/25)*BQ156+(1-EXP(-LN(2)/25))/(LN(2)/25)*Calculateur!BL157*Calculateur!BN157*VLOOKUP('Données projet'!$B$11,Paramètres!$A$1:$I$89,3,0)*0.475*44/12</f>
        <v>0.35793919299425309</v>
      </c>
      <c r="BR157" s="21">
        <f>EXP(-LN(2)/2)*BR156+(1-EXP(-LN(2)/2))/(LN(2)/2)*BL157*BO157*VLOOKUP('Données projet'!$B$11,Paramètres!$A$1:$I$89,3,0)*0.475*44/12</f>
        <v>2.2016910290553165E-18</v>
      </c>
      <c r="BS157" s="22">
        <f t="shared" si="169"/>
        <v>1.103940834319266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-1.1368683772161603E-13</v>
      </c>
      <c r="BZ157" s="13">
        <f>BY157*VLOOKUP('Données projet'!$B$12,Paramètres!$A$1:$I$89,3,0)*VLOOKUP('Données projet'!$B$12,Paramètres!$A$1:$I$89,5,0)</f>
        <v>-7.626113074366004E-14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254.8851926268614</v>
      </c>
      <c r="CE157" s="59">
        <f t="shared" si="148"/>
        <v>182.11500693273973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0.26131495909946556</v>
      </c>
      <c r="CL157" s="21">
        <f>EXP(-LN(2)/25)*CL156+(1-EXP(-LN(2)/25))/(LN(2)/25)*Calculateur!CG157*Calculateur!CI157*VLOOKUP('Données projet'!$B$12,Paramètres!$A$1:$I$89,3,0)*0.475*44/12</f>
        <v>0.12316983794962598</v>
      </c>
      <c r="CM157" s="21">
        <f>EXP(-LN(2)/2)*CM156+(1-EXP(-LN(2)/2))/(LN(2)/2)*CG157*CJ157*VLOOKUP('Données projet'!$B$12,Paramètres!$A$1:$I$89,3,0)*0.475*44/12</f>
        <v>9.810796034652789E-19</v>
      </c>
      <c r="CN157" s="22">
        <f t="shared" si="172"/>
        <v>0.38448479704909155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256.66666666666669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1.4210854715202004E-13</v>
      </c>
      <c r="O158" s="13">
        <f>N158*VLOOKUP('Données projet'!$B$9,Paramètres!$A$1:$I$89,3,0)*VLOOKUP('Données projet'!$B$9,Paramètres!$A$1:$I$89,5,0)</f>
        <v>1.4853185348329134E-13</v>
      </c>
      <c r="P158" s="13">
        <f t="shared" si="141"/>
        <v>2.1309431512949395E-12</v>
      </c>
      <c r="Q158" s="20">
        <f t="shared" si="162"/>
        <v>3.9700856333220852E-12</v>
      </c>
      <c r="R158" s="59">
        <f t="shared" si="109"/>
        <v>293.33333333333729</v>
      </c>
      <c r="S158" s="59">
        <f ca="1">AVERAGE(OFFSET($R$3,0,0,'Données projet'!$E$9+1,1))-AVERAGE(OFFSET($H$3,0,0,'Données projet'!$E$9+1,1))</f>
        <v>241.84492910369795</v>
      </c>
      <c r="T158" s="59">
        <f t="shared" si="142"/>
        <v>338.04336767245667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0.50932881960025378</v>
      </c>
      <c r="AA158" s="21">
        <f>EXP(-LN(2)/25)*AA157+(1-EXP(-LN(2)/25))/(LN(2)/25)*Calculateur!V158*Calculateur!X158*VLOOKUP('Données projet'!$B$9,Paramètres!$A$1:$I$89,3,0)*0.475*44/12</f>
        <v>0.43423446997699822</v>
      </c>
      <c r="AB158" s="21">
        <f>EXP(-LN(2)/2)*AB157+(1-EXP(-LN(2)/2))/(LN(2)/2)*V158*Y158*VLOOKUP('Données projet'!$B$9,Paramètres!$A$1:$I$89,3,0)*0.475*44/12</f>
        <v>1.3256639159521931E-18</v>
      </c>
      <c r="AC158" s="22">
        <f t="shared" si="163"/>
        <v>0.943563289577252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>
        <f>AI158*VLOOKUP('Données projet'!$B$10,Paramètres!$A$1:$I$89,3,0)*VLOOKUP('Données projet'!$B$10,Paramètres!$A$1:$I$89,5,0)</f>
        <v>0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370.12772664814923</v>
      </c>
      <c r="AO158" s="59">
        <f t="shared" si="144"/>
        <v>292.26503163353146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0.62910871234808885</v>
      </c>
      <c r="AV158" s="21">
        <f>EXP(-LN(2)/25)*AV157+(1-EXP(-LN(2)/25))/(LN(2)/25)*Calculateur!AQ158*Calculateur!AS158*VLOOKUP('Données projet'!$B$10,Paramètres!$A$1:$I$89,3,0)*0.475*44/12</f>
        <v>0.20760089605902807</v>
      </c>
      <c r="AW158" s="21">
        <f>EXP(-LN(2)/2)*AW157+(1-EXP(-LN(2)/2))/(LN(2)/2)*AQ158*AT158*VLOOKUP('Données projet'!$B$10,Paramètres!$A$1:$I$89,3,0)*0.475*44/12</f>
        <v>1.2148028455731496E-18</v>
      </c>
      <c r="AX158" s="21">
        <f t="shared" si="166"/>
        <v>0.83670960840711694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>
        <f>BD158*VLOOKUP('Données projet'!$B$11,Paramètres!$A$1:$I$89,3,0)*VLOOKUP('Données projet'!$B$11,Paramètres!$A$1:$I$89,5,0)</f>
        <v>0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475.01366239340246</v>
      </c>
      <c r="BJ158" s="59">
        <f t="shared" si="146"/>
        <v>322.81767004794284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0.73137300415470152</v>
      </c>
      <c r="BQ158" s="21">
        <f>EXP(-LN(2)/25)*BQ157+(1-EXP(-LN(2)/25))/(LN(2)/25)*Calculateur!BL158*Calculateur!BN158*VLOOKUP('Données projet'!$B$11,Paramètres!$A$1:$I$89,3,0)*0.475*44/12</f>
        <v>0.34815132693862116</v>
      </c>
      <c r="BR158" s="21">
        <f>EXP(-LN(2)/2)*BR157+(1-EXP(-LN(2)/2))/(LN(2)/2)*BL158*BO158*VLOOKUP('Données projet'!$B$11,Paramètres!$A$1:$I$89,3,0)*0.475*44/12</f>
        <v>1.5568306567226024E-18</v>
      </c>
      <c r="BS158" s="22">
        <f t="shared" si="169"/>
        <v>1.0795243310933227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-1.1368683772161603E-13</v>
      </c>
      <c r="BZ158" s="13">
        <f>BY158*VLOOKUP('Données projet'!$B$12,Paramètres!$A$1:$I$89,3,0)*VLOOKUP('Données projet'!$B$12,Paramètres!$A$1:$I$89,5,0)</f>
        <v>-7.626113074366004E-14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254.8851926268614</v>
      </c>
      <c r="CE158" s="59">
        <f t="shared" si="148"/>
        <v>182.11500693273973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0.25619073213791199</v>
      </c>
      <c r="CL158" s="21">
        <f>EXP(-LN(2)/25)*CL157+(1-EXP(-LN(2)/25))/(LN(2)/25)*Calculateur!CG158*Calculateur!CI158*VLOOKUP('Données projet'!$B$12,Paramètres!$A$1:$I$89,3,0)*0.475*44/12</f>
        <v>0.11980175225367319</v>
      </c>
      <c r="CM158" s="21">
        <f>EXP(-LN(2)/2)*CM157+(1-EXP(-LN(2)/2))/(LN(2)/2)*CG158*CJ158*VLOOKUP('Données projet'!$B$12,Paramètres!$A$1:$I$89,3,0)*0.475*44/12</f>
        <v>6.9372804049410778E-19</v>
      </c>
      <c r="CN158" s="22">
        <f t="shared" si="172"/>
        <v>0.37599248439158517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256.66666666666669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1.4210854715202004E-13</v>
      </c>
      <c r="O159" s="13">
        <f>N159*VLOOKUP('Données projet'!$B$9,Paramètres!$A$1:$I$89,3,0)*VLOOKUP('Données projet'!$B$9,Paramètres!$A$1:$I$89,5,0)</f>
        <v>1.4853185348329134E-13</v>
      </c>
      <c r="P159" s="13">
        <f t="shared" si="141"/>
        <v>2.1309431512949395E-12</v>
      </c>
      <c r="Q159" s="20">
        <f t="shared" si="162"/>
        <v>3.9700856333220852E-12</v>
      </c>
      <c r="R159" s="59">
        <f t="shared" si="109"/>
        <v>293.33333333333729</v>
      </c>
      <c r="S159" s="59">
        <f ca="1">AVERAGE(OFFSET($R$3,0,0,'Données projet'!$E$9+1,1))-AVERAGE(OFFSET($H$3,0,0,'Données projet'!$E$9+1,1))</f>
        <v>241.84492910369795</v>
      </c>
      <c r="T159" s="59">
        <f t="shared" si="142"/>
        <v>338.04336767245667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0.49934119210779765</v>
      </c>
      <c r="AA159" s="21">
        <f>EXP(-LN(2)/25)*AA158+(1-EXP(-LN(2)/25))/(LN(2)/25)*Calculateur!V159*Calculateur!X159*VLOOKUP('Données projet'!$B$9,Paramètres!$A$1:$I$89,3,0)*0.475*44/12</f>
        <v>0.42236030556007886</v>
      </c>
      <c r="AB159" s="21">
        <f>EXP(-LN(2)/2)*AB158+(1-EXP(-LN(2)/2))/(LN(2)/2)*V159*Y159*VLOOKUP('Données projet'!$B$9,Paramètres!$A$1:$I$89,3,0)*0.475*44/12</f>
        <v>9.3738594454410913E-19</v>
      </c>
      <c r="AC159" s="22">
        <f t="shared" si="163"/>
        <v>0.92170149766787657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>
        <f>AI159*VLOOKUP('Données projet'!$B$10,Paramètres!$A$1:$I$89,3,0)*VLOOKUP('Données projet'!$B$10,Paramètres!$A$1:$I$89,5,0)</f>
        <v>0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370.12772664814923</v>
      </c>
      <c r="AO159" s="59">
        <f t="shared" si="144"/>
        <v>292.26503163353146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0.61677227421736835</v>
      </c>
      <c r="AV159" s="21">
        <f>EXP(-LN(2)/25)*AV158+(1-EXP(-LN(2)/25))/(LN(2)/25)*Calculateur!AQ159*Calculateur!AS159*VLOOKUP('Données projet'!$B$10,Paramètres!$A$1:$I$89,3,0)*0.475*44/12</f>
        <v>0.2019240386390373</v>
      </c>
      <c r="AW159" s="21">
        <f>EXP(-LN(2)/2)*AW158+(1-EXP(-LN(2)/2))/(LN(2)/2)*AQ159*AT159*VLOOKUP('Données projet'!$B$10,Paramètres!$A$1:$I$89,3,0)*0.475*44/12</f>
        <v>8.589953299094884E-19</v>
      </c>
      <c r="AX159" s="21">
        <f t="shared" si="166"/>
        <v>0.81869631285640565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>
        <f>BD159*VLOOKUP('Données projet'!$B$11,Paramètres!$A$1:$I$89,3,0)*VLOOKUP('Données projet'!$B$11,Paramètres!$A$1:$I$89,5,0)</f>
        <v>0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475.01366239340246</v>
      </c>
      <c r="BJ159" s="59">
        <f t="shared" si="146"/>
        <v>322.81767004794284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0.71703122563671229</v>
      </c>
      <c r="BQ159" s="21">
        <f>EXP(-LN(2)/25)*BQ158+(1-EXP(-LN(2)/25))/(LN(2)/25)*Calculateur!BL159*Calculateur!BN159*VLOOKUP('Données projet'!$B$11,Paramètres!$A$1:$I$89,3,0)*0.475*44/12</f>
        <v>0.33863111059500201</v>
      </c>
      <c r="BR159" s="21">
        <f>EXP(-LN(2)/2)*BR158+(1-EXP(-LN(2)/2))/(LN(2)/2)*BL159*BO159*VLOOKUP('Données projet'!$B$11,Paramètres!$A$1:$I$89,3,0)*0.475*44/12</f>
        <v>1.1008455145276583E-18</v>
      </c>
      <c r="BS159" s="22">
        <f t="shared" si="169"/>
        <v>1.0556623362317143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-1.1368683772161603E-13</v>
      </c>
      <c r="BZ159" s="13">
        <f>BY159*VLOOKUP('Données projet'!$B$12,Paramètres!$A$1:$I$89,3,0)*VLOOKUP('Données projet'!$B$12,Paramètres!$A$1:$I$89,5,0)</f>
        <v>-7.626113074366004E-14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254.8851926268614</v>
      </c>
      <c r="CE159" s="59">
        <f t="shared" si="148"/>
        <v>182.11500693273973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0.25116698814160465</v>
      </c>
      <c r="CL159" s="21">
        <f>EXP(-LN(2)/25)*CL158+(1-EXP(-LN(2)/25))/(LN(2)/25)*Calculateur!CG159*Calculateur!CI159*VLOOKUP('Données projet'!$B$12,Paramètres!$A$1:$I$89,3,0)*0.475*44/12</f>
        <v>0.11652576703819616</v>
      </c>
      <c r="CM159" s="21">
        <f>EXP(-LN(2)/2)*CM158+(1-EXP(-LN(2)/2))/(LN(2)/2)*CG159*CJ159*VLOOKUP('Données projet'!$B$12,Paramètres!$A$1:$I$89,3,0)*0.475*44/12</f>
        <v>4.9053980173263945E-19</v>
      </c>
      <c r="CN159" s="22">
        <f t="shared" si="172"/>
        <v>0.36769275517980082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256.66666666666669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1.4210854715202004E-13</v>
      </c>
      <c r="O160" s="13">
        <f>N160*VLOOKUP('Données projet'!$B$9,Paramètres!$A$1:$I$89,3,0)*VLOOKUP('Données projet'!$B$9,Paramètres!$A$1:$I$89,5,0)</f>
        <v>1.4853185348329134E-13</v>
      </c>
      <c r="P160" s="13">
        <f t="shared" si="141"/>
        <v>2.1309431512949395E-12</v>
      </c>
      <c r="Q160" s="20">
        <f t="shared" si="162"/>
        <v>3.9700856333220852E-12</v>
      </c>
      <c r="R160" s="59">
        <f t="shared" si="109"/>
        <v>293.33333333333729</v>
      </c>
      <c r="S160" s="59">
        <f ca="1">AVERAGE(OFFSET($R$3,0,0,'Données projet'!$E$9+1,1))-AVERAGE(OFFSET($H$3,0,0,'Données projet'!$E$9+1,1))</f>
        <v>241.84492910369795</v>
      </c>
      <c r="T160" s="59">
        <f t="shared" si="142"/>
        <v>338.04336767245667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0.48954941589861733</v>
      </c>
      <c r="AA160" s="21">
        <f>EXP(-LN(2)/25)*AA159+(1-EXP(-LN(2)/25))/(LN(2)/25)*Calculateur!V160*Calculateur!X160*VLOOKUP('Données projet'!$B$9,Paramètres!$A$1:$I$89,3,0)*0.475*44/12</f>
        <v>0.41081084079357538</v>
      </c>
      <c r="AB160" s="21">
        <f>EXP(-LN(2)/2)*AB159+(1-EXP(-LN(2)/2))/(LN(2)/2)*V160*Y160*VLOOKUP('Données projet'!$B$9,Paramètres!$A$1:$I$89,3,0)*0.475*44/12</f>
        <v>6.6283195797609655E-19</v>
      </c>
      <c r="AC160" s="22">
        <f t="shared" si="163"/>
        <v>0.90036025669219266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>
        <f>AI160*VLOOKUP('Données projet'!$B$10,Paramètres!$A$1:$I$89,3,0)*VLOOKUP('Données projet'!$B$10,Paramètres!$A$1:$I$89,5,0)</f>
        <v>0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370.12772664814923</v>
      </c>
      <c r="AO160" s="59">
        <f t="shared" si="144"/>
        <v>292.26503163353146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0.60467774611390701</v>
      </c>
      <c r="AV160" s="21">
        <f>EXP(-LN(2)/25)*AV159+(1-EXP(-LN(2)/25))/(LN(2)/25)*Calculateur!AQ160*Calculateur!AS160*VLOOKUP('Données projet'!$B$10,Paramètres!$A$1:$I$89,3,0)*0.475*44/12</f>
        <v>0.19640241518372914</v>
      </c>
      <c r="AW160" s="21">
        <f>EXP(-LN(2)/2)*AW159+(1-EXP(-LN(2)/2))/(LN(2)/2)*AQ160*AT160*VLOOKUP('Données projet'!$B$10,Paramètres!$A$1:$I$89,3,0)*0.475*44/12</f>
        <v>6.074014227865749E-19</v>
      </c>
      <c r="AX160" s="21">
        <f t="shared" si="166"/>
        <v>0.80108016129763615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>
        <f>BD160*VLOOKUP('Données projet'!$B$11,Paramètres!$A$1:$I$89,3,0)*VLOOKUP('Données projet'!$B$11,Paramètres!$A$1:$I$89,5,0)</f>
        <v>0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475.01366239340246</v>
      </c>
      <c r="BJ160" s="59">
        <f t="shared" si="146"/>
        <v>322.81767004794284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0.70297068064783963</v>
      </c>
      <c r="BQ160" s="21">
        <f>EXP(-LN(2)/25)*BQ159+(1-EXP(-LN(2)/25))/(LN(2)/25)*Calculateur!BL160*Calculateur!BN160*VLOOKUP('Données projet'!$B$11,Paramètres!$A$1:$I$89,3,0)*0.475*44/12</f>
        <v>0.32937122506794553</v>
      </c>
      <c r="BR160" s="21">
        <f>EXP(-LN(2)/2)*BR159+(1-EXP(-LN(2)/2))/(LN(2)/2)*BL160*BO160*VLOOKUP('Données projet'!$B$11,Paramètres!$A$1:$I$89,3,0)*0.475*44/12</f>
        <v>7.7841532836130119E-19</v>
      </c>
      <c r="BS160" s="22">
        <f t="shared" si="169"/>
        <v>1.0323419057157852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-1.1368683772161603E-13</v>
      </c>
      <c r="BZ160" s="13">
        <f>BY160*VLOOKUP('Données projet'!$B$12,Paramètres!$A$1:$I$89,3,0)*VLOOKUP('Données projet'!$B$12,Paramètres!$A$1:$I$89,5,0)</f>
        <v>-7.626113074366004E-14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254.8851926268614</v>
      </c>
      <c r="CE160" s="59">
        <f t="shared" si="148"/>
        <v>182.11500693273973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0.24624175670088363</v>
      </c>
      <c r="CL160" s="21">
        <f>EXP(-LN(2)/25)*CL159+(1-EXP(-LN(2)/25))/(LN(2)/25)*Calculateur!CG160*Calculateur!CI160*VLOOKUP('Données projet'!$B$12,Paramètres!$A$1:$I$89,3,0)*0.475*44/12</f>
        <v>0.11333936381071291</v>
      </c>
      <c r="CM160" s="21">
        <f>EXP(-LN(2)/2)*CM159+(1-EXP(-LN(2)/2))/(LN(2)/2)*CG160*CJ160*VLOOKUP('Données projet'!$B$12,Paramètres!$A$1:$I$89,3,0)*0.475*44/12</f>
        <v>3.4686402024705389E-19</v>
      </c>
      <c r="CN160" s="22">
        <f t="shared" si="172"/>
        <v>0.35958112051159652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256.66666666666669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1.4210854715202004E-13</v>
      </c>
      <c r="O161" s="13">
        <f>N161*VLOOKUP('Données projet'!$B$9,Paramètres!$A$1:$I$89,3,0)*VLOOKUP('Données projet'!$B$9,Paramètres!$A$1:$I$89,5,0)</f>
        <v>1.4853185348329134E-13</v>
      </c>
      <c r="P161" s="13">
        <f t="shared" si="141"/>
        <v>2.1309431512949395E-12</v>
      </c>
      <c r="Q161" s="20">
        <f t="shared" si="162"/>
        <v>3.9700856333220852E-12</v>
      </c>
      <c r="R161" s="59">
        <f t="shared" si="109"/>
        <v>293.33333333333729</v>
      </c>
      <c r="S161" s="59">
        <f ca="1">AVERAGE(OFFSET($R$3,0,0,'Données projet'!$E$9+1,1))-AVERAGE(OFFSET($H$3,0,0,'Données projet'!$E$9+1,1))</f>
        <v>241.84492910369795</v>
      </c>
      <c r="T161" s="59">
        <f t="shared" si="142"/>
        <v>338.04336767245667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0.47994965044850529</v>
      </c>
      <c r="AA161" s="21">
        <f>EXP(-LN(2)/25)*AA160+(1-EXP(-LN(2)/25))/(LN(2)/25)*Calculateur!V161*Calculateur!X161*VLOOKUP('Données projet'!$B$9,Paramètres!$A$1:$I$89,3,0)*0.475*44/12</f>
        <v>0.39957719674847186</v>
      </c>
      <c r="AB161" s="21">
        <f>EXP(-LN(2)/2)*AB160+(1-EXP(-LN(2)/2))/(LN(2)/2)*V161*Y161*VLOOKUP('Données projet'!$B$9,Paramètres!$A$1:$I$89,3,0)*0.475*44/12</f>
        <v>4.6869297227205457E-19</v>
      </c>
      <c r="AC161" s="22">
        <f t="shared" si="163"/>
        <v>0.87952684719697716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>
        <f>AI161*VLOOKUP('Données projet'!$B$10,Paramètres!$A$1:$I$89,3,0)*VLOOKUP('Données projet'!$B$10,Paramètres!$A$1:$I$89,5,0)</f>
        <v>0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370.12772664814923</v>
      </c>
      <c r="AO161" s="59">
        <f t="shared" si="144"/>
        <v>292.26503163353146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0.59282038432962081</v>
      </c>
      <c r="AV161" s="21">
        <f>EXP(-LN(2)/25)*AV160+(1-EXP(-LN(2)/25))/(LN(2)/25)*Calculateur!AQ161*Calculateur!AS161*VLOOKUP('Données projet'!$B$10,Paramètres!$A$1:$I$89,3,0)*0.475*44/12</f>
        <v>0.19103178081217592</v>
      </c>
      <c r="AW161" s="21">
        <f>EXP(-LN(2)/2)*AW160+(1-EXP(-LN(2)/2))/(LN(2)/2)*AQ161*AT161*VLOOKUP('Données projet'!$B$10,Paramètres!$A$1:$I$89,3,0)*0.475*44/12</f>
        <v>4.294976649547443E-19</v>
      </c>
      <c r="AX161" s="21">
        <f t="shared" si="166"/>
        <v>0.78385216514179668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>
        <f>BD161*VLOOKUP('Données projet'!$B$11,Paramètres!$A$1:$I$89,3,0)*VLOOKUP('Données projet'!$B$11,Paramètres!$A$1:$I$89,5,0)</f>
        <v>0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475.01366239340246</v>
      </c>
      <c r="BJ161" s="59">
        <f t="shared" si="146"/>
        <v>322.81767004794284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0.68918585437011315</v>
      </c>
      <c r="BQ161" s="21">
        <f>EXP(-LN(2)/25)*BQ160+(1-EXP(-LN(2)/25))/(LN(2)/25)*Calculateur!BL161*Calculateur!BN161*VLOOKUP('Données projet'!$B$11,Paramètres!$A$1:$I$89,3,0)*0.475*44/12</f>
        <v>0.32036455159758259</v>
      </c>
      <c r="BR161" s="21">
        <f>EXP(-LN(2)/2)*BR160+(1-EXP(-LN(2)/2))/(LN(2)/2)*BL161*BO161*VLOOKUP('Données projet'!$B$11,Paramètres!$A$1:$I$89,3,0)*0.475*44/12</f>
        <v>5.5042275726382914E-19</v>
      </c>
      <c r="BS161" s="22">
        <f t="shared" si="169"/>
        <v>1.0095504059676959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-1.1368683772161603E-13</v>
      </c>
      <c r="BZ161" s="13">
        <f>BY161*VLOOKUP('Données projet'!$B$12,Paramètres!$A$1:$I$89,3,0)*VLOOKUP('Données projet'!$B$12,Paramètres!$A$1:$I$89,5,0)</f>
        <v>-7.626113074366004E-14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254.8851926268614</v>
      </c>
      <c r="CE161" s="59">
        <f t="shared" si="148"/>
        <v>182.11500693273973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0.2414131060446206</v>
      </c>
      <c r="CL161" s="21">
        <f>EXP(-LN(2)/25)*CL160+(1-EXP(-LN(2)/25))/(LN(2)/25)*Calculateur!CG161*Calculateur!CI161*VLOOKUP('Données projet'!$B$12,Paramètres!$A$1:$I$89,3,0)*0.475*44/12</f>
        <v>0.11024009294705087</v>
      </c>
      <c r="CM161" s="21">
        <f>EXP(-LN(2)/2)*CM160+(1-EXP(-LN(2)/2))/(LN(2)/2)*CG161*CJ161*VLOOKUP('Données projet'!$B$12,Paramètres!$A$1:$I$89,3,0)*0.475*44/12</f>
        <v>2.4526990086631972E-19</v>
      </c>
      <c r="CN161" s="22">
        <f t="shared" si="172"/>
        <v>0.35165319899167147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256.66666666666669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1.4210854715202004E-13</v>
      </c>
      <c r="O162" s="13">
        <f>N162*VLOOKUP('Données projet'!$B$9,Paramètres!$A$1:$I$89,3,0)*VLOOKUP('Données projet'!$B$9,Paramètres!$A$1:$I$89,5,0)</f>
        <v>1.4853185348329134E-13</v>
      </c>
      <c r="P162" s="13">
        <f t="shared" si="141"/>
        <v>2.1309431512949395E-12</v>
      </c>
      <c r="Q162" s="20">
        <f t="shared" si="162"/>
        <v>3.9700856333220852E-12</v>
      </c>
      <c r="R162" s="59">
        <f t="shared" si="109"/>
        <v>293.33333333333729</v>
      </c>
      <c r="S162" s="59">
        <f ca="1">AVERAGE(OFFSET($R$3,0,0,'Données projet'!$E$9+1,1))-AVERAGE(OFFSET($H$3,0,0,'Données projet'!$E$9+1,1))</f>
        <v>241.84492910369795</v>
      </c>
      <c r="T162" s="59">
        <f t="shared" si="142"/>
        <v>338.04336767245667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0.47053813054359117</v>
      </c>
      <c r="AA162" s="21">
        <f>EXP(-LN(2)/25)*AA161+(1-EXP(-LN(2)/25))/(LN(2)/25)*Calculateur!V162*Calculateur!X162*VLOOKUP('Données projet'!$B$9,Paramètres!$A$1:$I$89,3,0)*0.475*44/12</f>
        <v>0.38865073729053334</v>
      </c>
      <c r="AB162" s="21">
        <f>EXP(-LN(2)/2)*AB161+(1-EXP(-LN(2)/2))/(LN(2)/2)*V162*Y162*VLOOKUP('Données projet'!$B$9,Paramètres!$A$1:$I$89,3,0)*0.475*44/12</f>
        <v>3.3141597898804828E-19</v>
      </c>
      <c r="AC162" s="22">
        <f t="shared" si="163"/>
        <v>0.85918886783412451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>
        <f>AI162*VLOOKUP('Données projet'!$B$10,Paramètres!$A$1:$I$89,3,0)*VLOOKUP('Données projet'!$B$10,Paramètres!$A$1:$I$89,5,0)</f>
        <v>0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370.12772664814923</v>
      </c>
      <c r="AO162" s="59">
        <f t="shared" si="144"/>
        <v>292.26503163353146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0.58119553817764791</v>
      </c>
      <c r="AV162" s="21">
        <f>EXP(-LN(2)/25)*AV161+(1-EXP(-LN(2)/25))/(LN(2)/25)*Calculateur!AQ162*Calculateur!AS162*VLOOKUP('Données projet'!$B$10,Paramètres!$A$1:$I$89,3,0)*0.475*44/12</f>
        <v>0.18580800671994221</v>
      </c>
      <c r="AW162" s="21">
        <f>EXP(-LN(2)/2)*AW161+(1-EXP(-LN(2)/2))/(LN(2)/2)*AQ162*AT162*VLOOKUP('Données projet'!$B$10,Paramètres!$A$1:$I$89,3,0)*0.475*44/12</f>
        <v>3.037007113932875E-19</v>
      </c>
      <c r="AX162" s="21">
        <f t="shared" si="166"/>
        <v>0.76700354489759015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>
        <f>BD162*VLOOKUP('Données projet'!$B$11,Paramètres!$A$1:$I$89,3,0)*VLOOKUP('Données projet'!$B$11,Paramètres!$A$1:$I$89,5,0)</f>
        <v>0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475.01366239340246</v>
      </c>
      <c r="BJ162" s="59">
        <f t="shared" si="146"/>
        <v>322.81767004794284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0.67567134012777907</v>
      </c>
      <c r="BQ162" s="21">
        <f>EXP(-LN(2)/25)*BQ161+(1-EXP(-LN(2)/25))/(LN(2)/25)*Calculateur!BL162*Calculateur!BN162*VLOOKUP('Données projet'!$B$11,Paramètres!$A$1:$I$89,3,0)*0.475*44/12</f>
        <v>0.31160416608690711</v>
      </c>
      <c r="BR162" s="21">
        <f>EXP(-LN(2)/2)*BR161+(1-EXP(-LN(2)/2))/(LN(2)/2)*BL162*BO162*VLOOKUP('Données projet'!$B$11,Paramètres!$A$1:$I$89,3,0)*0.475*44/12</f>
        <v>3.892076641806506E-19</v>
      </c>
      <c r="BS162" s="22">
        <f t="shared" si="169"/>
        <v>0.98727550621468618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-1.1368683772161603E-13</v>
      </c>
      <c r="BZ162" s="13">
        <f>BY162*VLOOKUP('Données projet'!$B$12,Paramètres!$A$1:$I$89,3,0)*VLOOKUP('Données projet'!$B$12,Paramètres!$A$1:$I$89,5,0)</f>
        <v>-7.626113074366004E-14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254.8851926268614</v>
      </c>
      <c r="CE162" s="59">
        <f t="shared" si="148"/>
        <v>182.11500693273973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0.23667914228254081</v>
      </c>
      <c r="CL162" s="21">
        <f>EXP(-LN(2)/25)*CL161+(1-EXP(-LN(2)/25))/(LN(2)/25)*Calculateur!CG162*Calculateur!CI162*VLOOKUP('Données projet'!$B$12,Paramètres!$A$1:$I$89,3,0)*0.475*44/12</f>
        <v>0.10722557180813923</v>
      </c>
      <c r="CM162" s="21">
        <f>EXP(-LN(2)/2)*CM161+(1-EXP(-LN(2)/2))/(LN(2)/2)*CG162*CJ162*VLOOKUP('Données projet'!$B$12,Paramètres!$A$1:$I$89,3,0)*0.475*44/12</f>
        <v>1.7343201012352694E-19</v>
      </c>
      <c r="CN162" s="22">
        <f t="shared" si="172"/>
        <v>0.34390471409068002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256.66666666666669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1.4210854715202004E-13</v>
      </c>
      <c r="O163" s="13">
        <f>N163*VLOOKUP('Données projet'!$B$9,Paramètres!$A$1:$I$89,3,0)*VLOOKUP('Données projet'!$B$9,Paramètres!$A$1:$I$89,5,0)</f>
        <v>1.4853185348329134E-13</v>
      </c>
      <c r="P163" s="13">
        <f t="shared" si="141"/>
        <v>2.1309431512949395E-12</v>
      </c>
      <c r="Q163" s="20">
        <f t="shared" si="162"/>
        <v>3.9700856333220852E-12</v>
      </c>
      <c r="R163" s="59">
        <f t="shared" si="109"/>
        <v>293.33333333333729</v>
      </c>
      <c r="S163" s="59">
        <f ca="1">AVERAGE(OFFSET($R$3,0,0,'Données projet'!$E$9+1,1))-AVERAGE(OFFSET($H$3,0,0,'Données projet'!$E$9+1,1))</f>
        <v>241.84492910369795</v>
      </c>
      <c r="T163" s="59">
        <f t="shared" si="142"/>
        <v>338.04336767245667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0.46131116480355211</v>
      </c>
      <c r="AA163" s="21">
        <f>EXP(-LN(2)/25)*AA162+(1-EXP(-LN(2)/25))/(LN(2)/25)*Calculateur!V163*Calculateur!X163*VLOOKUP('Données projet'!$B$9,Paramètres!$A$1:$I$89,3,0)*0.475*44/12</f>
        <v>0.3780230624410697</v>
      </c>
      <c r="AB163" s="21">
        <f>EXP(-LN(2)/2)*AB162+(1-EXP(-LN(2)/2))/(LN(2)/2)*V163*Y163*VLOOKUP('Données projet'!$B$9,Paramètres!$A$1:$I$89,3,0)*0.475*44/12</f>
        <v>2.3434648613602728E-19</v>
      </c>
      <c r="AC163" s="22">
        <f t="shared" si="163"/>
        <v>0.83933422724462181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>
        <f>AI163*VLOOKUP('Données projet'!$B$10,Paramètres!$A$1:$I$89,3,0)*VLOOKUP('Données projet'!$B$10,Paramètres!$A$1:$I$89,5,0)</f>
        <v>0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370.12772664814923</v>
      </c>
      <c r="AO163" s="59">
        <f t="shared" si="144"/>
        <v>292.26503163353146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0.56979864816825909</v>
      </c>
      <c r="AV163" s="21">
        <f>EXP(-LN(2)/25)*AV162+(1-EXP(-LN(2)/25))/(LN(2)/25)*Calculateur!AQ163*Calculateur!AS163*VLOOKUP('Données projet'!$B$10,Paramètres!$A$1:$I$89,3,0)*0.475*44/12</f>
        <v>0.18072707700496699</v>
      </c>
      <c r="AW163" s="21">
        <f>EXP(-LN(2)/2)*AW162+(1-EXP(-LN(2)/2))/(LN(2)/2)*AQ163*AT163*VLOOKUP('Données projet'!$B$10,Paramètres!$A$1:$I$89,3,0)*0.475*44/12</f>
        <v>2.1474883247737217E-19</v>
      </c>
      <c r="AX163" s="21">
        <f t="shared" si="166"/>
        <v>0.75052572517322602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>
        <f>BD163*VLOOKUP('Données projet'!$B$11,Paramètres!$A$1:$I$89,3,0)*VLOOKUP('Données projet'!$B$11,Paramètres!$A$1:$I$89,5,0)</f>
        <v>0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475.01366239340246</v>
      </c>
      <c r="BJ163" s="59">
        <f t="shared" si="146"/>
        <v>322.81767004794284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0.66242183726669746</v>
      </c>
      <c r="BQ163" s="21">
        <f>EXP(-LN(2)/25)*BQ162+(1-EXP(-LN(2)/25))/(LN(2)/25)*Calculateur!BL163*Calculateur!BN163*VLOOKUP('Données projet'!$B$11,Paramètres!$A$1:$I$89,3,0)*0.475*44/12</f>
        <v>0.30308333377870972</v>
      </c>
      <c r="BR163" s="21">
        <f>EXP(-LN(2)/2)*BR162+(1-EXP(-LN(2)/2))/(LN(2)/2)*BL163*BO163*VLOOKUP('Données projet'!$B$11,Paramètres!$A$1:$I$89,3,0)*0.475*44/12</f>
        <v>2.7521137863191457E-19</v>
      </c>
      <c r="BS163" s="22">
        <f t="shared" si="169"/>
        <v>0.96550517104540723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-1.1368683772161603E-13</v>
      </c>
      <c r="BZ163" s="13">
        <f>BY163*VLOOKUP('Données projet'!$B$12,Paramètres!$A$1:$I$89,3,0)*VLOOKUP('Données projet'!$B$12,Paramètres!$A$1:$I$89,5,0)</f>
        <v>-7.626113074366004E-14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254.8851926268614</v>
      </c>
      <c r="CE163" s="59">
        <f t="shared" si="148"/>
        <v>182.11500693273973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0.2320380086624026</v>
      </c>
      <c r="CL163" s="21">
        <f>EXP(-LN(2)/25)*CL162+(1-EXP(-LN(2)/25))/(LN(2)/25)*Calculateur!CG163*Calculateur!CI163*VLOOKUP('Données projet'!$B$12,Paramètres!$A$1:$I$89,3,0)*0.475*44/12</f>
        <v>0.1042934829082979</v>
      </c>
      <c r="CM163" s="21">
        <f>EXP(-LN(2)/2)*CM162+(1-EXP(-LN(2)/2))/(LN(2)/2)*CG163*CJ163*VLOOKUP('Données projet'!$B$12,Paramètres!$A$1:$I$89,3,0)*0.475*44/12</f>
        <v>1.2263495043315986E-19</v>
      </c>
      <c r="CN163" s="22">
        <f t="shared" si="172"/>
        <v>0.33633149157070052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256.66666666666669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1.4210854715202004E-13</v>
      </c>
      <c r="O164" s="13">
        <f>N164*VLOOKUP('Données projet'!$B$9,Paramètres!$A$1:$I$89,3,0)*VLOOKUP('Données projet'!$B$9,Paramètres!$A$1:$I$89,5,0)</f>
        <v>1.4853185348329134E-13</v>
      </c>
      <c r="P164" s="13">
        <f t="shared" si="141"/>
        <v>2.1309431512949395E-12</v>
      </c>
      <c r="Q164" s="20">
        <f t="shared" si="162"/>
        <v>3.9700856333220852E-12</v>
      </c>
      <c r="R164" s="59">
        <f t="shared" si="109"/>
        <v>293.33333333333729</v>
      </c>
      <c r="S164" s="59">
        <f ca="1">AVERAGE(OFFSET($R$3,0,0,'Données projet'!$E$9+1,1))-AVERAGE(OFFSET($H$3,0,0,'Données projet'!$E$9+1,1))</f>
        <v>241.84492910369795</v>
      </c>
      <c r="T164" s="59">
        <f t="shared" si="142"/>
        <v>338.04336767245667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0.45226513423378178</v>
      </c>
      <c r="AA164" s="21">
        <f>EXP(-LN(2)/25)*AA163+(1-EXP(-LN(2)/25))/(LN(2)/25)*Calculateur!V164*Calculateur!X164*VLOOKUP('Données projet'!$B$9,Paramètres!$A$1:$I$89,3,0)*0.475*44/12</f>
        <v>0.36768600191924977</v>
      </c>
      <c r="AB164" s="21">
        <f>EXP(-LN(2)/2)*AB163+(1-EXP(-LN(2)/2))/(LN(2)/2)*V164*Y164*VLOOKUP('Données projet'!$B$9,Paramètres!$A$1:$I$89,3,0)*0.475*44/12</f>
        <v>1.6570798949402414E-19</v>
      </c>
      <c r="AC164" s="22">
        <f t="shared" si="163"/>
        <v>0.81995113615303161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>
        <f>AI164*VLOOKUP('Données projet'!$B$10,Paramètres!$A$1:$I$89,3,0)*VLOOKUP('Données projet'!$B$10,Paramètres!$A$1:$I$89,5,0)</f>
        <v>0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370.12772664814923</v>
      </c>
      <c r="AO164" s="59">
        <f t="shared" si="144"/>
        <v>292.26503163353146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0.55862524422053794</v>
      </c>
      <c r="AV164" s="21">
        <f>EXP(-LN(2)/25)*AV163+(1-EXP(-LN(2)/25))/(LN(2)/25)*Calculateur!AQ164*Calculateur!AS164*VLOOKUP('Données projet'!$B$10,Paramètres!$A$1:$I$89,3,0)*0.475*44/12</f>
        <v>0.17578508558024225</v>
      </c>
      <c r="AW164" s="21">
        <f>EXP(-LN(2)/2)*AW163+(1-EXP(-LN(2)/2))/(LN(2)/2)*AQ164*AT164*VLOOKUP('Données projet'!$B$10,Paramètres!$A$1:$I$89,3,0)*0.475*44/12</f>
        <v>1.5185035569664377E-19</v>
      </c>
      <c r="AX164" s="21">
        <f t="shared" si="166"/>
        <v>0.73441032980078025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>
        <f>BD164*VLOOKUP('Données projet'!$B$11,Paramètres!$A$1:$I$89,3,0)*VLOOKUP('Données projet'!$B$11,Paramètres!$A$1:$I$89,5,0)</f>
        <v>0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475.01366239340246</v>
      </c>
      <c r="BJ164" s="59">
        <f t="shared" si="146"/>
        <v>322.81767004794284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0.64943214907532287</v>
      </c>
      <c r="BQ164" s="21">
        <f>EXP(-LN(2)/25)*BQ163+(1-EXP(-LN(2)/25))/(LN(2)/25)*Calculateur!BL164*Calculateur!BN164*VLOOKUP('Données projet'!$B$11,Paramètres!$A$1:$I$89,3,0)*0.475*44/12</f>
        <v>0.29479550407807109</v>
      </c>
      <c r="BR164" s="21">
        <f>EXP(-LN(2)/2)*BR163+(1-EXP(-LN(2)/2))/(LN(2)/2)*BL164*BO164*VLOOKUP('Données projet'!$B$11,Paramètres!$A$1:$I$89,3,0)*0.475*44/12</f>
        <v>1.946038320903253E-19</v>
      </c>
      <c r="BS164" s="22">
        <f t="shared" si="169"/>
        <v>0.94422765315339396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-1.1368683772161603E-13</v>
      </c>
      <c r="BZ164" s="13">
        <f>BY164*VLOOKUP('Données projet'!$B$12,Paramètres!$A$1:$I$89,3,0)*VLOOKUP('Données projet'!$B$12,Paramètres!$A$1:$I$89,5,0)</f>
        <v>-7.626113074366004E-14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254.8851926268614</v>
      </c>
      <c r="CE164" s="59">
        <f t="shared" si="148"/>
        <v>182.11500693273973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0.22748788484174332</v>
      </c>
      <c r="CL164" s="21">
        <f>EXP(-LN(2)/25)*CL163+(1-EXP(-LN(2)/25))/(LN(2)/25)*Calculateur!CG164*Calculateur!CI164*VLOOKUP('Données projet'!$B$12,Paramètres!$A$1:$I$89,3,0)*0.475*44/12</f>
        <v>0.1014415721336146</v>
      </c>
      <c r="CM164" s="21">
        <f>EXP(-LN(2)/2)*CM163+(1-EXP(-LN(2)/2))/(LN(2)/2)*CG164*CJ164*VLOOKUP('Données projet'!$B$12,Paramètres!$A$1:$I$89,3,0)*0.475*44/12</f>
        <v>8.6716005061763472E-20</v>
      </c>
      <c r="CN164" s="22">
        <f t="shared" si="172"/>
        <v>0.32892945697535791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256.66666666666669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1.4210854715202004E-13</v>
      </c>
      <c r="O165" s="13">
        <f>N165*VLOOKUP('Données projet'!$B$9,Paramètres!$A$1:$I$89,3,0)*VLOOKUP('Données projet'!$B$9,Paramètres!$A$1:$I$89,5,0)</f>
        <v>1.4853185348329134E-13</v>
      </c>
      <c r="P165" s="13">
        <f t="shared" si="141"/>
        <v>2.1309431512949395E-12</v>
      </c>
      <c r="Q165" s="20">
        <f t="shared" si="162"/>
        <v>3.9700856333220852E-12</v>
      </c>
      <c r="R165" s="59">
        <f t="shared" si="109"/>
        <v>293.33333333333729</v>
      </c>
      <c r="S165" s="59">
        <f ca="1">AVERAGE(OFFSET($R$3,0,0,'Données projet'!$E$9+1,1))-AVERAGE(OFFSET($H$3,0,0,'Données projet'!$E$9+1,1))</f>
        <v>241.84492910369795</v>
      </c>
      <c r="T165" s="59">
        <f t="shared" si="142"/>
        <v>338.04336767245667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0.44339649080595084</v>
      </c>
      <c r="AA165" s="21">
        <f>EXP(-LN(2)/25)*AA164+(1-EXP(-LN(2)/25))/(LN(2)/25)*Calculateur!V165*Calculateur!X165*VLOOKUP('Données projet'!$B$9,Paramètres!$A$1:$I$89,3,0)*0.475*44/12</f>
        <v>0.35763160886100143</v>
      </c>
      <c r="AB165" s="21">
        <f>EXP(-LN(2)/2)*AB164+(1-EXP(-LN(2)/2))/(LN(2)/2)*V165*Y165*VLOOKUP('Données projet'!$B$9,Paramètres!$A$1:$I$89,3,0)*0.475*44/12</f>
        <v>1.1717324306801364E-19</v>
      </c>
      <c r="AC165" s="22">
        <f t="shared" si="163"/>
        <v>0.80102809966695232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>
        <f>AI165*VLOOKUP('Données projet'!$B$10,Paramètres!$A$1:$I$89,3,0)*VLOOKUP('Données projet'!$B$10,Paramètres!$A$1:$I$89,5,0)</f>
        <v>0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370.12772664814923</v>
      </c>
      <c r="AO165" s="59">
        <f t="shared" si="144"/>
        <v>292.26503163353146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0.54767094390912807</v>
      </c>
      <c r="AV165" s="21">
        <f>EXP(-LN(2)/25)*AV164+(1-EXP(-LN(2)/25))/(LN(2)/25)*Calculateur!AQ165*Calculateur!AS165*VLOOKUP('Données projet'!$B$10,Paramètres!$A$1:$I$89,3,0)*0.475*44/12</f>
        <v>0.17097823317091465</v>
      </c>
      <c r="AW165" s="21">
        <f>EXP(-LN(2)/2)*AW164+(1-EXP(-LN(2)/2))/(LN(2)/2)*AQ165*AT165*VLOOKUP('Données projet'!$B$10,Paramètres!$A$1:$I$89,3,0)*0.475*44/12</f>
        <v>1.0737441623868611E-19</v>
      </c>
      <c r="AX165" s="21">
        <f t="shared" si="166"/>
        <v>0.71864917708004272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>
        <f>BD165*VLOOKUP('Données projet'!$B$11,Paramètres!$A$1:$I$89,3,0)*VLOOKUP('Données projet'!$B$11,Paramètres!$A$1:$I$89,5,0)</f>
        <v>0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475.01366239340246</v>
      </c>
      <c r="BJ165" s="59">
        <f t="shared" si="146"/>
        <v>322.81767004794284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0.63669718074645365</v>
      </c>
      <c r="BQ165" s="21">
        <f>EXP(-LN(2)/25)*BQ164+(1-EXP(-LN(2)/25))/(LN(2)/25)*Calculateur!BL165*Calculateur!BN165*VLOOKUP('Données projet'!$B$11,Paramètres!$A$1:$I$89,3,0)*0.475*44/12</f>
        <v>0.28673430551643442</v>
      </c>
      <c r="BR165" s="21">
        <f>EXP(-LN(2)/2)*BR164+(1-EXP(-LN(2)/2))/(LN(2)/2)*BL165*BO165*VLOOKUP('Données projet'!$B$11,Paramètres!$A$1:$I$89,3,0)*0.475*44/12</f>
        <v>1.3760568931595728E-19</v>
      </c>
      <c r="BS165" s="22">
        <f t="shared" si="169"/>
        <v>0.92343148626288807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-1.1368683772161603E-13</v>
      </c>
      <c r="BZ165" s="13">
        <f>BY165*VLOOKUP('Données projet'!$B$12,Paramètres!$A$1:$I$89,3,0)*VLOOKUP('Données projet'!$B$12,Paramètres!$A$1:$I$89,5,0)</f>
        <v>-7.626113074366004E-14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254.8851926268614</v>
      </c>
      <c r="CE165" s="59">
        <f t="shared" si="148"/>
        <v>182.11500693273973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0.22302698617390568</v>
      </c>
      <c r="CL165" s="21">
        <f>EXP(-LN(2)/25)*CL164+(1-EXP(-LN(2)/25))/(LN(2)/25)*Calculateur!CG165*Calculateur!CI165*VLOOKUP('Données projet'!$B$12,Paramètres!$A$1:$I$89,3,0)*0.475*44/12</f>
        <v>9.8667647009040474E-2</v>
      </c>
      <c r="CM165" s="21">
        <f>EXP(-LN(2)/2)*CM164+(1-EXP(-LN(2)/2))/(LN(2)/2)*CG165*CJ165*VLOOKUP('Données projet'!$B$12,Paramètres!$A$1:$I$89,3,0)*0.475*44/12</f>
        <v>6.1317475216579931E-20</v>
      </c>
      <c r="CN165" s="22">
        <f t="shared" si="172"/>
        <v>0.32169463318294617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256.66666666666669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1.4210854715202004E-13</v>
      </c>
      <c r="O166" s="13">
        <f>N166*VLOOKUP('Données projet'!$B$9,Paramètres!$A$1:$I$89,3,0)*VLOOKUP('Données projet'!$B$9,Paramètres!$A$1:$I$89,5,0)</f>
        <v>1.4853185348329134E-13</v>
      </c>
      <c r="P166" s="13">
        <f t="shared" si="141"/>
        <v>2.1309431512949395E-12</v>
      </c>
      <c r="Q166" s="20">
        <f t="shared" si="162"/>
        <v>3.9700856333220852E-12</v>
      </c>
      <c r="R166" s="59">
        <f t="shared" si="109"/>
        <v>293.33333333333729</v>
      </c>
      <c r="S166" s="59">
        <f ca="1">AVERAGE(OFFSET($R$3,0,0,'Données projet'!$E$9+1,1))-AVERAGE(OFFSET($H$3,0,0,'Données projet'!$E$9+1,1))</f>
        <v>241.84492910369795</v>
      </c>
      <c r="T166" s="59">
        <f t="shared" si="142"/>
        <v>338.04336767245667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0.43470175606640127</v>
      </c>
      <c r="AA166" s="21">
        <f>EXP(-LN(2)/25)*AA165+(1-EXP(-LN(2)/25))/(LN(2)/25)*Calculateur!V166*Calculateur!X166*VLOOKUP('Données projet'!$B$9,Paramètres!$A$1:$I$89,3,0)*0.475*44/12</f>
        <v>0.34785215370966843</v>
      </c>
      <c r="AB166" s="21">
        <f>EXP(-LN(2)/2)*AB165+(1-EXP(-LN(2)/2))/(LN(2)/2)*V166*Y166*VLOOKUP('Données projet'!$B$9,Paramètres!$A$1:$I$89,3,0)*0.475*44/12</f>
        <v>8.2853994747012069E-20</v>
      </c>
      <c r="AC166" s="22">
        <f t="shared" si="163"/>
        <v>0.78255390977606964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>
        <f>AI166*VLOOKUP('Données projet'!$B$10,Paramètres!$A$1:$I$89,3,0)*VLOOKUP('Données projet'!$B$10,Paramètres!$A$1:$I$89,5,0)</f>
        <v>0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370.12772664814923</v>
      </c>
      <c r="AO166" s="59">
        <f t="shared" si="144"/>
        <v>292.26503163353146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0.53693145074536153</v>
      </c>
      <c r="AV166" s="21">
        <f>EXP(-LN(2)/25)*AV165+(1-EXP(-LN(2)/25))/(LN(2)/25)*Calculateur!AQ166*Calculateur!AS166*VLOOKUP('Données projet'!$B$10,Paramètres!$A$1:$I$89,3,0)*0.475*44/12</f>
        <v>0.16630282439350147</v>
      </c>
      <c r="AW166" s="21">
        <f>EXP(-LN(2)/2)*AW165+(1-EXP(-LN(2)/2))/(LN(2)/2)*AQ166*AT166*VLOOKUP('Données projet'!$B$10,Paramètres!$A$1:$I$89,3,0)*0.475*44/12</f>
        <v>7.5925177848321898E-20</v>
      </c>
      <c r="AX166" s="21">
        <f t="shared" si="166"/>
        <v>0.70323427513886294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>
        <f>BD166*VLOOKUP('Données projet'!$B$11,Paramètres!$A$1:$I$89,3,0)*VLOOKUP('Données projet'!$B$11,Paramètres!$A$1:$I$89,5,0)</f>
        <v>0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475.01366239340246</v>
      </c>
      <c r="BJ166" s="59">
        <f t="shared" si="146"/>
        <v>322.81767004794284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0.62421193737894987</v>
      </c>
      <c r="BQ166" s="21">
        <f>EXP(-LN(2)/25)*BQ165+(1-EXP(-LN(2)/25))/(LN(2)/25)*Calculateur!BL166*Calculateur!BN166*VLOOKUP('Données projet'!$B$11,Paramètres!$A$1:$I$89,3,0)*0.475*44/12</f>
        <v>0.27889354085338575</v>
      </c>
      <c r="BR166" s="21">
        <f>EXP(-LN(2)/2)*BR165+(1-EXP(-LN(2)/2))/(LN(2)/2)*BL166*BO166*VLOOKUP('Données projet'!$B$11,Paramètres!$A$1:$I$89,3,0)*0.475*44/12</f>
        <v>9.7301916045162649E-20</v>
      </c>
      <c r="BS166" s="22">
        <f t="shared" si="169"/>
        <v>0.90310547823233556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-1.1368683772161603E-13</v>
      </c>
      <c r="BZ166" s="13">
        <f>BY166*VLOOKUP('Données projet'!$B$12,Paramètres!$A$1:$I$89,3,0)*VLOOKUP('Données projet'!$B$12,Paramètres!$A$1:$I$89,5,0)</f>
        <v>-7.626113074366004E-14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254.8851926268614</v>
      </c>
      <c r="CE166" s="59">
        <f t="shared" si="148"/>
        <v>182.11500693273973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0.21865356300806479</v>
      </c>
      <c r="CL166" s="21">
        <f>EXP(-LN(2)/25)*CL165+(1-EXP(-LN(2)/25))/(LN(2)/25)*Calculateur!CG166*Calculateur!CI166*VLOOKUP('Données projet'!$B$12,Paramètres!$A$1:$I$89,3,0)*0.475*44/12</f>
        <v>9.5969575012872219E-2</v>
      </c>
      <c r="CM166" s="21">
        <f>EXP(-LN(2)/2)*CM165+(1-EXP(-LN(2)/2))/(LN(2)/2)*CG166*CJ166*VLOOKUP('Données projet'!$B$12,Paramètres!$A$1:$I$89,3,0)*0.475*44/12</f>
        <v>4.3358002530881736E-20</v>
      </c>
      <c r="CN166" s="22">
        <f t="shared" si="172"/>
        <v>0.314623138020937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256.66666666666669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1.4210854715202004E-13</v>
      </c>
      <c r="O167" s="13">
        <f>N167*VLOOKUP('Données projet'!$B$9,Paramètres!$A$1:$I$89,3,0)*VLOOKUP('Données projet'!$B$9,Paramètres!$A$1:$I$89,5,0)</f>
        <v>1.4853185348329134E-13</v>
      </c>
      <c r="P167" s="13">
        <f t="shared" si="141"/>
        <v>2.1309431512949395E-12</v>
      </c>
      <c r="Q167" s="20">
        <f t="shared" si="162"/>
        <v>3.9700856333220852E-12</v>
      </c>
      <c r="R167" s="59">
        <f t="shared" si="109"/>
        <v>293.33333333333729</v>
      </c>
      <c r="S167" s="59">
        <f ca="1">AVERAGE(OFFSET($R$3,0,0,'Données projet'!$E$9+1,1))-AVERAGE(OFFSET($H$3,0,0,'Données projet'!$E$9+1,1))</f>
        <v>241.84492910369795</v>
      </c>
      <c r="T167" s="59">
        <f t="shared" si="142"/>
        <v>338.04336767245667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0.42617751977182977</v>
      </c>
      <c r="AA167" s="21">
        <f>EXP(-LN(2)/25)*AA166+(1-EXP(-LN(2)/25))/(LN(2)/25)*Calculateur!V167*Calculateur!X167*VLOOKUP('Données projet'!$B$9,Paramètres!$A$1:$I$89,3,0)*0.475*44/12</f>
        <v>0.33834011827372779</v>
      </c>
      <c r="AB167" s="21">
        <f>EXP(-LN(2)/2)*AB166+(1-EXP(-LN(2)/2))/(LN(2)/2)*V167*Y167*VLOOKUP('Données projet'!$B$9,Paramètres!$A$1:$I$89,3,0)*0.475*44/12</f>
        <v>5.8586621534006821E-20</v>
      </c>
      <c r="AC167" s="22">
        <f t="shared" si="163"/>
        <v>0.76451763804555761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>
        <f>AI167*VLOOKUP('Données projet'!$B$10,Paramètres!$A$1:$I$89,3,0)*VLOOKUP('Données projet'!$B$10,Paramètres!$A$1:$I$89,5,0)</f>
        <v>0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370.12772664814923</v>
      </c>
      <c r="AO167" s="59">
        <f t="shared" si="144"/>
        <v>292.26503163353146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0.52640255249209245</v>
      </c>
      <c r="AV167" s="21">
        <f>EXP(-LN(2)/25)*AV166+(1-EXP(-LN(2)/25))/(LN(2)/25)*Calculateur!AQ167*Calculateur!AS167*VLOOKUP('Données projet'!$B$10,Paramètres!$A$1:$I$89,3,0)*0.475*44/12</f>
        <v>0.16175526491497572</v>
      </c>
      <c r="AW167" s="21">
        <f>EXP(-LN(2)/2)*AW166+(1-EXP(-LN(2)/2))/(LN(2)/2)*AQ167*AT167*VLOOKUP('Données projet'!$B$10,Paramètres!$A$1:$I$89,3,0)*0.475*44/12</f>
        <v>5.3687208119343061E-20</v>
      </c>
      <c r="AX167" s="21">
        <f t="shared" si="166"/>
        <v>0.68815781740706816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>
        <f>BD167*VLOOKUP('Données projet'!$B$11,Paramètres!$A$1:$I$89,3,0)*VLOOKUP('Données projet'!$B$11,Paramètres!$A$1:$I$89,5,0)</f>
        <v>0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475.01366239340246</v>
      </c>
      <c r="BJ167" s="59">
        <f t="shared" si="146"/>
        <v>322.81767004794284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0.61197152201863636</v>
      </c>
      <c r="BQ167" s="21">
        <f>EXP(-LN(2)/25)*BQ166+(1-EXP(-LN(2)/25))/(LN(2)/25)*Calculateur!BL167*Calculateur!BN167*VLOOKUP('Données projet'!$B$11,Paramètres!$A$1:$I$89,3,0)*0.475*44/12</f>
        <v>0.27126718231237601</v>
      </c>
      <c r="BR167" s="21">
        <f>EXP(-LN(2)/2)*BR166+(1-EXP(-LN(2)/2))/(LN(2)/2)*BL167*BO167*VLOOKUP('Données projet'!$B$11,Paramètres!$A$1:$I$89,3,0)*0.475*44/12</f>
        <v>6.8802844657978642E-20</v>
      </c>
      <c r="BS167" s="22">
        <f t="shared" si="169"/>
        <v>0.88323870433101237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-1.1368683772161603E-13</v>
      </c>
      <c r="BZ167" s="13">
        <f>BY167*VLOOKUP('Données projet'!$B$12,Paramètres!$A$1:$I$89,3,0)*VLOOKUP('Données projet'!$B$12,Paramètres!$A$1:$I$89,5,0)</f>
        <v>-7.626113074366004E-14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254.8851926268614</v>
      </c>
      <c r="CE167" s="59">
        <f t="shared" si="148"/>
        <v>182.11500693273973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0.21436590000298134</v>
      </c>
      <c r="CL167" s="21">
        <f>EXP(-LN(2)/25)*CL166+(1-EXP(-LN(2)/25))/(LN(2)/25)*Calculateur!CG167*Calculateur!CI167*VLOOKUP('Données projet'!$B$12,Paramètres!$A$1:$I$89,3,0)*0.475*44/12</f>
        <v>9.3345281937324623E-2</v>
      </c>
      <c r="CM167" s="21">
        <f>EXP(-LN(2)/2)*CM166+(1-EXP(-LN(2)/2))/(LN(2)/2)*CG167*CJ167*VLOOKUP('Données projet'!$B$12,Paramètres!$A$1:$I$89,3,0)*0.475*44/12</f>
        <v>3.0658737608289965E-20</v>
      </c>
      <c r="CN167" s="22">
        <f t="shared" si="172"/>
        <v>0.30771118194030594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256.66666666666669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1.4210854715202004E-13</v>
      </c>
      <c r="O168" s="13">
        <f>N168*VLOOKUP('Données projet'!$B$9,Paramètres!$A$1:$I$89,3,0)*VLOOKUP('Données projet'!$B$9,Paramètres!$A$1:$I$89,5,0)</f>
        <v>1.4853185348329134E-13</v>
      </c>
      <c r="P168" s="13">
        <f t="shared" si="141"/>
        <v>2.1309431512949395E-12</v>
      </c>
      <c r="Q168" s="20">
        <f t="shared" si="162"/>
        <v>3.9700856333220852E-12</v>
      </c>
      <c r="R168" s="59">
        <f t="shared" si="109"/>
        <v>293.33333333333729</v>
      </c>
      <c r="S168" s="59">
        <f ca="1">AVERAGE(OFFSET($R$3,0,0,'Données projet'!$E$9+1,1))-AVERAGE(OFFSET($H$3,0,0,'Données projet'!$E$9+1,1))</f>
        <v>241.84492910369795</v>
      </c>
      <c r="T168" s="59">
        <f t="shared" si="142"/>
        <v>338.04336767245667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0.41782043855172407</v>
      </c>
      <c r="AA168" s="21">
        <f>EXP(-LN(2)/25)*AA167+(1-EXP(-LN(2)/25))/(LN(2)/25)*Calculateur!V168*Calculateur!X168*VLOOKUP('Données projet'!$B$9,Paramètres!$A$1:$I$89,3,0)*0.475*44/12</f>
        <v>0.32908818994699918</v>
      </c>
      <c r="AB168" s="21">
        <f>EXP(-LN(2)/2)*AB167+(1-EXP(-LN(2)/2))/(LN(2)/2)*V168*Y168*VLOOKUP('Données projet'!$B$9,Paramètres!$A$1:$I$89,3,0)*0.475*44/12</f>
        <v>4.1426997373506034E-20</v>
      </c>
      <c r="AC168" s="22">
        <f t="shared" si="163"/>
        <v>0.74690862849872319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>
        <f>AI168*VLOOKUP('Données projet'!$B$10,Paramètres!$A$1:$I$89,3,0)*VLOOKUP('Données projet'!$B$10,Paramètres!$A$1:$I$89,5,0)</f>
        <v>0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370.12772664814923</v>
      </c>
      <c r="AO168" s="59">
        <f t="shared" si="144"/>
        <v>292.26503163353146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0.51608011951157617</v>
      </c>
      <c r="AV168" s="21">
        <f>EXP(-LN(2)/25)*AV167+(1-EXP(-LN(2)/25))/(LN(2)/25)*Calculateur!AQ168*Calculateur!AS168*VLOOKUP('Données projet'!$B$10,Paramètres!$A$1:$I$89,3,0)*0.475*44/12</f>
        <v>0.15733205868953601</v>
      </c>
      <c r="AW168" s="21">
        <f>EXP(-LN(2)/2)*AW167+(1-EXP(-LN(2)/2))/(LN(2)/2)*AQ168*AT168*VLOOKUP('Données projet'!$B$10,Paramètres!$A$1:$I$89,3,0)*0.475*44/12</f>
        <v>3.7962588924160955E-20</v>
      </c>
      <c r="AX168" s="21">
        <f t="shared" si="166"/>
        <v>0.67341217820111221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>
        <f>BD168*VLOOKUP('Données projet'!$B$11,Paramètres!$A$1:$I$89,3,0)*VLOOKUP('Données projet'!$B$11,Paramètres!$A$1:$I$89,5,0)</f>
        <v>0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475.01366239340246</v>
      </c>
      <c r="BJ168" s="59">
        <f t="shared" si="146"/>
        <v>322.81767004794284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0.59997113373762245</v>
      </c>
      <c r="BQ168" s="21">
        <f>EXP(-LN(2)/25)*BQ167+(1-EXP(-LN(2)/25))/(LN(2)/25)*Calculateur!BL168*Calculateur!BN168*VLOOKUP('Données projet'!$B$11,Paramètres!$A$1:$I$89,3,0)*0.475*44/12</f>
        <v>0.26384936694672295</v>
      </c>
      <c r="BR168" s="21">
        <f>EXP(-LN(2)/2)*BR167+(1-EXP(-LN(2)/2))/(LN(2)/2)*BL168*BO168*VLOOKUP('Données projet'!$B$11,Paramètres!$A$1:$I$89,3,0)*0.475*44/12</f>
        <v>4.8650958022581325E-20</v>
      </c>
      <c r="BS168" s="22">
        <f t="shared" si="169"/>
        <v>0.86382050068434535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-1.1368683772161603E-13</v>
      </c>
      <c r="BZ168" s="13">
        <f>BY168*VLOOKUP('Données projet'!$B$12,Paramètres!$A$1:$I$89,3,0)*VLOOKUP('Données projet'!$B$12,Paramètres!$A$1:$I$89,5,0)</f>
        <v>-7.626113074366004E-14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254.8851926268614</v>
      </c>
      <c r="CE168" s="59">
        <f t="shared" si="148"/>
        <v>182.11500693273973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0.21016231545421135</v>
      </c>
      <c r="CL168" s="21">
        <f>EXP(-LN(2)/25)*CL167+(1-EXP(-LN(2)/25))/(LN(2)/25)*Calculateur!CG168*Calculateur!CI168*VLOOKUP('Données projet'!$B$12,Paramètres!$A$1:$I$89,3,0)*0.475*44/12</f>
        <v>9.0792750293933452E-2</v>
      </c>
      <c r="CM168" s="21">
        <f>EXP(-LN(2)/2)*CM167+(1-EXP(-LN(2)/2))/(LN(2)/2)*CG168*CJ168*VLOOKUP('Données projet'!$B$12,Paramètres!$A$1:$I$89,3,0)*0.475*44/12</f>
        <v>2.1679001265440868E-20</v>
      </c>
      <c r="CN168" s="22">
        <f t="shared" si="172"/>
        <v>0.30095506574814479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256.66666666666669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1.4210854715202004E-13</v>
      </c>
      <c r="O169" s="13">
        <f>N169*VLOOKUP('Données projet'!$B$9,Paramètres!$A$1:$I$89,3,0)*VLOOKUP('Données projet'!$B$9,Paramètres!$A$1:$I$89,5,0)</f>
        <v>1.4853185348329134E-13</v>
      </c>
      <c r="P169" s="13">
        <f t="shared" si="141"/>
        <v>2.1309431512949395E-12</v>
      </c>
      <c r="Q169" s="20">
        <f t="shared" si="162"/>
        <v>3.9700856333220852E-12</v>
      </c>
      <c r="R169" s="59">
        <f t="shared" si="109"/>
        <v>293.33333333333729</v>
      </c>
      <c r="S169" s="59">
        <f ca="1">AVERAGE(OFFSET($R$3,0,0,'Données projet'!$E$9+1,1))-AVERAGE(OFFSET($H$3,0,0,'Données projet'!$E$9+1,1))</f>
        <v>241.84492910369795</v>
      </c>
      <c r="T169" s="59">
        <f t="shared" si="142"/>
        <v>338.04336767245667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0.40962723459702838</v>
      </c>
      <c r="AA169" s="21">
        <f>EXP(-LN(2)/25)*AA168+(1-EXP(-LN(2)/25))/(LN(2)/25)*Calculateur!V169*Calculateur!X169*VLOOKUP('Données projet'!$B$9,Paramètres!$A$1:$I$89,3,0)*0.475*44/12</f>
        <v>0.3200892560869027</v>
      </c>
      <c r="AB169" s="21">
        <f>EXP(-LN(2)/2)*AB168+(1-EXP(-LN(2)/2))/(LN(2)/2)*V169*Y169*VLOOKUP('Données projet'!$B$9,Paramètres!$A$1:$I$89,3,0)*0.475*44/12</f>
        <v>2.929331076700341E-20</v>
      </c>
      <c r="AC169" s="22">
        <f t="shared" si="163"/>
        <v>0.72971649068393107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>
        <f>AI169*VLOOKUP('Données projet'!$B$10,Paramètres!$A$1:$I$89,3,0)*VLOOKUP('Données projet'!$B$10,Paramètres!$A$1:$I$89,5,0)</f>
        <v>0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370.12772664814923</v>
      </c>
      <c r="AO169" s="59">
        <f t="shared" si="144"/>
        <v>292.26503163353146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0.50596010314574535</v>
      </c>
      <c r="AV169" s="21">
        <f>EXP(-LN(2)/25)*AV168+(1-EXP(-LN(2)/25))/(LN(2)/25)*Calculateur!AQ169*Calculateur!AS169*VLOOKUP('Données projet'!$B$10,Paramètres!$A$1:$I$89,3,0)*0.475*44/12</f>
        <v>0.15302980527093726</v>
      </c>
      <c r="AW169" s="21">
        <f>EXP(-LN(2)/2)*AW168+(1-EXP(-LN(2)/2))/(LN(2)/2)*AQ169*AT169*VLOOKUP('Données projet'!$B$10,Paramètres!$A$1:$I$89,3,0)*0.475*44/12</f>
        <v>2.6843604059671534E-20</v>
      </c>
      <c r="AX169" s="21">
        <f t="shared" si="166"/>
        <v>0.65898990841668259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>
        <f>BD169*VLOOKUP('Données projet'!$B$11,Paramètres!$A$1:$I$89,3,0)*VLOOKUP('Données projet'!$B$11,Paramètres!$A$1:$I$89,5,0)</f>
        <v>0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475.01366239340246</v>
      </c>
      <c r="BJ169" s="59">
        <f t="shared" si="146"/>
        <v>322.81767004794284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0.58820606575128509</v>
      </c>
      <c r="BQ169" s="21">
        <f>EXP(-LN(2)/25)*BQ168+(1-EXP(-LN(2)/25))/(LN(2)/25)*Calculateur!BL169*Calculateur!BN169*VLOOKUP('Données projet'!$B$11,Paramètres!$A$1:$I$89,3,0)*0.475*44/12</f>
        <v>0.25663439213232964</v>
      </c>
      <c r="BR169" s="21">
        <f>EXP(-LN(2)/2)*BR168+(1-EXP(-LN(2)/2))/(LN(2)/2)*BL169*BO169*VLOOKUP('Données projet'!$B$11,Paramètres!$A$1:$I$89,3,0)*0.475*44/12</f>
        <v>3.4401422328989321E-20</v>
      </c>
      <c r="BS169" s="22">
        <f t="shared" si="169"/>
        <v>0.84484045788361473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-1.1368683772161603E-13</v>
      </c>
      <c r="BZ169" s="13">
        <f>BY169*VLOOKUP('Données projet'!$B$12,Paramètres!$A$1:$I$89,3,0)*VLOOKUP('Données projet'!$B$12,Paramètres!$A$1:$I$89,5,0)</f>
        <v>-7.626113074366004E-14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254.8851926268614</v>
      </c>
      <c r="CE169" s="59">
        <f t="shared" si="148"/>
        <v>182.11500693273973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0.20604116063450933</v>
      </c>
      <c r="CL169" s="21">
        <f>EXP(-LN(2)/25)*CL168+(1-EXP(-LN(2)/25))/(LN(2)/25)*Calculateur!CG169*Calculateur!CI169*VLOOKUP('Données projet'!$B$12,Paramètres!$A$1:$I$89,3,0)*0.475*44/12</f>
        <v>8.8310017762562615E-2</v>
      </c>
      <c r="CM169" s="21">
        <f>EXP(-LN(2)/2)*CM168+(1-EXP(-LN(2)/2))/(LN(2)/2)*CG169*CJ169*VLOOKUP('Données projet'!$B$12,Paramètres!$A$1:$I$89,3,0)*0.475*44/12</f>
        <v>1.5329368804144983E-20</v>
      </c>
      <c r="CN169" s="22">
        <f t="shared" si="172"/>
        <v>0.29435117839707192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256.66666666666669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1.4210854715202004E-13</v>
      </c>
      <c r="O170" s="13">
        <f>N170*VLOOKUP('Données projet'!$B$9,Paramètres!$A$1:$I$89,3,0)*VLOOKUP('Données projet'!$B$9,Paramètres!$A$1:$I$89,5,0)</f>
        <v>1.4853185348329134E-13</v>
      </c>
      <c r="P170" s="13">
        <f t="shared" si="141"/>
        <v>2.1309431512949395E-12</v>
      </c>
      <c r="Q170" s="20">
        <f t="shared" si="162"/>
        <v>3.9700856333220852E-12</v>
      </c>
      <c r="R170" s="59">
        <f t="shared" si="109"/>
        <v>293.33333333333729</v>
      </c>
      <c r="S170" s="59">
        <f ca="1">AVERAGE(OFFSET($R$3,0,0,'Données projet'!$E$9+1,1))-AVERAGE(OFFSET($H$3,0,0,'Données projet'!$E$9+1,1))</f>
        <v>241.84492910369795</v>
      </c>
      <c r="T170" s="59">
        <f t="shared" si="142"/>
        <v>338.04336767245667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0.40159469437452333</v>
      </c>
      <c r="AA170" s="21">
        <f>EXP(-LN(2)/25)*AA169+(1-EXP(-LN(2)/25))/(LN(2)/25)*Calculateur!V170*Calculateur!X170*VLOOKUP('Données projet'!$B$9,Paramètres!$A$1:$I$89,3,0)*0.475*44/12</f>
        <v>0.31133639854644396</v>
      </c>
      <c r="AB170" s="21">
        <f>EXP(-LN(2)/2)*AB169+(1-EXP(-LN(2)/2))/(LN(2)/2)*V170*Y170*VLOOKUP('Données projet'!$B$9,Paramètres!$A$1:$I$89,3,0)*0.475*44/12</f>
        <v>2.0713498686753017E-20</v>
      </c>
      <c r="AC170" s="22">
        <f t="shared" si="163"/>
        <v>0.71293109292096735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>
        <f>AI170*VLOOKUP('Données projet'!$B$10,Paramètres!$A$1:$I$89,3,0)*VLOOKUP('Données projet'!$B$10,Paramètres!$A$1:$I$89,5,0)</f>
        <v>0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370.12772664814923</v>
      </c>
      <c r="AO170" s="59">
        <f t="shared" si="144"/>
        <v>292.26503163353146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0.496038534128248</v>
      </c>
      <c r="AV170" s="21">
        <f>EXP(-LN(2)/25)*AV169+(1-EXP(-LN(2)/25))/(LN(2)/25)*Calculateur!AQ170*Calculateur!AS170*VLOOKUP('Données projet'!$B$10,Paramètres!$A$1:$I$89,3,0)*0.475*44/12</f>
        <v>0.14884519719831579</v>
      </c>
      <c r="AW170" s="21">
        <f>EXP(-LN(2)/2)*AW169+(1-EXP(-LN(2)/2))/(LN(2)/2)*AQ170*AT170*VLOOKUP('Données projet'!$B$10,Paramètres!$A$1:$I$89,3,0)*0.475*44/12</f>
        <v>1.8981294462080481E-20</v>
      </c>
      <c r="AX170" s="21">
        <f t="shared" si="166"/>
        <v>0.64488373132656385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>
        <f>BD170*VLOOKUP('Données projet'!$B$11,Paramètres!$A$1:$I$89,3,0)*VLOOKUP('Données projet'!$B$11,Paramètres!$A$1:$I$89,5,0)</f>
        <v>0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475.01366239340246</v>
      </c>
      <c r="BJ170" s="59">
        <f t="shared" si="146"/>
        <v>322.81767004794284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0.5766717035721769</v>
      </c>
      <c r="BQ170" s="21">
        <f>EXP(-LN(2)/25)*BQ169+(1-EXP(-LN(2)/25))/(LN(2)/25)*Calculateur!BL170*Calculateur!BN170*VLOOKUP('Données projet'!$B$11,Paramètres!$A$1:$I$89,3,0)*0.475*44/12</f>
        <v>0.24961671118365494</v>
      </c>
      <c r="BR170" s="21">
        <f>EXP(-LN(2)/2)*BR169+(1-EXP(-LN(2)/2))/(LN(2)/2)*BL170*BO170*VLOOKUP('Données projet'!$B$11,Paramètres!$A$1:$I$89,3,0)*0.475*44/12</f>
        <v>2.4325479011290662E-20</v>
      </c>
      <c r="BS170" s="22">
        <f t="shared" si="169"/>
        <v>0.82628841475583181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-1.1368683772161603E-13</v>
      </c>
      <c r="BZ170" s="13">
        <f>BY170*VLOOKUP('Données projet'!$B$12,Paramètres!$A$1:$I$89,3,0)*VLOOKUP('Données projet'!$B$12,Paramètres!$A$1:$I$89,5,0)</f>
        <v>-7.626113074366004E-14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254.8851926268614</v>
      </c>
      <c r="CE170" s="59">
        <f t="shared" si="148"/>
        <v>182.11500693273973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0.20200081914716544</v>
      </c>
      <c r="CL170" s="21">
        <f>EXP(-LN(2)/25)*CL169+(1-EXP(-LN(2)/25))/(LN(2)/25)*Calculateur!CG170*Calculateur!CI170*VLOOKUP('Données projet'!$B$12,Paramètres!$A$1:$I$89,3,0)*0.475*44/12</f>
        <v>8.5895175682823344E-2</v>
      </c>
      <c r="CM170" s="21">
        <f>EXP(-LN(2)/2)*CM169+(1-EXP(-LN(2)/2))/(LN(2)/2)*CG170*CJ170*VLOOKUP('Données projet'!$B$12,Paramètres!$A$1:$I$89,3,0)*0.475*44/12</f>
        <v>1.0839500632720434E-20</v>
      </c>
      <c r="CN170" s="22">
        <f t="shared" si="172"/>
        <v>0.28789599482998879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256.66666666666669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1.4210854715202004E-13</v>
      </c>
      <c r="O171" s="13">
        <f>N171*VLOOKUP('Données projet'!$B$9,Paramètres!$A$1:$I$89,3,0)*VLOOKUP('Données projet'!$B$9,Paramètres!$A$1:$I$89,5,0)</f>
        <v>1.4853185348329134E-13</v>
      </c>
      <c r="P171" s="13">
        <f t="shared" si="141"/>
        <v>2.1309431512949395E-12</v>
      </c>
      <c r="Q171" s="20">
        <f t="shared" si="162"/>
        <v>3.9700856333220852E-12</v>
      </c>
      <c r="R171" s="59">
        <f t="shared" si="109"/>
        <v>293.33333333333729</v>
      </c>
      <c r="S171" s="59">
        <f ca="1">AVERAGE(OFFSET($R$3,0,0,'Données projet'!$E$9+1,1))-AVERAGE(OFFSET($H$3,0,0,'Données projet'!$E$9+1,1))</f>
        <v>241.84492910369795</v>
      </c>
      <c r="T171" s="59">
        <f t="shared" si="142"/>
        <v>338.04336767245667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0.39371966736641584</v>
      </c>
      <c r="AA171" s="21">
        <f>EXP(-LN(2)/25)*AA170+(1-EXP(-LN(2)/25))/(LN(2)/25)*Calculateur!V171*Calculateur!X171*VLOOKUP('Données projet'!$B$9,Paramètres!$A$1:$I$89,3,0)*0.475*44/12</f>
        <v>0.3028228883557218</v>
      </c>
      <c r="AB171" s="21">
        <f>EXP(-LN(2)/2)*AB170+(1-EXP(-LN(2)/2))/(LN(2)/2)*V171*Y171*VLOOKUP('Données projet'!$B$9,Paramètres!$A$1:$I$89,3,0)*0.475*44/12</f>
        <v>1.4646655383501705E-20</v>
      </c>
      <c r="AC171" s="22">
        <f t="shared" si="163"/>
        <v>0.69654255572213764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>
        <f>AI171*VLOOKUP('Données projet'!$B$10,Paramètres!$A$1:$I$89,3,0)*VLOOKUP('Données projet'!$B$10,Paramètres!$A$1:$I$89,5,0)</f>
        <v>0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370.12772664814923</v>
      </c>
      <c r="AO171" s="59">
        <f t="shared" si="144"/>
        <v>292.26503163353146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0.48631152102762421</v>
      </c>
      <c r="AV171" s="21">
        <f>EXP(-LN(2)/25)*AV170+(1-EXP(-LN(2)/25))/(LN(2)/25)*Calculateur!AQ171*Calculateur!AS171*VLOOKUP('Données projet'!$B$10,Paramètres!$A$1:$I$89,3,0)*0.475*44/12</f>
        <v>0.14477501745349911</v>
      </c>
      <c r="AW171" s="21">
        <f>EXP(-LN(2)/2)*AW170+(1-EXP(-LN(2)/2))/(LN(2)/2)*AQ171*AT171*VLOOKUP('Données projet'!$B$10,Paramètres!$A$1:$I$89,3,0)*0.475*44/12</f>
        <v>1.342180202983577E-20</v>
      </c>
      <c r="AX171" s="21">
        <f t="shared" si="166"/>
        <v>0.63108653848112328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>
        <f>BD171*VLOOKUP('Données projet'!$B$11,Paramètres!$A$1:$I$89,3,0)*VLOOKUP('Données projet'!$B$11,Paramètres!$A$1:$I$89,5,0)</f>
        <v>0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475.01366239340246</v>
      </c>
      <c r="BJ171" s="59">
        <f t="shared" si="146"/>
        <v>322.81767004794284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0.56536352320013472</v>
      </c>
      <c r="BQ171" s="21">
        <f>EXP(-LN(2)/25)*BQ170+(1-EXP(-LN(2)/25))/(LN(2)/25)*Calculateur!BL171*Calculateur!BN171*VLOOKUP('Données projet'!$B$11,Paramètres!$A$1:$I$89,3,0)*0.475*44/12</f>
        <v>0.24279092908956557</v>
      </c>
      <c r="BR171" s="21">
        <f>EXP(-LN(2)/2)*BR170+(1-EXP(-LN(2)/2))/(LN(2)/2)*BL171*BO171*VLOOKUP('Données projet'!$B$11,Paramètres!$A$1:$I$89,3,0)*0.475*44/12</f>
        <v>1.7200711164494661E-20</v>
      </c>
      <c r="BS171" s="22">
        <f t="shared" si="169"/>
        <v>0.80815445228970029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-1.1368683772161603E-13</v>
      </c>
      <c r="BZ171" s="13">
        <f>BY171*VLOOKUP('Données projet'!$B$12,Paramètres!$A$1:$I$89,3,0)*VLOOKUP('Données projet'!$B$12,Paramètres!$A$1:$I$89,5,0)</f>
        <v>-7.626113074366004E-14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254.8851926268614</v>
      </c>
      <c r="CE171" s="59">
        <f t="shared" si="148"/>
        <v>182.11500693273973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0.19803970629202339</v>
      </c>
      <c r="CL171" s="21">
        <f>EXP(-LN(2)/25)*CL170+(1-EXP(-LN(2)/25))/(LN(2)/25)*Calculateur!CG171*Calculateur!CI171*VLOOKUP('Données projet'!$B$12,Paramètres!$A$1:$I$89,3,0)*0.475*44/12</f>
        <v>8.3546367586745565E-2</v>
      </c>
      <c r="CM171" s="21">
        <f>EXP(-LN(2)/2)*CM170+(1-EXP(-LN(2)/2))/(LN(2)/2)*CG171*CJ171*VLOOKUP('Données projet'!$B$12,Paramètres!$A$1:$I$89,3,0)*0.475*44/12</f>
        <v>7.6646844020724914E-21</v>
      </c>
      <c r="CN171" s="22">
        <f t="shared" si="172"/>
        <v>0.28158607387876894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256.66666666666669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1.4210854715202004E-13</v>
      </c>
      <c r="O172" s="13">
        <f>N172*VLOOKUP('Données projet'!$B$9,Paramètres!$A$1:$I$89,3,0)*VLOOKUP('Données projet'!$B$9,Paramètres!$A$1:$I$89,5,0)</f>
        <v>1.4853185348329134E-13</v>
      </c>
      <c r="P172" s="13">
        <f t="shared" si="141"/>
        <v>2.1309431512949395E-12</v>
      </c>
      <c r="Q172" s="20">
        <f t="shared" si="162"/>
        <v>3.9700856333220852E-12</v>
      </c>
      <c r="R172" s="59">
        <f t="shared" si="109"/>
        <v>293.33333333333729</v>
      </c>
      <c r="S172" s="59">
        <f ca="1">AVERAGE(OFFSET($R$3,0,0,'Données projet'!$E$9+1,1))-AVERAGE(OFFSET($H$3,0,0,'Données projet'!$E$9+1,1))</f>
        <v>241.84492910369795</v>
      </c>
      <c r="T172" s="59">
        <f t="shared" si="142"/>
        <v>338.04336767245667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0.38599906483464513</v>
      </c>
      <c r="AA172" s="21">
        <f>EXP(-LN(2)/25)*AA171+(1-EXP(-LN(2)/25))/(LN(2)/25)*Calculateur!V172*Calculateur!X172*VLOOKUP('Données projet'!$B$9,Paramètres!$A$1:$I$89,3,0)*0.475*44/12</f>
        <v>0.29454218054887099</v>
      </c>
      <c r="AB172" s="21">
        <f>EXP(-LN(2)/2)*AB171+(1-EXP(-LN(2)/2))/(LN(2)/2)*V172*Y172*VLOOKUP('Données projet'!$B$9,Paramètres!$A$1:$I$89,3,0)*0.475*44/12</f>
        <v>1.0356749343376509E-20</v>
      </c>
      <c r="AC172" s="22">
        <f t="shared" si="163"/>
        <v>0.68054124538351612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>
        <f>AI172*VLOOKUP('Données projet'!$B$10,Paramètres!$A$1:$I$89,3,0)*VLOOKUP('Données projet'!$B$10,Paramètres!$A$1:$I$89,5,0)</f>
        <v>0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370.12772664814923</v>
      </c>
      <c r="AO172" s="59">
        <f t="shared" si="144"/>
        <v>292.26503163353146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0.47677524872101146</v>
      </c>
      <c r="AV172" s="21">
        <f>EXP(-LN(2)/25)*AV171+(1-EXP(-LN(2)/25))/(LN(2)/25)*Calculateur!AQ172*Calculateur!AS172*VLOOKUP('Données projet'!$B$10,Paramètres!$A$1:$I$89,3,0)*0.475*44/12</f>
        <v>0.1408161369878459</v>
      </c>
      <c r="AW172" s="21">
        <f>EXP(-LN(2)/2)*AW171+(1-EXP(-LN(2)/2))/(LN(2)/2)*AQ172*AT172*VLOOKUP('Données projet'!$B$10,Paramètres!$A$1:$I$89,3,0)*0.475*44/12</f>
        <v>9.4906472310402418E-21</v>
      </c>
      <c r="AX172" s="21">
        <f t="shared" si="166"/>
        <v>0.6175913857088573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>
        <f>BD172*VLOOKUP('Données projet'!$B$11,Paramètres!$A$1:$I$89,3,0)*VLOOKUP('Données projet'!$B$11,Paramètres!$A$1:$I$89,5,0)</f>
        <v>0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475.01366239340246</v>
      </c>
      <c r="BJ172" s="59">
        <f t="shared" si="146"/>
        <v>322.81767004794284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0.55427708934787934</v>
      </c>
      <c r="BQ172" s="21">
        <f>EXP(-LN(2)/25)*BQ171+(1-EXP(-LN(2)/25))/(LN(2)/25)*Calculateur!BL172*Calculateur!BN172*VLOOKUP('Données projet'!$B$11,Paramètres!$A$1:$I$89,3,0)*0.475*44/12</f>
        <v>0.23615179836579134</v>
      </c>
      <c r="BR172" s="21">
        <f>EXP(-LN(2)/2)*BR171+(1-EXP(-LN(2)/2))/(LN(2)/2)*BL172*BO172*VLOOKUP('Données projet'!$B$11,Paramètres!$A$1:$I$89,3,0)*0.475*44/12</f>
        <v>1.2162739505645331E-20</v>
      </c>
      <c r="BS172" s="22">
        <f t="shared" si="169"/>
        <v>0.7904288877136707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-1.1368683772161603E-13</v>
      </c>
      <c r="BZ172" s="13">
        <f>BY172*VLOOKUP('Données projet'!$B$12,Paramètres!$A$1:$I$89,3,0)*VLOOKUP('Données projet'!$B$12,Paramètres!$A$1:$I$89,5,0)</f>
        <v>-7.626113074366004E-14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254.8851926268614</v>
      </c>
      <c r="CE172" s="59">
        <f t="shared" si="148"/>
        <v>182.11500693273973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0.19415626844393039</v>
      </c>
      <c r="CL172" s="21">
        <f>EXP(-LN(2)/25)*CL171+(1-EXP(-LN(2)/25))/(LN(2)/25)*Calculateur!CG172*Calculateur!CI172*VLOOKUP('Données projet'!$B$12,Paramètres!$A$1:$I$89,3,0)*0.475*44/12</f>
        <v>8.1261787771573488E-2</v>
      </c>
      <c r="CM172" s="21">
        <f>EXP(-LN(2)/2)*CM171+(1-EXP(-LN(2)/2))/(LN(2)/2)*CG172*CJ172*VLOOKUP('Données projet'!$B$12,Paramètres!$A$1:$I$89,3,0)*0.475*44/12</f>
        <v>5.419750316360217E-21</v>
      </c>
      <c r="CN172" s="22">
        <f t="shared" si="172"/>
        <v>0.27541805621550386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256.66666666666669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1.4210854715202004E-13</v>
      </c>
      <c r="O173" s="13">
        <f>N173*VLOOKUP('Données projet'!$B$9,Paramètres!$A$1:$I$89,3,0)*VLOOKUP('Données projet'!$B$9,Paramètres!$A$1:$I$89,5,0)</f>
        <v>1.4853185348329134E-13</v>
      </c>
      <c r="P173" s="13">
        <f t="shared" si="141"/>
        <v>2.1309431512949395E-12</v>
      </c>
      <c r="Q173" s="20">
        <f t="shared" si="162"/>
        <v>3.9700856333220852E-12</v>
      </c>
      <c r="R173" s="59">
        <f t="shared" si="109"/>
        <v>293.33333333333729</v>
      </c>
      <c r="S173" s="59">
        <f ca="1">AVERAGE(OFFSET($R$3,0,0,'Données projet'!$E$9+1,1))-AVERAGE(OFFSET($H$3,0,0,'Données projet'!$E$9+1,1))</f>
        <v>241.84492910369795</v>
      </c>
      <c r="T173" s="59">
        <f t="shared" si="142"/>
        <v>338.04336767245667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0.37842985860941991</v>
      </c>
      <c r="AA173" s="21">
        <f>EXP(-LN(2)/25)*AA172+(1-EXP(-LN(2)/25))/(LN(2)/25)*Calculateur!V173*Calculateur!X173*VLOOKUP('Données projet'!$B$9,Paramètres!$A$1:$I$89,3,0)*0.475*44/12</f>
        <v>0.28648790913246203</v>
      </c>
      <c r="AB173" s="21">
        <f>EXP(-LN(2)/2)*AB172+(1-EXP(-LN(2)/2))/(LN(2)/2)*V173*Y173*VLOOKUP('Données projet'!$B$9,Paramètres!$A$1:$I$89,3,0)*0.475*44/12</f>
        <v>7.3233276917508526E-21</v>
      </c>
      <c r="AC173" s="22">
        <f t="shared" si="163"/>
        <v>0.66491776774188194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>
        <f>AI173*VLOOKUP('Données projet'!$B$10,Paramètres!$A$1:$I$89,3,0)*VLOOKUP('Données projet'!$B$10,Paramètres!$A$1:$I$89,5,0)</f>
        <v>0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370.12772664814923</v>
      </c>
      <c r="AO173" s="59">
        <f t="shared" si="144"/>
        <v>292.26503163353146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0.46742597689777959</v>
      </c>
      <c r="AV173" s="21">
        <f>EXP(-LN(2)/25)*AV172+(1-EXP(-LN(2)/25))/(LN(2)/25)*Calculateur!AQ173*Calculateur!AS173*VLOOKUP('Données projet'!$B$10,Paramètres!$A$1:$I$89,3,0)*0.475*44/12</f>
        <v>0.13696551231671444</v>
      </c>
      <c r="AW173" s="21">
        <f>EXP(-LN(2)/2)*AW172+(1-EXP(-LN(2)/2))/(LN(2)/2)*AQ173*AT173*VLOOKUP('Données projet'!$B$10,Paramètres!$A$1:$I$89,3,0)*0.475*44/12</f>
        <v>6.7109010149178857E-21</v>
      </c>
      <c r="AX173" s="21">
        <f t="shared" si="166"/>
        <v>0.60439148921449404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>
        <f>BD173*VLOOKUP('Données projet'!$B$11,Paramètres!$A$1:$I$89,3,0)*VLOOKUP('Données projet'!$B$11,Paramètres!$A$1:$I$89,5,0)</f>
        <v>0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475.01366239340246</v>
      </c>
      <c r="BJ173" s="59">
        <f t="shared" si="146"/>
        <v>322.81767004794284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0.54340805370140977</v>
      </c>
      <c r="BQ173" s="21">
        <f>EXP(-LN(2)/25)*BQ172+(1-EXP(-LN(2)/25))/(LN(2)/25)*Calculateur!BL173*Calculateur!BN173*VLOOKUP('Données projet'!$B$11,Paramètres!$A$1:$I$89,3,0)*0.475*44/12</f>
        <v>0.22969421502079543</v>
      </c>
      <c r="BR173" s="21">
        <f>EXP(-LN(2)/2)*BR172+(1-EXP(-LN(2)/2))/(LN(2)/2)*BL173*BO173*VLOOKUP('Données projet'!$B$11,Paramètres!$A$1:$I$89,3,0)*0.475*44/12</f>
        <v>8.6003555822473303E-21</v>
      </c>
      <c r="BS173" s="22">
        <f t="shared" si="169"/>
        <v>0.77310226872220522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-1.1368683772161603E-13</v>
      </c>
      <c r="BZ173" s="13">
        <f>BY173*VLOOKUP('Données projet'!$B$12,Paramètres!$A$1:$I$89,3,0)*VLOOKUP('Données projet'!$B$12,Paramètres!$A$1:$I$89,5,0)</f>
        <v>-7.626113074366004E-14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254.8851926268614</v>
      </c>
      <c r="CE173" s="59">
        <f t="shared" si="148"/>
        <v>182.11500693273973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0.19034898244337531</v>
      </c>
      <c r="CL173" s="21">
        <f>EXP(-LN(2)/25)*CL172+(1-EXP(-LN(2)/25))/(LN(2)/25)*Calculateur!CG173*Calculateur!CI173*VLOOKUP('Données projet'!$B$12,Paramètres!$A$1:$I$89,3,0)*0.475*44/12</f>
        <v>7.9039679911588112E-2</v>
      </c>
      <c r="CM173" s="21">
        <f>EXP(-LN(2)/2)*CM172+(1-EXP(-LN(2)/2))/(LN(2)/2)*CG173*CJ173*VLOOKUP('Données projet'!$B$12,Paramètres!$A$1:$I$89,3,0)*0.475*44/12</f>
        <v>3.8323422010362457E-21</v>
      </c>
      <c r="CN173" s="22">
        <f t="shared" si="172"/>
        <v>0.26938866235496339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256.66666666666669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1.4210854715202004E-13</v>
      </c>
      <c r="O174" s="13">
        <f>N174*VLOOKUP('Données projet'!$B$9,Paramètres!$A$1:$I$89,3,0)*VLOOKUP('Données projet'!$B$9,Paramètres!$A$1:$I$89,5,0)</f>
        <v>1.4853185348329134E-13</v>
      </c>
      <c r="P174" s="13">
        <f t="shared" si="141"/>
        <v>2.1309431512949395E-12</v>
      </c>
      <c r="Q174" s="20">
        <f t="shared" si="162"/>
        <v>3.9700856333220852E-12</v>
      </c>
      <c r="R174" s="59">
        <f t="shared" si="109"/>
        <v>293.33333333333729</v>
      </c>
      <c r="S174" s="59">
        <f ca="1">AVERAGE(OFFSET($R$3,0,0,'Données projet'!$E$9+1,1))-AVERAGE(OFFSET($H$3,0,0,'Données projet'!$E$9+1,1))</f>
        <v>241.84492910369795</v>
      </c>
      <c r="T174" s="59">
        <f t="shared" si="142"/>
        <v>338.04336767245667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0.37100907990151144</v>
      </c>
      <c r="AA174" s="21">
        <f>EXP(-LN(2)/25)*AA173+(1-EXP(-LN(2)/25))/(LN(2)/25)*Calculateur!V174*Calculateur!X174*VLOOKUP('Données projet'!$B$9,Paramètres!$A$1:$I$89,3,0)*0.475*44/12</f>
        <v>0.27865388219149051</v>
      </c>
      <c r="AB174" s="21">
        <f>EXP(-LN(2)/2)*AB173+(1-EXP(-LN(2)/2))/(LN(2)/2)*V174*Y174*VLOOKUP('Données projet'!$B$9,Paramètres!$A$1:$I$89,3,0)*0.475*44/12</f>
        <v>5.1783746716882543E-21</v>
      </c>
      <c r="AC174" s="22">
        <f t="shared" si="163"/>
        <v>0.64966296209300189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>
        <f>AI174*VLOOKUP('Données projet'!$B$10,Paramètres!$A$1:$I$89,3,0)*VLOOKUP('Données projet'!$B$10,Paramètres!$A$1:$I$89,5,0)</f>
        <v>0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370.12772664814923</v>
      </c>
      <c r="AO174" s="59">
        <f t="shared" si="144"/>
        <v>292.26503163353146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0.45826003859250858</v>
      </c>
      <c r="AV174" s="21">
        <f>EXP(-LN(2)/25)*AV173+(1-EXP(-LN(2)/25))/(LN(2)/25)*Calculateur!AQ174*Calculateur!AS174*VLOOKUP('Données projet'!$B$10,Paramètres!$A$1:$I$89,3,0)*0.475*44/12</f>
        <v>0.13322018317971063</v>
      </c>
      <c r="AW174" s="21">
        <f>EXP(-LN(2)/2)*AW173+(1-EXP(-LN(2)/2))/(LN(2)/2)*AQ174*AT174*VLOOKUP('Données projet'!$B$10,Paramètres!$A$1:$I$89,3,0)*0.475*44/12</f>
        <v>4.7453236155201216E-21</v>
      </c>
      <c r="AX174" s="21">
        <f t="shared" si="166"/>
        <v>0.59148022177221926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>
        <f>BD174*VLOOKUP('Données projet'!$B$11,Paramètres!$A$1:$I$89,3,0)*VLOOKUP('Données projet'!$B$11,Paramètres!$A$1:$I$89,5,0)</f>
        <v>0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475.01366239340246</v>
      </c>
      <c r="BJ174" s="59">
        <f t="shared" si="146"/>
        <v>322.81767004794284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0.5327521532145103</v>
      </c>
      <c r="BQ174" s="21">
        <f>EXP(-LN(2)/25)*BQ173+(1-EXP(-LN(2)/25))/(LN(2)/25)*Calculateur!BL174*Calculateur!BN174*VLOOKUP('Données projet'!$B$11,Paramètres!$A$1:$I$89,3,0)*0.475*44/12</f>
        <v>0.22341321463195798</v>
      </c>
      <c r="BR174" s="21">
        <f>EXP(-LN(2)/2)*BR173+(1-EXP(-LN(2)/2))/(LN(2)/2)*BL174*BO174*VLOOKUP('Données projet'!$B$11,Paramètres!$A$1:$I$89,3,0)*0.475*44/12</f>
        <v>6.0813697528226656E-21</v>
      </c>
      <c r="BS174" s="22">
        <f t="shared" si="169"/>
        <v>0.75616536784646826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-1.1368683772161603E-13</v>
      </c>
      <c r="BZ174" s="13">
        <f>BY174*VLOOKUP('Données projet'!$B$12,Paramètres!$A$1:$I$89,3,0)*VLOOKUP('Données projet'!$B$12,Paramètres!$A$1:$I$89,5,0)</f>
        <v>-7.626113074366004E-14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254.8851926268614</v>
      </c>
      <c r="CE174" s="59">
        <f t="shared" si="148"/>
        <v>182.11500693273973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0.18661635499907595</v>
      </c>
      <c r="CL174" s="21">
        <f>EXP(-LN(2)/25)*CL173+(1-EXP(-LN(2)/25))/(LN(2)/25)*Calculateur!CG174*Calculateur!CI174*VLOOKUP('Données projet'!$B$12,Paramètres!$A$1:$I$89,3,0)*0.475*44/12</f>
        <v>7.6878335707889614E-2</v>
      </c>
      <c r="CM174" s="21">
        <f>EXP(-LN(2)/2)*CM173+(1-EXP(-LN(2)/2))/(LN(2)/2)*CG174*CJ174*VLOOKUP('Données projet'!$B$12,Paramètres!$A$1:$I$89,3,0)*0.475*44/12</f>
        <v>2.7098751581801085E-21</v>
      </c>
      <c r="CN174" s="22">
        <f t="shared" si="172"/>
        <v>0.26349469070696557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256.66666666666669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1.4210854715202004E-13</v>
      </c>
      <c r="O175" s="13">
        <f>N175*VLOOKUP('Données projet'!$B$9,Paramètres!$A$1:$I$89,3,0)*VLOOKUP('Données projet'!$B$9,Paramètres!$A$1:$I$89,5,0)</f>
        <v>1.4853185348329134E-13</v>
      </c>
      <c r="P175" s="13">
        <f t="shared" si="141"/>
        <v>2.1309431512949395E-12</v>
      </c>
      <c r="Q175" s="20">
        <f t="shared" si="162"/>
        <v>3.9700856333220852E-12</v>
      </c>
      <c r="R175" s="59">
        <f t="shared" si="109"/>
        <v>293.33333333333729</v>
      </c>
      <c r="S175" s="59">
        <f ca="1">AVERAGE(OFFSET($R$3,0,0,'Données projet'!$E$9+1,1))-AVERAGE(OFFSET($H$3,0,0,'Données projet'!$E$9+1,1))</f>
        <v>241.84492910369795</v>
      </c>
      <c r="T175" s="59">
        <f t="shared" si="142"/>
        <v>338.04336767245667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0.36373381813783695</v>
      </c>
      <c r="AA175" s="21">
        <f>EXP(-LN(2)/25)*AA174+(1-EXP(-LN(2)/25))/(LN(2)/25)*Calculateur!V175*Calculateur!X175*VLOOKUP('Données projet'!$B$9,Paramètres!$A$1:$I$89,3,0)*0.475*44/12</f>
        <v>0.27103407712919342</v>
      </c>
      <c r="AB175" s="21">
        <f>EXP(-LN(2)/2)*AB174+(1-EXP(-LN(2)/2))/(LN(2)/2)*V175*Y175*VLOOKUP('Données projet'!$B$9,Paramètres!$A$1:$I$89,3,0)*0.475*44/12</f>
        <v>3.6616638458754263E-21</v>
      </c>
      <c r="AC175" s="22">
        <f t="shared" si="163"/>
        <v>0.63476789526703037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>
        <f>AI175*VLOOKUP('Données projet'!$B$10,Paramètres!$A$1:$I$89,3,0)*VLOOKUP('Données projet'!$B$10,Paramètres!$A$1:$I$89,5,0)</f>
        <v>0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370.12772664814923</v>
      </c>
      <c r="AO175" s="59">
        <f t="shared" si="144"/>
        <v>292.26503163353146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0.4492738387467336</v>
      </c>
      <c r="AV175" s="21">
        <f>EXP(-LN(2)/25)*AV174+(1-EXP(-LN(2)/25))/(LN(2)/25)*Calculateur!AQ175*Calculateur!AS175*VLOOKUP('Données projet'!$B$10,Paramètres!$A$1:$I$89,3,0)*0.475*44/12</f>
        <v>0.12957727026491647</v>
      </c>
      <c r="AW175" s="21">
        <f>EXP(-LN(2)/2)*AW174+(1-EXP(-LN(2)/2))/(LN(2)/2)*AQ175*AT175*VLOOKUP('Données projet'!$B$10,Paramètres!$A$1:$I$89,3,0)*0.475*44/12</f>
        <v>3.3554505074589436E-21</v>
      </c>
      <c r="AX175" s="21">
        <f t="shared" si="166"/>
        <v>0.57885110901165004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>
        <f>BD175*VLOOKUP('Données projet'!$B$11,Paramètres!$A$1:$I$89,3,0)*VLOOKUP('Données projet'!$B$11,Paramètres!$A$1:$I$89,5,0)</f>
        <v>0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475.01366239340246</v>
      </c>
      <c r="BJ175" s="59">
        <f t="shared" si="146"/>
        <v>322.81767004794284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0.52230520843670136</v>
      </c>
      <c r="BQ175" s="21">
        <f>EXP(-LN(2)/25)*BQ174+(1-EXP(-LN(2)/25))/(LN(2)/25)*Calculateur!BL175*Calculateur!BN175*VLOOKUP('Données projet'!$B$11,Paramètres!$A$1:$I$89,3,0)*0.475*44/12</f>
        <v>0.21730396852905676</v>
      </c>
      <c r="BR175" s="21">
        <f>EXP(-LN(2)/2)*BR174+(1-EXP(-LN(2)/2))/(LN(2)/2)*BL175*BO175*VLOOKUP('Données projet'!$B$11,Paramètres!$A$1:$I$89,3,0)*0.475*44/12</f>
        <v>4.3001777911236651E-21</v>
      </c>
      <c r="BS175" s="22">
        <f t="shared" si="169"/>
        <v>0.73960917696575812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-1.1368683772161603E-13</v>
      </c>
      <c r="BZ175" s="13">
        <f>BY175*VLOOKUP('Données projet'!$B$12,Paramètres!$A$1:$I$89,3,0)*VLOOKUP('Données projet'!$B$12,Paramètres!$A$1:$I$89,5,0)</f>
        <v>-7.626113074366004E-14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254.8851926268614</v>
      </c>
      <c r="CE175" s="59">
        <f t="shared" si="148"/>
        <v>182.11500693273973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0.18295692210228134</v>
      </c>
      <c r="CL175" s="21">
        <f>EXP(-LN(2)/25)*CL174+(1-EXP(-LN(2)/25))/(LN(2)/25)*Calculateur!CG175*Calculateur!CI175*VLOOKUP('Données projet'!$B$12,Paramètres!$A$1:$I$89,3,0)*0.475*44/12</f>
        <v>7.4776093575101399E-2</v>
      </c>
      <c r="CM175" s="21">
        <f>EXP(-LN(2)/2)*CM174+(1-EXP(-LN(2)/2))/(LN(2)/2)*CG175*CJ175*VLOOKUP('Données projet'!$B$12,Paramètres!$A$1:$I$89,3,0)*0.475*44/12</f>
        <v>1.9161711005181228E-21</v>
      </c>
      <c r="CN175" s="22">
        <f t="shared" si="172"/>
        <v>0.25773301567738272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256.66666666666669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1.4210854715202004E-13</v>
      </c>
      <c r="O176" s="13">
        <f>N176*VLOOKUP('Données projet'!$B$9,Paramètres!$A$1:$I$89,3,0)*VLOOKUP('Données projet'!$B$9,Paramètres!$A$1:$I$89,5,0)</f>
        <v>1.4853185348329134E-13</v>
      </c>
      <c r="P176" s="13">
        <f t="shared" si="141"/>
        <v>2.1309431512949395E-12</v>
      </c>
      <c r="Q176" s="20">
        <f t="shared" si="162"/>
        <v>3.9700856333220852E-12</v>
      </c>
      <c r="R176" s="59">
        <f t="shared" si="109"/>
        <v>293.33333333333729</v>
      </c>
      <c r="S176" s="59">
        <f ca="1">AVERAGE(OFFSET($R$3,0,0,'Données projet'!$E$9+1,1))-AVERAGE(OFFSET($H$3,0,0,'Données projet'!$E$9+1,1))</f>
        <v>241.84492910369795</v>
      </c>
      <c r="T176" s="59">
        <f t="shared" si="142"/>
        <v>338.04336767245667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0.35660121981987658</v>
      </c>
      <c r="AA176" s="21">
        <f>EXP(-LN(2)/25)*AA175+(1-EXP(-LN(2)/25))/(LN(2)/25)*Calculateur!V176*Calculateur!X176*VLOOKUP('Données projet'!$B$9,Paramètres!$A$1:$I$89,3,0)*0.475*44/12</f>
        <v>0.26362263603703295</v>
      </c>
      <c r="AB176" s="21">
        <f>EXP(-LN(2)/2)*AB175+(1-EXP(-LN(2)/2))/(LN(2)/2)*V176*Y176*VLOOKUP('Données projet'!$B$9,Paramètres!$A$1:$I$89,3,0)*0.475*44/12</f>
        <v>2.5891873358441271E-21</v>
      </c>
      <c r="AC176" s="22">
        <f t="shared" si="163"/>
        <v>0.62022385585690953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>
        <f>AI176*VLOOKUP('Données projet'!$B$10,Paramètres!$A$1:$I$89,3,0)*VLOOKUP('Données projet'!$B$10,Paramètres!$A$1:$I$89,5,0)</f>
        <v>0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370.12772664814923</v>
      </c>
      <c r="AO176" s="59">
        <f t="shared" si="144"/>
        <v>292.26503163353146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0.44046385279889355</v>
      </c>
      <c r="AV176" s="21">
        <f>EXP(-LN(2)/25)*AV175+(1-EXP(-LN(2)/25))/(LN(2)/25)*Calculateur!AQ176*Calculateur!AS176*VLOOKUP('Données projet'!$B$10,Paramètres!$A$1:$I$89,3,0)*0.475*44/12</f>
        <v>0.12603397299534985</v>
      </c>
      <c r="AW176" s="21">
        <f>EXP(-LN(2)/2)*AW175+(1-EXP(-LN(2)/2))/(LN(2)/2)*AQ176*AT176*VLOOKUP('Données projet'!$B$10,Paramètres!$A$1:$I$89,3,0)*0.475*44/12</f>
        <v>2.3726618077600612E-21</v>
      </c>
      <c r="AX176" s="21">
        <f t="shared" si="166"/>
        <v>0.56649782579424346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>
        <f>BD176*VLOOKUP('Données projet'!$B$11,Paramètres!$A$1:$I$89,3,0)*VLOOKUP('Données projet'!$B$11,Paramètres!$A$1:$I$89,5,0)</f>
        <v>0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475.01366239340246</v>
      </c>
      <c r="BJ176" s="59">
        <f t="shared" si="146"/>
        <v>322.81767004794284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0.51206312187397818</v>
      </c>
      <c r="BQ176" s="21">
        <f>EXP(-LN(2)/25)*BQ175+(1-EXP(-LN(2)/25))/(LN(2)/25)*Calculateur!BL176*Calculateur!BN176*VLOOKUP('Données projet'!$B$11,Paramètres!$A$1:$I$89,3,0)*0.475*44/12</f>
        <v>0.21136178008211065</v>
      </c>
      <c r="BR176" s="21">
        <f>EXP(-LN(2)/2)*BR175+(1-EXP(-LN(2)/2))/(LN(2)/2)*BL176*BO176*VLOOKUP('Données projet'!$B$11,Paramètres!$A$1:$I$89,3,0)*0.475*44/12</f>
        <v>3.0406848764113328E-21</v>
      </c>
      <c r="BS176" s="22">
        <f t="shared" si="169"/>
        <v>0.72342490195608877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-1.1368683772161603E-13</v>
      </c>
      <c r="BZ176" s="13">
        <f>BY176*VLOOKUP('Données projet'!$B$12,Paramètres!$A$1:$I$89,3,0)*VLOOKUP('Données projet'!$B$12,Paramètres!$A$1:$I$89,5,0)</f>
        <v>-7.626113074366004E-14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254.8851926268614</v>
      </c>
      <c r="CE176" s="59">
        <f t="shared" si="148"/>
        <v>182.11500693273973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0.17936924845255922</v>
      </c>
      <c r="CL176" s="21">
        <f>EXP(-LN(2)/25)*CL175+(1-EXP(-LN(2)/25))/(LN(2)/25)*Calculateur!CG176*Calculateur!CI176*VLOOKUP('Données projet'!$B$12,Paramètres!$A$1:$I$89,3,0)*0.475*44/12</f>
        <v>7.273133736398639E-2</v>
      </c>
      <c r="CM176" s="21">
        <f>EXP(-LN(2)/2)*CM175+(1-EXP(-LN(2)/2))/(LN(2)/2)*CG176*CJ176*VLOOKUP('Données projet'!$B$12,Paramètres!$A$1:$I$89,3,0)*0.475*44/12</f>
        <v>1.3549375790900543E-21</v>
      </c>
      <c r="CN176" s="22">
        <f t="shared" si="172"/>
        <v>0.2521005858165456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256.66666666666669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1.4210854715202004E-13</v>
      </c>
      <c r="O177" s="13">
        <f>N177*VLOOKUP('Données projet'!$B$9,Paramètres!$A$1:$I$89,3,0)*VLOOKUP('Données projet'!$B$9,Paramètres!$A$1:$I$89,5,0)</f>
        <v>1.4853185348329134E-13</v>
      </c>
      <c r="P177" s="13">
        <f t="shared" si="141"/>
        <v>2.1309431512949395E-12</v>
      </c>
      <c r="Q177" s="20">
        <f t="shared" si="162"/>
        <v>3.9700856333220852E-12</v>
      </c>
      <c r="R177" s="59">
        <f t="shared" si="109"/>
        <v>293.33333333333729</v>
      </c>
      <c r="S177" s="59">
        <f ca="1">AVERAGE(OFFSET($R$3,0,0,'Données projet'!$E$9+1,1))-AVERAGE(OFFSET($H$3,0,0,'Données projet'!$E$9+1,1))</f>
        <v>241.84492910369795</v>
      </c>
      <c r="T177" s="59">
        <f t="shared" si="142"/>
        <v>338.04336767245667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0.34960848740447603</v>
      </c>
      <c r="AA177" s="21">
        <f>EXP(-LN(2)/25)*AA176+(1-EXP(-LN(2)/25))/(LN(2)/25)*Calculateur!V177*Calculateur!X177*VLOOKUP('Données projet'!$B$9,Paramètres!$A$1:$I$89,3,0)*0.475*44/12</f>
        <v>0.25641386119128839</v>
      </c>
      <c r="AB177" s="21">
        <f>EXP(-LN(2)/2)*AB176+(1-EXP(-LN(2)/2))/(LN(2)/2)*V177*Y177*VLOOKUP('Données projet'!$B$9,Paramètres!$A$1:$I$89,3,0)*0.475*44/12</f>
        <v>1.8308319229377132E-21</v>
      </c>
      <c r="AC177" s="22">
        <f t="shared" si="163"/>
        <v>0.60602234859576443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>
        <f>AI177*VLOOKUP('Données projet'!$B$10,Paramètres!$A$1:$I$89,3,0)*VLOOKUP('Données projet'!$B$10,Paramètres!$A$1:$I$89,5,0)</f>
        <v>0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370.12772664814923</v>
      </c>
      <c r="AO177" s="59">
        <f t="shared" si="144"/>
        <v>292.26503163353146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0.43182662530192983</v>
      </c>
      <c r="AV177" s="21">
        <f>EXP(-LN(2)/25)*AV176+(1-EXP(-LN(2)/25))/(LN(2)/25)*Calculateur!AQ177*Calculateur!AS177*VLOOKUP('Données projet'!$B$10,Paramètres!$A$1:$I$89,3,0)*0.475*44/12</f>
        <v>0.12258756737595343</v>
      </c>
      <c r="AW177" s="21">
        <f>EXP(-LN(2)/2)*AW176+(1-EXP(-LN(2)/2))/(LN(2)/2)*AQ177*AT177*VLOOKUP('Données projet'!$B$10,Paramètres!$A$1:$I$89,3,0)*0.475*44/12</f>
        <v>1.677725253729472E-21</v>
      </c>
      <c r="AX177" s="21">
        <f t="shared" si="166"/>
        <v>0.55441419267788328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>
        <f>BD177*VLOOKUP('Données projet'!$B$11,Paramètres!$A$1:$I$89,3,0)*VLOOKUP('Données projet'!$B$11,Paramètres!$A$1:$I$89,5,0)</f>
        <v>0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475.01366239340246</v>
      </c>
      <c r="BJ177" s="59">
        <f t="shared" si="146"/>
        <v>322.81767004794284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0.50202187638169404</v>
      </c>
      <c r="BQ177" s="21">
        <f>EXP(-LN(2)/25)*BQ176+(1-EXP(-LN(2)/25))/(LN(2)/25)*Calculateur!BL177*Calculateur!BN177*VLOOKUP('Données projet'!$B$11,Paramètres!$A$1:$I$89,3,0)*0.475*44/12</f>
        <v>0.20558208109073239</v>
      </c>
      <c r="BR177" s="21">
        <f>EXP(-LN(2)/2)*BR176+(1-EXP(-LN(2)/2))/(LN(2)/2)*BL177*BO177*VLOOKUP('Données projet'!$B$11,Paramètres!$A$1:$I$89,3,0)*0.475*44/12</f>
        <v>2.1500888955618326E-21</v>
      </c>
      <c r="BS177" s="22">
        <f t="shared" si="169"/>
        <v>0.70760395747242644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-1.1368683772161603E-13</v>
      </c>
      <c r="BZ177" s="13">
        <f>BY177*VLOOKUP('Données projet'!$B$12,Paramètres!$A$1:$I$89,3,0)*VLOOKUP('Données projet'!$B$12,Paramètres!$A$1:$I$89,5,0)</f>
        <v>-7.626113074366004E-14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254.8851926268614</v>
      </c>
      <c r="CE177" s="59">
        <f t="shared" si="148"/>
        <v>182.11500693273973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0.1758519268948433</v>
      </c>
      <c r="CL177" s="21">
        <f>EXP(-LN(2)/25)*CL176+(1-EXP(-LN(2)/25))/(LN(2)/25)*Calculateur!CG177*Calculateur!CI177*VLOOKUP('Données projet'!$B$12,Paramètres!$A$1:$I$89,3,0)*0.475*44/12</f>
        <v>7.0742495118993373E-2</v>
      </c>
      <c r="CM177" s="21">
        <f>EXP(-LN(2)/2)*CM176+(1-EXP(-LN(2)/2))/(LN(2)/2)*CG177*CJ177*VLOOKUP('Données projet'!$B$12,Paramètres!$A$1:$I$89,3,0)*0.475*44/12</f>
        <v>9.5808555025906142E-22</v>
      </c>
      <c r="CN177" s="22">
        <f t="shared" si="172"/>
        <v>0.24659442201383669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256.66666666666669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1.4210854715202004E-13</v>
      </c>
      <c r="O178" s="13">
        <f>N178*VLOOKUP('Données projet'!$B$9,Paramètres!$A$1:$I$89,3,0)*VLOOKUP('Données projet'!$B$9,Paramètres!$A$1:$I$89,5,0)</f>
        <v>1.4853185348329134E-13</v>
      </c>
      <c r="P178" s="13">
        <f t="shared" si="141"/>
        <v>2.1309431512949395E-12</v>
      </c>
      <c r="Q178" s="20">
        <f t="shared" si="162"/>
        <v>3.9700856333220852E-12</v>
      </c>
      <c r="R178" s="59">
        <f t="shared" si="109"/>
        <v>293.33333333333729</v>
      </c>
      <c r="S178" s="59">
        <f ca="1">AVERAGE(OFFSET($R$3,0,0,'Données projet'!$E$9+1,1))-AVERAGE(OFFSET($H$3,0,0,'Données projet'!$E$9+1,1))</f>
        <v>241.84492910369795</v>
      </c>
      <c r="T178" s="59">
        <f t="shared" si="142"/>
        <v>338.04336767245667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0.34275287820659583</v>
      </c>
      <c r="AA178" s="21">
        <f>EXP(-LN(2)/25)*AA177+(1-EXP(-LN(2)/25))/(LN(2)/25)*Calculateur!V178*Calculateur!X178*VLOOKUP('Données projet'!$B$9,Paramètres!$A$1:$I$89,3,0)*0.475*44/12</f>
        <v>0.24940221067279369</v>
      </c>
      <c r="AB178" s="21">
        <f>EXP(-LN(2)/2)*AB177+(1-EXP(-LN(2)/2))/(LN(2)/2)*V178*Y178*VLOOKUP('Données projet'!$B$9,Paramètres!$A$1:$I$89,3,0)*0.475*44/12</f>
        <v>1.2945936679220636E-21</v>
      </c>
      <c r="AC178" s="22">
        <f t="shared" si="163"/>
        <v>0.5921550888793895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>
        <f>AI178*VLOOKUP('Données projet'!$B$10,Paramètres!$A$1:$I$89,3,0)*VLOOKUP('Données projet'!$B$10,Paramètres!$A$1:$I$89,5,0)</f>
        <v>0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370.12772664814923</v>
      </c>
      <c r="AO178" s="59">
        <f t="shared" si="144"/>
        <v>292.26503163353146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0.42335876856799298</v>
      </c>
      <c r="AV178" s="21">
        <f>EXP(-LN(2)/25)*AV177+(1-EXP(-LN(2)/25))/(LN(2)/25)*Calculateur!AQ178*Calculateur!AS178*VLOOKUP('Données projet'!$B$10,Paramètres!$A$1:$I$89,3,0)*0.475*44/12</f>
        <v>0.119235403899458</v>
      </c>
      <c r="AW178" s="21">
        <f>EXP(-LN(2)/2)*AW177+(1-EXP(-LN(2)/2))/(LN(2)/2)*AQ178*AT178*VLOOKUP('Données projet'!$B$10,Paramètres!$A$1:$I$89,3,0)*0.475*44/12</f>
        <v>1.1863309038800308E-21</v>
      </c>
      <c r="AX178" s="21">
        <f t="shared" si="166"/>
        <v>0.54259417246745101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>
        <f>BD178*VLOOKUP('Données projet'!$B$11,Paramètres!$A$1:$I$89,3,0)*VLOOKUP('Données projet'!$B$11,Paramètres!$A$1:$I$89,5,0)</f>
        <v>0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475.01366239340246</v>
      </c>
      <c r="BJ178" s="59">
        <f t="shared" si="146"/>
        <v>322.81767004794284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0.49217753358895855</v>
      </c>
      <c r="BQ178" s="21">
        <f>EXP(-LN(2)/25)*BQ177+(1-EXP(-LN(2)/25))/(LN(2)/25)*Calculateur!BL178*Calculateur!BN178*VLOOKUP('Données projet'!$B$11,Paramètres!$A$1:$I$89,3,0)*0.475*44/12</f>
        <v>0.19996042827221452</v>
      </c>
      <c r="BR178" s="21">
        <f>EXP(-LN(2)/2)*BR177+(1-EXP(-LN(2)/2))/(LN(2)/2)*BL178*BO178*VLOOKUP('Données projet'!$B$11,Paramètres!$A$1:$I$89,3,0)*0.475*44/12</f>
        <v>1.5203424382056664E-21</v>
      </c>
      <c r="BS178" s="22">
        <f t="shared" si="169"/>
        <v>0.69213796186117305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-1.1368683772161603E-13</v>
      </c>
      <c r="BZ178" s="13">
        <f>BY178*VLOOKUP('Données projet'!$B$12,Paramètres!$A$1:$I$89,3,0)*VLOOKUP('Données projet'!$B$12,Paramètres!$A$1:$I$89,5,0)</f>
        <v>-7.626113074366004E-14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254.8851926268614</v>
      </c>
      <c r="CE178" s="59">
        <f t="shared" si="148"/>
        <v>182.11500693273973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0.17240357786751986</v>
      </c>
      <c r="CL178" s="21">
        <f>EXP(-LN(2)/25)*CL177+(1-EXP(-LN(2)/25))/(LN(2)/25)*Calculateur!CG178*Calculateur!CI178*VLOOKUP('Données projet'!$B$12,Paramètres!$A$1:$I$89,3,0)*0.475*44/12</f>
        <v>6.8808037869778363E-2</v>
      </c>
      <c r="CM178" s="21">
        <f>EXP(-LN(2)/2)*CM177+(1-EXP(-LN(2)/2))/(LN(2)/2)*CG178*CJ178*VLOOKUP('Données projet'!$B$12,Paramètres!$A$1:$I$89,3,0)*0.475*44/12</f>
        <v>6.7746878954502713E-22</v>
      </c>
      <c r="CN178" s="22">
        <f t="shared" si="172"/>
        <v>0.24121161573729821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256.66666666666669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1.4210854715202004E-13</v>
      </c>
      <c r="O179" s="13">
        <f>N179*VLOOKUP('Données projet'!$B$9,Paramètres!$A$1:$I$89,3,0)*VLOOKUP('Données projet'!$B$9,Paramètres!$A$1:$I$89,5,0)</f>
        <v>1.4853185348329134E-13</v>
      </c>
      <c r="P179" s="13">
        <f t="shared" si="141"/>
        <v>2.1309431512949395E-12</v>
      </c>
      <c r="Q179" s="20">
        <f t="shared" si="162"/>
        <v>3.9700856333220852E-12</v>
      </c>
      <c r="R179" s="59">
        <f t="shared" si="109"/>
        <v>293.33333333333729</v>
      </c>
      <c r="S179" s="59">
        <f ca="1">AVERAGE(OFFSET($R$3,0,0,'Données projet'!$E$9+1,1))-AVERAGE(OFFSET($H$3,0,0,'Données projet'!$E$9+1,1))</f>
        <v>241.84492910369795</v>
      </c>
      <c r="T179" s="59">
        <f t="shared" si="142"/>
        <v>338.04336767245667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0.33603170332357735</v>
      </c>
      <c r="AA179" s="21">
        <f>EXP(-LN(2)/25)*AA178+(1-EXP(-LN(2)/25))/(LN(2)/25)*Calculateur!V179*Calculateur!X179*VLOOKUP('Données projet'!$B$9,Paramètres!$A$1:$I$89,3,0)*0.475*44/12</f>
        <v>0.24258229410645391</v>
      </c>
      <c r="AB179" s="21">
        <f>EXP(-LN(2)/2)*AB178+(1-EXP(-LN(2)/2))/(LN(2)/2)*V179*Y179*VLOOKUP('Données projet'!$B$9,Paramètres!$A$1:$I$89,3,0)*0.475*44/12</f>
        <v>9.1541596146885658E-22</v>
      </c>
      <c r="AC179" s="22">
        <f t="shared" si="163"/>
        <v>0.57861399743003128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>
        <f>AI179*VLOOKUP('Données projet'!$B$10,Paramètres!$A$1:$I$89,3,0)*VLOOKUP('Données projet'!$B$10,Paramètres!$A$1:$I$89,5,0)</f>
        <v>0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370.12772664814923</v>
      </c>
      <c r="AO179" s="59">
        <f t="shared" si="144"/>
        <v>292.26503163353146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0.41505696133972603</v>
      </c>
      <c r="AV179" s="21">
        <f>EXP(-LN(2)/25)*AV178+(1-EXP(-LN(2)/25))/(LN(2)/25)*Calculateur!AQ179*Calculateur!AS179*VLOOKUP('Données projet'!$B$10,Paramètres!$A$1:$I$89,3,0)*0.475*44/12</f>
        <v>0.11597490550950994</v>
      </c>
      <c r="AW179" s="21">
        <f>EXP(-LN(2)/2)*AW178+(1-EXP(-LN(2)/2))/(LN(2)/2)*AQ179*AT179*VLOOKUP('Données projet'!$B$10,Paramètres!$A$1:$I$89,3,0)*0.475*44/12</f>
        <v>8.3886262686473609E-22</v>
      </c>
      <c r="AX179" s="21">
        <f t="shared" si="166"/>
        <v>0.53103186684923598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>
        <f>BD179*VLOOKUP('Données projet'!$B$11,Paramètres!$A$1:$I$89,3,0)*VLOOKUP('Données projet'!$B$11,Paramètres!$A$1:$I$89,5,0)</f>
        <v>0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475.01366239340246</v>
      </c>
      <c r="BJ179" s="59">
        <f t="shared" si="146"/>
        <v>322.81767004794284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0.48252623235393238</v>
      </c>
      <c r="BQ179" s="21">
        <f>EXP(-LN(2)/25)*BQ178+(1-EXP(-LN(2)/25))/(LN(2)/25)*Calculateur!BL179*Calculateur!BN179*VLOOKUP('Données projet'!$B$11,Paramètres!$A$1:$I$89,3,0)*0.475*44/12</f>
        <v>0.1944924998456489</v>
      </c>
      <c r="BR179" s="21">
        <f>EXP(-LN(2)/2)*BR178+(1-EXP(-LN(2)/2))/(LN(2)/2)*BL179*BO179*VLOOKUP('Données projet'!$B$11,Paramètres!$A$1:$I$89,3,0)*0.475*44/12</f>
        <v>1.0750444477809163E-21</v>
      </c>
      <c r="BS179" s="22">
        <f t="shared" si="169"/>
        <v>0.67701873219958131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-1.1368683772161603E-13</v>
      </c>
      <c r="BZ179" s="13">
        <f>BY179*VLOOKUP('Données projet'!$B$12,Paramètres!$A$1:$I$89,3,0)*VLOOKUP('Données projet'!$B$12,Paramètres!$A$1:$I$89,5,0)</f>
        <v>-7.626113074366004E-14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254.8851926268614</v>
      </c>
      <c r="CE179" s="59">
        <f t="shared" si="148"/>
        <v>182.11500693273973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0.16902284886133703</v>
      </c>
      <c r="CL179" s="21">
        <f>EXP(-LN(2)/25)*CL178+(1-EXP(-LN(2)/25))/(LN(2)/25)*Calculateur!CG179*Calculateur!CI179*VLOOKUP('Données projet'!$B$12,Paramètres!$A$1:$I$89,3,0)*0.475*44/12</f>
        <v>6.6926478455771821E-2</v>
      </c>
      <c r="CM179" s="21">
        <f>EXP(-LN(2)/2)*CM178+(1-EXP(-LN(2)/2))/(LN(2)/2)*CG179*CJ179*VLOOKUP('Données projet'!$B$12,Paramètres!$A$1:$I$89,3,0)*0.475*44/12</f>
        <v>4.7904277512953071E-22</v>
      </c>
      <c r="CN179" s="22">
        <f t="shared" si="172"/>
        <v>0.23594932731710885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256.66666666666669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1.4210854715202004E-13</v>
      </c>
      <c r="O180" s="13">
        <f>N180*VLOOKUP('Données projet'!$B$9,Paramètres!$A$1:$I$89,3,0)*VLOOKUP('Données projet'!$B$9,Paramètres!$A$1:$I$89,5,0)</f>
        <v>1.4853185348329134E-13</v>
      </c>
      <c r="P180" s="13">
        <f t="shared" si="141"/>
        <v>2.1309431512949395E-12</v>
      </c>
      <c r="Q180" s="20">
        <f t="shared" si="162"/>
        <v>3.9700856333220852E-12</v>
      </c>
      <c r="R180" s="59">
        <f t="shared" si="109"/>
        <v>293.33333333333729</v>
      </c>
      <c r="S180" s="59">
        <f ca="1">AVERAGE(OFFSET($R$3,0,0,'Données projet'!$E$9+1,1))-AVERAGE(OFFSET($H$3,0,0,'Données projet'!$E$9+1,1))</f>
        <v>241.84492910369795</v>
      </c>
      <c r="T180" s="59">
        <f t="shared" si="142"/>
        <v>338.04336767245667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0.32944232658050299</v>
      </c>
      <c r="AA180" s="21">
        <f>EXP(-LN(2)/25)*AA179+(1-EXP(-LN(2)/25))/(LN(2)/25)*Calculateur!V180*Calculateur!X180*VLOOKUP('Données projet'!$B$9,Paramètres!$A$1:$I$89,3,0)*0.475*44/12</f>
        <v>0.23594886851726452</v>
      </c>
      <c r="AB180" s="21">
        <f>EXP(-LN(2)/2)*AB179+(1-EXP(-LN(2)/2))/(LN(2)/2)*V180*Y180*VLOOKUP('Données projet'!$B$9,Paramètres!$A$1:$I$89,3,0)*0.475*44/12</f>
        <v>6.4729683396103179E-22</v>
      </c>
      <c r="AC180" s="22">
        <f t="shared" si="163"/>
        <v>0.56539119509776747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>
        <f>AI180*VLOOKUP('Données projet'!$B$10,Paramètres!$A$1:$I$89,3,0)*VLOOKUP('Données projet'!$B$10,Paramètres!$A$1:$I$89,5,0)</f>
        <v>0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370.12772664814923</v>
      </c>
      <c r="AO180" s="59">
        <f t="shared" si="144"/>
        <v>292.26503163353146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0.40691794748760296</v>
      </c>
      <c r="AV180" s="21">
        <f>EXP(-LN(2)/25)*AV179+(1-EXP(-LN(2)/25))/(LN(2)/25)*Calculateur!AQ180*Calculateur!AS180*VLOOKUP('Données projet'!$B$10,Paramètres!$A$1:$I$89,3,0)*0.475*44/12</f>
        <v>0.11280356561949717</v>
      </c>
      <c r="AW180" s="21">
        <f>EXP(-LN(2)/2)*AW179+(1-EXP(-LN(2)/2))/(LN(2)/2)*AQ180*AT180*VLOOKUP('Données projet'!$B$10,Paramètres!$A$1:$I$89,3,0)*0.475*44/12</f>
        <v>5.9316545194001549E-22</v>
      </c>
      <c r="AX180" s="21">
        <f t="shared" si="166"/>
        <v>0.51972151310710013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>
        <f>BD180*VLOOKUP('Données projet'!$B$11,Paramètres!$A$1:$I$89,3,0)*VLOOKUP('Données projet'!$B$11,Paramètres!$A$1:$I$89,5,0)</f>
        <v>0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475.01366239340246</v>
      </c>
      <c r="BJ180" s="59">
        <f t="shared" si="146"/>
        <v>322.81767004794284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0.47306418724941263</v>
      </c>
      <c r="BQ180" s="21">
        <f>EXP(-LN(2)/25)*BQ179+(1-EXP(-LN(2)/25))/(LN(2)/25)*Calculateur!BL180*Calculateur!BN180*VLOOKUP('Données projet'!$B$11,Paramètres!$A$1:$I$89,3,0)*0.475*44/12</f>
        <v>0.18917409220945358</v>
      </c>
      <c r="BR180" s="21">
        <f>EXP(-LN(2)/2)*BR179+(1-EXP(-LN(2)/2))/(LN(2)/2)*BL180*BO180*VLOOKUP('Données projet'!$B$11,Paramètres!$A$1:$I$89,3,0)*0.475*44/12</f>
        <v>7.601712191028332E-22</v>
      </c>
      <c r="BS180" s="22">
        <f t="shared" si="169"/>
        <v>0.66223827945886615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-1.1368683772161603E-13</v>
      </c>
      <c r="BZ180" s="13">
        <f>BY180*VLOOKUP('Données projet'!$B$12,Paramètres!$A$1:$I$89,3,0)*VLOOKUP('Données projet'!$B$12,Paramètres!$A$1:$I$89,5,0)</f>
        <v>-7.626113074366004E-14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254.8851926268614</v>
      </c>
      <c r="CE180" s="59">
        <f t="shared" si="148"/>
        <v>182.11500693273973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0.16570841388892435</v>
      </c>
      <c r="CL180" s="21">
        <f>EXP(-LN(2)/25)*CL179+(1-EXP(-LN(2)/25))/(LN(2)/25)*Calculateur!CG180*Calculateur!CI180*VLOOKUP('Données projet'!$B$12,Paramètres!$A$1:$I$89,3,0)*0.475*44/12</f>
        <v>6.5096370382888194E-2</v>
      </c>
      <c r="CM180" s="21">
        <f>EXP(-LN(2)/2)*CM179+(1-EXP(-LN(2)/2))/(LN(2)/2)*CG180*CJ180*VLOOKUP('Données projet'!$B$12,Paramètres!$A$1:$I$89,3,0)*0.475*44/12</f>
        <v>3.3873439477251356E-22</v>
      </c>
      <c r="CN180" s="22">
        <f t="shared" si="172"/>
        <v>0.23080478427181256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256.66666666666669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1.4210854715202004E-13</v>
      </c>
      <c r="O181" s="13">
        <f>N181*VLOOKUP('Données projet'!$B$9,Paramètres!$A$1:$I$89,3,0)*VLOOKUP('Données projet'!$B$9,Paramètres!$A$1:$I$89,5,0)</f>
        <v>1.4853185348329134E-13</v>
      </c>
      <c r="P181" s="13">
        <f t="shared" si="141"/>
        <v>2.1309431512949395E-12</v>
      </c>
      <c r="Q181" s="20">
        <f t="shared" si="162"/>
        <v>3.9700856333220852E-12</v>
      </c>
      <c r="R181" s="59">
        <f t="shared" si="109"/>
        <v>293.33333333333729</v>
      </c>
      <c r="S181" s="59">
        <f ca="1">AVERAGE(OFFSET($R$3,0,0,'Données projet'!$E$9+1,1))-AVERAGE(OFFSET($H$3,0,0,'Données projet'!$E$9+1,1))</f>
        <v>241.84492910369795</v>
      </c>
      <c r="T181" s="59">
        <f t="shared" si="142"/>
        <v>338.04336767245667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0.32298216349623737</v>
      </c>
      <c r="AA181" s="21">
        <f>EXP(-LN(2)/25)*AA180+(1-EXP(-LN(2)/25))/(LN(2)/25)*Calculateur!V181*Calculateur!X181*VLOOKUP('Données projet'!$B$9,Paramètres!$A$1:$I$89,3,0)*0.475*44/12</f>
        <v>0.22949683429964818</v>
      </c>
      <c r="AB181" s="21">
        <f>EXP(-LN(2)/2)*AB180+(1-EXP(-LN(2)/2))/(LN(2)/2)*V181*Y181*VLOOKUP('Données projet'!$B$9,Paramètres!$A$1:$I$89,3,0)*0.475*44/12</f>
        <v>4.5770798073442829E-22</v>
      </c>
      <c r="AC181" s="22">
        <f t="shared" si="163"/>
        <v>0.5524789977958855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>
        <f>AI181*VLOOKUP('Données projet'!$B$10,Paramètres!$A$1:$I$89,3,0)*VLOOKUP('Données projet'!$B$10,Paramètres!$A$1:$I$89,5,0)</f>
        <v>0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370.12772664814923</v>
      </c>
      <c r="AO181" s="59">
        <f t="shared" si="144"/>
        <v>292.26503163353146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0.39893853473281177</v>
      </c>
      <c r="AV181" s="21">
        <f>EXP(-LN(2)/25)*AV180+(1-EXP(-LN(2)/25))/(LN(2)/25)*Calculateur!AQ181*Calculateur!AS181*VLOOKUP('Données projet'!$B$10,Paramètres!$A$1:$I$89,3,0)*0.475*44/12</f>
        <v>0.10971894618555032</v>
      </c>
      <c r="AW181" s="21">
        <f>EXP(-LN(2)/2)*AW180+(1-EXP(-LN(2)/2))/(LN(2)/2)*AQ181*AT181*VLOOKUP('Données projet'!$B$10,Paramètres!$A$1:$I$89,3,0)*0.475*44/12</f>
        <v>4.1943131343236814E-22</v>
      </c>
      <c r="AX181" s="21">
        <f t="shared" si="166"/>
        <v>0.50865748091836205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>
        <f>BD181*VLOOKUP('Données projet'!$B$11,Paramètres!$A$1:$I$89,3,0)*VLOOKUP('Données projet'!$B$11,Paramètres!$A$1:$I$89,5,0)</f>
        <v>0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475.01366239340246</v>
      </c>
      <c r="BJ181" s="59">
        <f t="shared" si="146"/>
        <v>322.81767004794284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0.46378768707811485</v>
      </c>
      <c r="BQ181" s="21">
        <f>EXP(-LN(2)/25)*BQ180+(1-EXP(-LN(2)/25))/(LN(2)/25)*Calculateur!BL181*Calculateur!BN181*VLOOKUP('Données projet'!$B$11,Paramètres!$A$1:$I$89,3,0)*0.475*44/12</f>
        <v>0.18400111670975292</v>
      </c>
      <c r="BR181" s="21">
        <f>EXP(-LN(2)/2)*BR180+(1-EXP(-LN(2)/2))/(LN(2)/2)*BL181*BO181*VLOOKUP('Données projet'!$B$11,Paramètres!$A$1:$I$89,3,0)*0.475*44/12</f>
        <v>5.3752222389045814E-22</v>
      </c>
      <c r="BS181" s="22">
        <f t="shared" si="169"/>
        <v>0.64778880378786774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-1.1368683772161603E-13</v>
      </c>
      <c r="BZ181" s="13">
        <f>BY181*VLOOKUP('Données projet'!$B$12,Paramètres!$A$1:$I$89,3,0)*VLOOKUP('Données projet'!$B$12,Paramètres!$A$1:$I$89,5,0)</f>
        <v>-7.626113074366004E-14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254.8851926268614</v>
      </c>
      <c r="CE181" s="59">
        <f t="shared" si="148"/>
        <v>182.11500693273973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0.16245897296471498</v>
      </c>
      <c r="CL181" s="21">
        <f>EXP(-LN(2)/25)*CL180+(1-EXP(-LN(2)/25))/(LN(2)/25)*Calculateur!CG181*Calculateur!CI181*VLOOKUP('Données projet'!$B$12,Paramètres!$A$1:$I$89,3,0)*0.475*44/12</f>
        <v>6.3316306711498779E-2</v>
      </c>
      <c r="CM181" s="21">
        <f>EXP(-LN(2)/2)*CM180+(1-EXP(-LN(2)/2))/(LN(2)/2)*CG181*CJ181*VLOOKUP('Données projet'!$B$12,Paramètres!$A$1:$I$89,3,0)*0.475*44/12</f>
        <v>2.3952138756476536E-22</v>
      </c>
      <c r="CN181" s="22">
        <f t="shared" si="172"/>
        <v>0.22577527967621375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256.66666666666669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1.4210854715202004E-13</v>
      </c>
      <c r="O182" s="13">
        <f>N182*VLOOKUP('Données projet'!$B$9,Paramètres!$A$1:$I$89,3,0)*VLOOKUP('Données projet'!$B$9,Paramètres!$A$1:$I$89,5,0)</f>
        <v>1.4853185348329134E-13</v>
      </c>
      <c r="P182" s="13">
        <f t="shared" si="141"/>
        <v>2.1309431512949395E-12</v>
      </c>
      <c r="Q182" s="20">
        <f t="shared" si="162"/>
        <v>3.9700856333220852E-12</v>
      </c>
      <c r="R182" s="59">
        <f t="shared" si="109"/>
        <v>293.33333333333729</v>
      </c>
      <c r="S182" s="59">
        <f ca="1">AVERAGE(OFFSET($R$3,0,0,'Données projet'!$E$9+1,1))-AVERAGE(OFFSET($H$3,0,0,'Données projet'!$E$9+1,1))</f>
        <v>241.84492910369795</v>
      </c>
      <c r="T182" s="59">
        <f t="shared" si="142"/>
        <v>338.04336767245667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0.3166486802697438</v>
      </c>
      <c r="AA182" s="21">
        <f>EXP(-LN(2)/25)*AA181+(1-EXP(-LN(2)/25))/(LN(2)/25)*Calculateur!V182*Calculateur!X182*VLOOKUP('Données projet'!$B$9,Paramètres!$A$1:$I$89,3,0)*0.475*44/12</f>
        <v>0.2232212312970103</v>
      </c>
      <c r="AB182" s="21">
        <f>EXP(-LN(2)/2)*AB181+(1-EXP(-LN(2)/2))/(LN(2)/2)*V182*Y182*VLOOKUP('Données projet'!$B$9,Paramètres!$A$1:$I$89,3,0)*0.475*44/12</f>
        <v>3.2364841698051589E-22</v>
      </c>
      <c r="AC182" s="22">
        <f t="shared" si="163"/>
        <v>0.53986991156675412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>
        <f>AI182*VLOOKUP('Données projet'!$B$10,Paramètres!$A$1:$I$89,3,0)*VLOOKUP('Données projet'!$B$10,Paramètres!$A$1:$I$89,5,0)</f>
        <v>0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370.12772664814923</v>
      </c>
      <c r="AO182" s="59">
        <f t="shared" si="144"/>
        <v>292.26503163353146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0.39111559339518082</v>
      </c>
      <c r="AV182" s="21">
        <f>EXP(-LN(2)/25)*AV181+(1-EXP(-LN(2)/25))/(LN(2)/25)*Calculateur!AQ182*Calculateur!AS182*VLOOKUP('Données projet'!$B$10,Paramètres!$A$1:$I$89,3,0)*0.475*44/12</f>
        <v>0.10671867583223783</v>
      </c>
      <c r="AW182" s="21">
        <f>EXP(-LN(2)/2)*AW181+(1-EXP(-LN(2)/2))/(LN(2)/2)*AQ182*AT182*VLOOKUP('Données projet'!$B$10,Paramètres!$A$1:$I$89,3,0)*0.475*44/12</f>
        <v>2.9658272597000779E-22</v>
      </c>
      <c r="AX182" s="21">
        <f t="shared" si="166"/>
        <v>0.49783426922741864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>
        <f>BD182*VLOOKUP('Données projet'!$B$11,Paramètres!$A$1:$I$89,3,0)*VLOOKUP('Données projet'!$B$11,Paramètres!$A$1:$I$89,5,0)</f>
        <v>0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475.01366239340246</v>
      </c>
      <c r="BJ182" s="59">
        <f t="shared" si="146"/>
        <v>322.81767004794284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0.45469309341706982</v>
      </c>
      <c r="BQ182" s="21">
        <f>EXP(-LN(2)/25)*BQ181+(1-EXP(-LN(2)/25))/(LN(2)/25)*Calculateur!BL182*Calculateur!BN182*VLOOKUP('Données projet'!$B$11,Paramètres!$A$1:$I$89,3,0)*0.475*44/12</f>
        <v>0.17896959649712654</v>
      </c>
      <c r="BR182" s="21">
        <f>EXP(-LN(2)/2)*BR181+(1-EXP(-LN(2)/2))/(LN(2)/2)*BL182*BO182*VLOOKUP('Données projet'!$B$11,Paramètres!$A$1:$I$89,3,0)*0.475*44/12</f>
        <v>3.800856095514166E-22</v>
      </c>
      <c r="BS182" s="22">
        <f t="shared" si="169"/>
        <v>0.63366268991419639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-1.1368683772161603E-13</v>
      </c>
      <c r="BZ182" s="13">
        <f>BY182*VLOOKUP('Données projet'!$B$12,Paramètres!$A$1:$I$89,3,0)*VLOOKUP('Données projet'!$B$12,Paramètres!$A$1:$I$89,5,0)</f>
        <v>-7.626113074366004E-14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254.8851926268614</v>
      </c>
      <c r="CE182" s="59">
        <f t="shared" si="148"/>
        <v>182.11500693273973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0.15927325159506608</v>
      </c>
      <c r="CL182" s="21">
        <f>EXP(-LN(2)/25)*CL181+(1-EXP(-LN(2)/25))/(LN(2)/25)*Calculateur!CG182*Calculateur!CI182*VLOOKUP('Données projet'!$B$12,Paramètres!$A$1:$I$89,3,0)*0.475*44/12</f>
        <v>6.158491897481299E-2</v>
      </c>
      <c r="CM182" s="21">
        <f>EXP(-LN(2)/2)*CM181+(1-EXP(-LN(2)/2))/(LN(2)/2)*CG182*CJ182*VLOOKUP('Données projet'!$B$12,Paramètres!$A$1:$I$89,3,0)*0.475*44/12</f>
        <v>1.6936719738625678E-22</v>
      </c>
      <c r="CN182" s="22">
        <f t="shared" si="172"/>
        <v>0.22085817056987908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256.66666666666669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1.4210854715202004E-13</v>
      </c>
      <c r="O183" s="13">
        <f>N183*VLOOKUP('Données projet'!$B$9,Paramètres!$A$1:$I$89,3,0)*VLOOKUP('Données projet'!$B$9,Paramètres!$A$1:$I$89,5,0)</f>
        <v>1.4853185348329134E-13</v>
      </c>
      <c r="P183" s="13">
        <f t="shared" si="141"/>
        <v>2.1309431512949395E-12</v>
      </c>
      <c r="Q183" s="20">
        <f t="shared" si="162"/>
        <v>3.9700856333220852E-12</v>
      </c>
      <c r="R183" s="59">
        <f t="shared" si="109"/>
        <v>293.33333333333729</v>
      </c>
      <c r="S183" s="59">
        <f ca="1">AVERAGE(OFFSET($R$3,0,0,'Données projet'!$E$9+1,1))-AVERAGE(OFFSET($H$3,0,0,'Données projet'!$E$9+1,1))</f>
        <v>241.84492910369795</v>
      </c>
      <c r="T183" s="59">
        <f t="shared" si="142"/>
        <v>338.04336767245667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0.31043939278627841</v>
      </c>
      <c r="AA183" s="21">
        <f>EXP(-LN(2)/25)*AA182+(1-EXP(-LN(2)/25))/(LN(2)/25)*Calculateur!V183*Calculateur!X183*VLOOKUP('Données projet'!$B$9,Paramètres!$A$1:$I$89,3,0)*0.475*44/12</f>
        <v>0.21711723498849916</v>
      </c>
      <c r="AB183" s="21">
        <f>EXP(-LN(2)/2)*AB182+(1-EXP(-LN(2)/2))/(LN(2)/2)*V183*Y183*VLOOKUP('Données projet'!$B$9,Paramètres!$A$1:$I$89,3,0)*0.475*44/12</f>
        <v>2.2885399036721414E-22</v>
      </c>
      <c r="AC183" s="22">
        <f t="shared" si="163"/>
        <v>0.52755662777477763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>
        <f>AI183*VLOOKUP('Données projet'!$B$10,Paramètres!$A$1:$I$89,3,0)*VLOOKUP('Données projet'!$B$10,Paramètres!$A$1:$I$89,5,0)</f>
        <v>0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370.12772664814923</v>
      </c>
      <c r="AO183" s="59">
        <f t="shared" si="144"/>
        <v>292.26503163353146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0.38344605516565777</v>
      </c>
      <c r="AV183" s="21">
        <f>EXP(-LN(2)/25)*AV182+(1-EXP(-LN(2)/25))/(LN(2)/25)*Calculateur!AQ183*Calculateur!AS183*VLOOKUP('Données projet'!$B$10,Paramètres!$A$1:$I$89,3,0)*0.475*44/12</f>
        <v>0.10380044802951403</v>
      </c>
      <c r="AW183" s="21">
        <f>EXP(-LN(2)/2)*AW182+(1-EXP(-LN(2)/2))/(LN(2)/2)*AQ183*AT183*VLOOKUP('Données projet'!$B$10,Paramètres!$A$1:$I$89,3,0)*0.475*44/12</f>
        <v>2.0971565671618409E-22</v>
      </c>
      <c r="AX183" s="21">
        <f t="shared" si="166"/>
        <v>0.48724650319517182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>
        <f>BD183*VLOOKUP('Données projet'!$B$11,Paramètres!$A$1:$I$89,3,0)*VLOOKUP('Données projet'!$B$11,Paramètres!$A$1:$I$89,5,0)</f>
        <v>0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475.01366239340246</v>
      </c>
      <c r="BJ183" s="59">
        <f t="shared" si="146"/>
        <v>322.81767004794284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0.44577683919056349</v>
      </c>
      <c r="BQ183" s="21">
        <f>EXP(-LN(2)/25)*BQ182+(1-EXP(-LN(2)/25))/(LN(2)/25)*Calculateur!BL183*Calculateur!BN183*VLOOKUP('Données projet'!$B$11,Paramètres!$A$1:$I$89,3,0)*0.475*44/12</f>
        <v>0.17407566346931058</v>
      </c>
      <c r="BR183" s="21">
        <f>EXP(-LN(2)/2)*BR182+(1-EXP(-LN(2)/2))/(LN(2)/2)*BL183*BO183*VLOOKUP('Données projet'!$B$11,Paramètres!$A$1:$I$89,3,0)*0.475*44/12</f>
        <v>2.6876111194522907E-22</v>
      </c>
      <c r="BS183" s="22">
        <f t="shared" si="169"/>
        <v>0.61985250265987402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-1.1368683772161603E-13</v>
      </c>
      <c r="BZ183" s="13">
        <f>BY183*VLOOKUP('Données projet'!$B$12,Paramètres!$A$1:$I$89,3,0)*VLOOKUP('Données projet'!$B$12,Paramètres!$A$1:$I$89,5,0)</f>
        <v>-7.626113074366004E-14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254.8851926268614</v>
      </c>
      <c r="CE183" s="59">
        <f t="shared" si="148"/>
        <v>182.11500693273973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0.15615000027837783</v>
      </c>
      <c r="CL183" s="21">
        <f>EXP(-LN(2)/25)*CL182+(1-EXP(-LN(2)/25))/(LN(2)/25)*Calculateur!CG183*Calculateur!CI183*VLOOKUP('Données projet'!$B$12,Paramètres!$A$1:$I$89,3,0)*0.475*44/12</f>
        <v>5.9900876126836596E-2</v>
      </c>
      <c r="CM183" s="21">
        <f>EXP(-LN(2)/2)*CM182+(1-EXP(-LN(2)/2))/(LN(2)/2)*CG183*CJ183*VLOOKUP('Données projet'!$B$12,Paramètres!$A$1:$I$89,3,0)*0.475*44/12</f>
        <v>1.1976069378238268E-22</v>
      </c>
      <c r="CN183" s="22">
        <f t="shared" si="172"/>
        <v>0.21605087640521442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256.66666666666669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1.4210854715202004E-13</v>
      </c>
      <c r="O184" s="13">
        <f>N184*VLOOKUP('Données projet'!$B$9,Paramètres!$A$1:$I$89,3,0)*VLOOKUP('Données projet'!$B$9,Paramètres!$A$1:$I$89,5,0)</f>
        <v>1.4853185348329134E-13</v>
      </c>
      <c r="P184" s="13">
        <f t="shared" si="141"/>
        <v>2.1309431512949395E-12</v>
      </c>
      <c r="Q184" s="20">
        <f t="shared" si="162"/>
        <v>3.9700856333220852E-12</v>
      </c>
      <c r="R184" s="59">
        <f t="shared" si="109"/>
        <v>293.33333333333729</v>
      </c>
      <c r="S184" s="59">
        <f ca="1">AVERAGE(OFFSET($R$3,0,0,'Données projet'!$E$9+1,1))-AVERAGE(OFFSET($H$3,0,0,'Données projet'!$E$9+1,1))</f>
        <v>241.84492910369795</v>
      </c>
      <c r="T184" s="59">
        <f t="shared" si="142"/>
        <v>338.04336767245667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0.30435186564307237</v>
      </c>
      <c r="AA184" s="21">
        <f>EXP(-LN(2)/25)*AA183+(1-EXP(-LN(2)/25))/(LN(2)/25)*Calculateur!V184*Calculateur!X184*VLOOKUP('Données projet'!$B$9,Paramètres!$A$1:$I$89,3,0)*0.475*44/12</f>
        <v>0.21118015278003949</v>
      </c>
      <c r="AB184" s="21">
        <f>EXP(-LN(2)/2)*AB183+(1-EXP(-LN(2)/2))/(LN(2)/2)*V184*Y184*VLOOKUP('Données projet'!$B$9,Paramètres!$A$1:$I$89,3,0)*0.475*44/12</f>
        <v>1.6182420849025795E-22</v>
      </c>
      <c r="AC184" s="22">
        <f t="shared" si="163"/>
        <v>0.5155320184231118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>
        <f>AI184*VLOOKUP('Données projet'!$B$10,Paramètres!$A$1:$I$89,3,0)*VLOOKUP('Données projet'!$B$10,Paramètres!$A$1:$I$89,5,0)</f>
        <v>0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370.12772664814923</v>
      </c>
      <c r="AO184" s="59">
        <f t="shared" si="144"/>
        <v>292.26503163353146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0.37592691190285926</v>
      </c>
      <c r="AV184" s="21">
        <f>EXP(-LN(2)/25)*AV183+(1-EXP(-LN(2)/25))/(LN(2)/25)*Calculateur!AQ184*Calculateur!AS184*VLOOKUP('Données projet'!$B$10,Paramètres!$A$1:$I$89,3,0)*0.475*44/12</f>
        <v>0.10096201931951865</v>
      </c>
      <c r="AW184" s="21">
        <f>EXP(-LN(2)/2)*AW183+(1-EXP(-LN(2)/2))/(LN(2)/2)*AQ184*AT184*VLOOKUP('Données projet'!$B$10,Paramètres!$A$1:$I$89,3,0)*0.475*44/12</f>
        <v>1.4829136298500392E-22</v>
      </c>
      <c r="AX184" s="21">
        <f t="shared" si="166"/>
        <v>0.47688893122237791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>
        <f>BD184*VLOOKUP('Données projet'!$B$11,Paramètres!$A$1:$I$89,3,0)*VLOOKUP('Données projet'!$B$11,Paramètres!$A$1:$I$89,5,0)</f>
        <v>0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475.01366239340246</v>
      </c>
      <c r="BJ184" s="59">
        <f t="shared" si="146"/>
        <v>322.81767004794284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0.43703542727106087</v>
      </c>
      <c r="BQ184" s="21">
        <f>EXP(-LN(2)/25)*BQ183+(1-EXP(-LN(2)/25))/(LN(2)/25)*Calculateur!BL184*Calculateur!BN184*VLOOKUP('Données projet'!$B$11,Paramètres!$A$1:$I$89,3,0)*0.475*44/12</f>
        <v>0.169315555297501</v>
      </c>
      <c r="BR184" s="21">
        <f>EXP(-LN(2)/2)*BR183+(1-EXP(-LN(2)/2))/(LN(2)/2)*BL184*BO184*VLOOKUP('Données projet'!$B$11,Paramètres!$A$1:$I$89,3,0)*0.475*44/12</f>
        <v>1.900428047757083E-22</v>
      </c>
      <c r="BS184" s="22">
        <f t="shared" si="169"/>
        <v>0.6063509825685619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-1.1368683772161603E-13</v>
      </c>
      <c r="BZ184" s="13">
        <f>BY184*VLOOKUP('Données projet'!$B$12,Paramètres!$A$1:$I$89,3,0)*VLOOKUP('Données projet'!$B$12,Paramètres!$A$1:$I$89,5,0)</f>
        <v>-7.626113074366004E-14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254.8851926268614</v>
      </c>
      <c r="CE184" s="59">
        <f t="shared" si="148"/>
        <v>182.11500693273973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0.15308799401501463</v>
      </c>
      <c r="CL184" s="21">
        <f>EXP(-LN(2)/25)*CL183+(1-EXP(-LN(2)/25))/(LN(2)/25)*Calculateur!CG184*Calculateur!CI184*VLOOKUP('Données projet'!$B$12,Paramètres!$A$1:$I$89,3,0)*0.475*44/12</f>
        <v>5.8262883519098078E-2</v>
      </c>
      <c r="CM184" s="21">
        <f>EXP(-LN(2)/2)*CM183+(1-EXP(-LN(2)/2))/(LN(2)/2)*CG184*CJ184*VLOOKUP('Données projet'!$B$12,Paramètres!$A$1:$I$89,3,0)*0.475*44/12</f>
        <v>8.4683598693128391E-23</v>
      </c>
      <c r="CN184" s="22">
        <f t="shared" si="172"/>
        <v>0.21135087753411272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256.66666666666669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1.4210854715202004E-13</v>
      </c>
      <c r="O185" s="13">
        <f>N185*VLOOKUP('Données projet'!$B$9,Paramètres!$A$1:$I$89,3,0)*VLOOKUP('Données projet'!$B$9,Paramètres!$A$1:$I$89,5,0)</f>
        <v>1.4853185348329134E-13</v>
      </c>
      <c r="P185" s="13">
        <f t="shared" si="141"/>
        <v>2.1309431512949395E-12</v>
      </c>
      <c r="Q185" s="20">
        <f t="shared" si="162"/>
        <v>3.9700856333220852E-12</v>
      </c>
      <c r="R185" s="59">
        <f t="shared" si="109"/>
        <v>293.33333333333729</v>
      </c>
      <c r="S185" s="59">
        <f ca="1">AVERAGE(OFFSET($R$3,0,0,'Données projet'!$E$9+1,1))-AVERAGE(OFFSET($H$3,0,0,'Données projet'!$E$9+1,1))</f>
        <v>241.84492910369795</v>
      </c>
      <c r="T185" s="59">
        <f t="shared" si="142"/>
        <v>338.04336767245667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0.29838371119411972</v>
      </c>
      <c r="AA185" s="21">
        <f>EXP(-LN(2)/25)*AA184+(1-EXP(-LN(2)/25))/(LN(2)/25)*Calculateur!V185*Calculateur!X185*VLOOKUP('Données projet'!$B$9,Paramètres!$A$1:$I$89,3,0)*0.475*44/12</f>
        <v>0.20540542039678772</v>
      </c>
      <c r="AB185" s="21">
        <f>EXP(-LN(2)/2)*AB184+(1-EXP(-LN(2)/2))/(LN(2)/2)*V185*Y185*VLOOKUP('Données projet'!$B$9,Paramètres!$A$1:$I$89,3,0)*0.475*44/12</f>
        <v>1.1442699518360707E-22</v>
      </c>
      <c r="AC185" s="22">
        <f t="shared" si="163"/>
        <v>0.50378913159090744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>
        <f>AI185*VLOOKUP('Données projet'!$B$10,Paramètres!$A$1:$I$89,3,0)*VLOOKUP('Données projet'!$B$10,Paramètres!$A$1:$I$89,5,0)</f>
        <v>0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370.12772664814923</v>
      </c>
      <c r="AO185" s="59">
        <f t="shared" si="144"/>
        <v>292.26503163353146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0.36855521445321965</v>
      </c>
      <c r="AV185" s="21">
        <f>EXP(-LN(2)/25)*AV184+(1-EXP(-LN(2)/25))/(LN(2)/25)*Calculateur!AQ185*Calculateur!AS185*VLOOKUP('Données projet'!$B$10,Paramètres!$A$1:$I$89,3,0)*0.475*44/12</f>
        <v>9.820120759186457E-2</v>
      </c>
      <c r="AW185" s="21">
        <f>EXP(-LN(2)/2)*AW184+(1-EXP(-LN(2)/2))/(LN(2)/2)*AQ185*AT185*VLOOKUP('Données projet'!$B$10,Paramètres!$A$1:$I$89,3,0)*0.475*44/12</f>
        <v>1.0485782835809207E-22</v>
      </c>
      <c r="AX185" s="21">
        <f t="shared" si="166"/>
        <v>0.46675642204508422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>
        <f>BD185*VLOOKUP('Données projet'!$B$11,Paramètres!$A$1:$I$89,3,0)*VLOOKUP('Données projet'!$B$11,Paramètres!$A$1:$I$89,5,0)</f>
        <v>0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475.01366239340246</v>
      </c>
      <c r="BJ185" s="59">
        <f t="shared" si="146"/>
        <v>322.81767004794284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0.42846542910756485</v>
      </c>
      <c r="BQ185" s="21">
        <f>EXP(-LN(2)/25)*BQ184+(1-EXP(-LN(2)/25))/(LN(2)/25)*Calculateur!BL185*Calculateur!BN185*VLOOKUP('Données projet'!$B$11,Paramètres!$A$1:$I$89,3,0)*0.475*44/12</f>
        <v>0.16468561253397276</v>
      </c>
      <c r="BR185" s="21">
        <f>EXP(-LN(2)/2)*BR184+(1-EXP(-LN(2)/2))/(LN(2)/2)*BL185*BO185*VLOOKUP('Données projet'!$B$11,Paramètres!$A$1:$I$89,3,0)*0.475*44/12</f>
        <v>1.3438055597261454E-22</v>
      </c>
      <c r="BS185" s="22">
        <f t="shared" si="169"/>
        <v>0.59315104164153765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-1.1368683772161603E-13</v>
      </c>
      <c r="BZ185" s="13">
        <f>BY185*VLOOKUP('Données projet'!$B$12,Paramètres!$A$1:$I$89,3,0)*VLOOKUP('Données projet'!$B$12,Paramètres!$A$1:$I$89,5,0)</f>
        <v>-7.626113074366004E-14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254.8851926268614</v>
      </c>
      <c r="CE185" s="59">
        <f t="shared" si="148"/>
        <v>182.11500693273973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0.15008603182683658</v>
      </c>
      <c r="CL185" s="21">
        <f>EXP(-LN(2)/25)*CL184+(1-EXP(-LN(2)/25))/(LN(2)/25)*Calculateur!CG185*Calculateur!CI185*VLOOKUP('Données projet'!$B$12,Paramètres!$A$1:$I$89,3,0)*0.475*44/12</f>
        <v>5.6669681905356456E-2</v>
      </c>
      <c r="CM185" s="21">
        <f>EXP(-LN(2)/2)*CM184+(1-EXP(-LN(2)/2))/(LN(2)/2)*CG185*CJ185*VLOOKUP('Données projet'!$B$12,Paramètres!$A$1:$I$89,3,0)*0.475*44/12</f>
        <v>5.9880346891191339E-23</v>
      </c>
      <c r="CN185" s="22">
        <f t="shared" si="172"/>
        <v>0.20675571373219304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256.66666666666669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1.4210854715202004E-13</v>
      </c>
      <c r="O186" s="13">
        <f>N186*VLOOKUP('Données projet'!$B$9,Paramètres!$A$1:$I$89,3,0)*VLOOKUP('Données projet'!$B$9,Paramètres!$A$1:$I$89,5,0)</f>
        <v>1.4853185348329134E-13</v>
      </c>
      <c r="P186" s="13">
        <f t="shared" si="141"/>
        <v>2.1309431512949395E-12</v>
      </c>
      <c r="Q186" s="20">
        <f t="shared" si="162"/>
        <v>3.9700856333220852E-12</v>
      </c>
      <c r="R186" s="59">
        <f t="shared" si="109"/>
        <v>293.33333333333729</v>
      </c>
      <c r="S186" s="59">
        <f ca="1">AVERAGE(OFFSET($R$3,0,0,'Données projet'!$E$9+1,1))-AVERAGE(OFFSET($H$3,0,0,'Données projet'!$E$9+1,1))</f>
        <v>241.84492910369795</v>
      </c>
      <c r="T186" s="59">
        <f t="shared" si="142"/>
        <v>338.04336767245667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0.29253258861369624</v>
      </c>
      <c r="AA186" s="21">
        <f>EXP(-LN(2)/25)*AA185+(1-EXP(-LN(2)/25))/(LN(2)/25)*Calculateur!V186*Calculateur!X186*VLOOKUP('Données projet'!$B$9,Paramètres!$A$1:$I$89,3,0)*0.475*44/12</f>
        <v>0.19978859837423596</v>
      </c>
      <c r="AB186" s="21">
        <f>EXP(-LN(2)/2)*AB185+(1-EXP(-LN(2)/2))/(LN(2)/2)*V186*Y186*VLOOKUP('Données projet'!$B$9,Paramètres!$A$1:$I$89,3,0)*0.475*44/12</f>
        <v>8.0912104245128973E-23</v>
      </c>
      <c r="AC186" s="22">
        <f t="shared" si="163"/>
        <v>0.4923211869879322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>
        <f>AI186*VLOOKUP('Données projet'!$B$10,Paramètres!$A$1:$I$89,3,0)*VLOOKUP('Données projet'!$B$10,Paramètres!$A$1:$I$89,5,0)</f>
        <v>0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370.12772664814923</v>
      </c>
      <c r="AO186" s="59">
        <f t="shared" si="144"/>
        <v>292.26503163353146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0.36132807149427604</v>
      </c>
      <c r="AV186" s="21">
        <f>EXP(-LN(2)/25)*AV185+(1-EXP(-LN(2)/25))/(LN(2)/25)*Calculateur!AQ186*Calculateur!AS186*VLOOKUP('Données projet'!$B$10,Paramètres!$A$1:$I$89,3,0)*0.475*44/12</f>
        <v>9.5515890406087961E-2</v>
      </c>
      <c r="AW186" s="21">
        <f>EXP(-LN(2)/2)*AW185+(1-EXP(-LN(2)/2))/(LN(2)/2)*AQ186*AT186*VLOOKUP('Données projet'!$B$10,Paramètres!$A$1:$I$89,3,0)*0.475*44/12</f>
        <v>7.4145681492501971E-23</v>
      </c>
      <c r="AX186" s="21">
        <f t="shared" si="166"/>
        <v>0.45684396190036403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>
        <f>BD186*VLOOKUP('Données projet'!$B$11,Paramètres!$A$1:$I$89,3,0)*VLOOKUP('Données projet'!$B$11,Paramètres!$A$1:$I$89,5,0)</f>
        <v>0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475.01366239340246</v>
      </c>
      <c r="BJ186" s="59">
        <f t="shared" si="146"/>
        <v>322.81767004794284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0.42006348338087229</v>
      </c>
      <c r="BQ186" s="21">
        <f>EXP(-LN(2)/25)*BQ185+(1-EXP(-LN(2)/25))/(LN(2)/25)*Calculateur!BL186*Calculateur!BN186*VLOOKUP('Données projet'!$B$11,Paramètres!$A$1:$I$89,3,0)*0.475*44/12</f>
        <v>0.1601822757987913</v>
      </c>
      <c r="BR186" s="21">
        <f>EXP(-LN(2)/2)*BR185+(1-EXP(-LN(2)/2))/(LN(2)/2)*BL186*BO186*VLOOKUP('Données projet'!$B$11,Paramètres!$A$1:$I$89,3,0)*0.475*44/12</f>
        <v>9.502140238785415E-23</v>
      </c>
      <c r="BS186" s="22">
        <f t="shared" si="169"/>
        <v>0.58024575917966359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-1.1368683772161603E-13</v>
      </c>
      <c r="BZ186" s="13">
        <f>BY186*VLOOKUP('Données projet'!$B$12,Paramètres!$A$1:$I$89,3,0)*VLOOKUP('Données projet'!$B$12,Paramètres!$A$1:$I$89,5,0)</f>
        <v>-7.626113074366004E-14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254.8851926268614</v>
      </c>
      <c r="CE186" s="59">
        <f t="shared" si="148"/>
        <v>182.11500693273973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0.14714293628615258</v>
      </c>
      <c r="CL186" s="21">
        <f>EXP(-LN(2)/25)*CL185+(1-EXP(-LN(2)/25))/(LN(2)/25)*Calculateur!CG186*Calculateur!CI186*VLOOKUP('Données projet'!$B$12,Paramètres!$A$1:$I$89,3,0)*0.475*44/12</f>
        <v>5.5120046473525433E-2</v>
      </c>
      <c r="CM186" s="21">
        <f>EXP(-LN(2)/2)*CM185+(1-EXP(-LN(2)/2))/(LN(2)/2)*CG186*CJ186*VLOOKUP('Données projet'!$B$12,Paramètres!$A$1:$I$89,3,0)*0.475*44/12</f>
        <v>4.2341799346564195E-23</v>
      </c>
      <c r="CN186" s="22">
        <f t="shared" si="172"/>
        <v>0.20226298275967802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256.66666666666669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1.4210854715202004E-13</v>
      </c>
      <c r="O187" s="13">
        <f>N187*VLOOKUP('Données projet'!$B$9,Paramètres!$A$1:$I$89,3,0)*VLOOKUP('Données projet'!$B$9,Paramètres!$A$1:$I$89,5,0)</f>
        <v>1.4853185348329134E-13</v>
      </c>
      <c r="P187" s="13">
        <f t="shared" si="141"/>
        <v>2.1309431512949395E-12</v>
      </c>
      <c r="Q187" s="20">
        <f t="shared" si="162"/>
        <v>3.9700856333220852E-12</v>
      </c>
      <c r="R187" s="59">
        <f t="shared" si="109"/>
        <v>293.33333333333729</v>
      </c>
      <c r="S187" s="59">
        <f ca="1">AVERAGE(OFFSET($R$3,0,0,'Données projet'!$E$9+1,1))-AVERAGE(OFFSET($H$3,0,0,'Données projet'!$E$9+1,1))</f>
        <v>241.84492910369795</v>
      </c>
      <c r="T187" s="59">
        <f t="shared" si="142"/>
        <v>338.04336767245667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0.28679620297824249</v>
      </c>
      <c r="AA187" s="21">
        <f>EXP(-LN(2)/25)*AA186+(1-EXP(-LN(2)/25))/(LN(2)/25)*Calculateur!V187*Calculateur!X187*VLOOKUP('Données projet'!$B$9,Paramètres!$A$1:$I$89,3,0)*0.475*44/12</f>
        <v>0.1943253686452667</v>
      </c>
      <c r="AB187" s="21">
        <f>EXP(-LN(2)/2)*AB186+(1-EXP(-LN(2)/2))/(LN(2)/2)*V187*Y187*VLOOKUP('Données projet'!$B$9,Paramètres!$A$1:$I$89,3,0)*0.475*44/12</f>
        <v>5.7213497591803536E-23</v>
      </c>
      <c r="AC187" s="22">
        <f t="shared" si="163"/>
        <v>0.48112157162350921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>
        <f>AI187*VLOOKUP('Données projet'!$B$10,Paramètres!$A$1:$I$89,3,0)*VLOOKUP('Données projet'!$B$10,Paramètres!$A$1:$I$89,5,0)</f>
        <v>0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370.12772664814923</v>
      </c>
      <c r="AO187" s="59">
        <f t="shared" si="144"/>
        <v>292.26503163353146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0.35424264840063535</v>
      </c>
      <c r="AV187" s="21">
        <f>EXP(-LN(2)/25)*AV186+(1-EXP(-LN(2)/25))/(LN(2)/25)*Calculateur!AQ187*Calculateur!AS187*VLOOKUP('Données projet'!$B$10,Paramètres!$A$1:$I$89,3,0)*0.475*44/12</f>
        <v>9.2904003359971107E-2</v>
      </c>
      <c r="AW187" s="21">
        <f>EXP(-LN(2)/2)*AW186+(1-EXP(-LN(2)/2))/(LN(2)/2)*AQ187*AT187*VLOOKUP('Données projet'!$B$10,Paramètres!$A$1:$I$89,3,0)*0.475*44/12</f>
        <v>5.2428914179046041E-23</v>
      </c>
      <c r="AX187" s="21">
        <f t="shared" si="166"/>
        <v>0.44714665176060647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>
        <f>BD187*VLOOKUP('Données projet'!$B$11,Paramètres!$A$1:$I$89,3,0)*VLOOKUP('Données projet'!$B$11,Paramètres!$A$1:$I$89,5,0)</f>
        <v>0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475.01366239340246</v>
      </c>
      <c r="BJ187" s="59">
        <f t="shared" si="146"/>
        <v>322.81767004794284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0.41182629468519927</v>
      </c>
      <c r="BQ187" s="21">
        <f>EXP(-LN(2)/25)*BQ186+(1-EXP(-LN(2)/25))/(LN(2)/25)*Calculateur!BL187*Calculateur!BN187*VLOOKUP('Données projet'!$B$11,Paramètres!$A$1:$I$89,3,0)*0.475*44/12</f>
        <v>0.15580208304345355</v>
      </c>
      <c r="BR187" s="21">
        <f>EXP(-LN(2)/2)*BR186+(1-EXP(-LN(2)/2))/(LN(2)/2)*BL187*BO187*VLOOKUP('Données projet'!$B$11,Paramètres!$A$1:$I$89,3,0)*0.475*44/12</f>
        <v>6.7190277986307268E-23</v>
      </c>
      <c r="BS187" s="22">
        <f t="shared" si="169"/>
        <v>0.56762837772865282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-1.1368683772161603E-13</v>
      </c>
      <c r="BZ187" s="13">
        <f>BY187*VLOOKUP('Données projet'!$B$12,Paramètres!$A$1:$I$89,3,0)*VLOOKUP('Données projet'!$B$12,Paramètres!$A$1:$I$89,5,0)</f>
        <v>-7.626113074366004E-14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254.8851926268614</v>
      </c>
      <c r="CE187" s="59">
        <f t="shared" si="148"/>
        <v>182.11500693273973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0.14425755305391036</v>
      </c>
      <c r="CL187" s="21">
        <f>EXP(-LN(2)/25)*CL186+(1-EXP(-LN(2)/25))/(LN(2)/25)*Calculateur!CG187*Calculateur!CI187*VLOOKUP('Données projet'!$B$12,Paramètres!$A$1:$I$89,3,0)*0.475*44/12</f>
        <v>5.3612785904069614E-2</v>
      </c>
      <c r="CM187" s="21">
        <f>EXP(-LN(2)/2)*CM186+(1-EXP(-LN(2)/2))/(LN(2)/2)*CG187*CJ187*VLOOKUP('Données projet'!$B$12,Paramètres!$A$1:$I$89,3,0)*0.475*44/12</f>
        <v>2.9940173445595669E-23</v>
      </c>
      <c r="CN187" s="22">
        <f t="shared" si="172"/>
        <v>0.19787033895797998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256.66666666666669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1.4210854715202004E-13</v>
      </c>
      <c r="O188" s="13">
        <f>N188*VLOOKUP('Données projet'!$B$9,Paramètres!$A$1:$I$89,3,0)*VLOOKUP('Données projet'!$B$9,Paramètres!$A$1:$I$89,5,0)</f>
        <v>1.4853185348329134E-13</v>
      </c>
      <c r="P188" s="13">
        <f t="shared" si="141"/>
        <v>2.1309431512949395E-12</v>
      </c>
      <c r="Q188" s="20">
        <f t="shared" si="162"/>
        <v>3.9700856333220852E-12</v>
      </c>
      <c r="R188" s="59">
        <f t="shared" si="109"/>
        <v>293.33333333333729</v>
      </c>
      <c r="S188" s="59">
        <f ca="1">AVERAGE(OFFSET($R$3,0,0,'Données projet'!$E$9+1,1))-AVERAGE(OFFSET($H$3,0,0,'Données projet'!$E$9+1,1))</f>
        <v>241.84492910369795</v>
      </c>
      <c r="T188" s="59">
        <f t="shared" si="142"/>
        <v>338.04336767245667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0.28117230436625024</v>
      </c>
      <c r="AA188" s="21">
        <f>EXP(-LN(2)/25)*AA187+(1-EXP(-LN(2)/25))/(LN(2)/25)*Calculateur!V188*Calculateur!X188*VLOOKUP('Données projet'!$B$9,Paramètres!$A$1:$I$89,3,0)*0.475*44/12</f>
        <v>0.18901153122053488</v>
      </c>
      <c r="AB188" s="21">
        <f>EXP(-LN(2)/2)*AB187+(1-EXP(-LN(2)/2))/(LN(2)/2)*V188*Y188*VLOOKUP('Données projet'!$B$9,Paramètres!$A$1:$I$89,3,0)*0.475*44/12</f>
        <v>4.0456052122564487E-23</v>
      </c>
      <c r="AC188" s="22">
        <f t="shared" si="163"/>
        <v>0.47018383558678511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>
        <f>AI188*VLOOKUP('Données projet'!$B$10,Paramètres!$A$1:$I$89,3,0)*VLOOKUP('Données projet'!$B$10,Paramètres!$A$1:$I$89,5,0)</f>
        <v>0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370.12772664814923</v>
      </c>
      <c r="AO188" s="59">
        <f t="shared" si="144"/>
        <v>292.26503163353146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0.34729616613217962</v>
      </c>
      <c r="AV188" s="21">
        <f>EXP(-LN(2)/25)*AV187+(1-EXP(-LN(2)/25))/(LN(2)/25)*Calculateur!AQ188*Calculateur!AS188*VLOOKUP('Données projet'!$B$10,Paramètres!$A$1:$I$89,3,0)*0.475*44/12</f>
        <v>9.0363538502483493E-2</v>
      </c>
      <c r="AW188" s="21">
        <f>EXP(-LN(2)/2)*AW187+(1-EXP(-LN(2)/2))/(LN(2)/2)*AQ188*AT188*VLOOKUP('Données projet'!$B$10,Paramètres!$A$1:$I$89,3,0)*0.475*44/12</f>
        <v>3.7072840746250991E-23</v>
      </c>
      <c r="AX188" s="21">
        <f t="shared" si="166"/>
        <v>0.43765970463466308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>
        <f>BD188*VLOOKUP('Données projet'!$B$11,Paramètres!$A$1:$I$89,3,0)*VLOOKUP('Données projet'!$B$11,Paramètres!$A$1:$I$89,5,0)</f>
        <v>0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475.01366239340246</v>
      </c>
      <c r="BJ188" s="59">
        <f t="shared" si="146"/>
        <v>322.81767004794284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0.40375063223565938</v>
      </c>
      <c r="BQ188" s="21">
        <f>EXP(-LN(2)/25)*BQ187+(1-EXP(-LN(2)/25))/(LN(2)/25)*Calculateur!BL188*Calculateur!BN188*VLOOKUP('Données projet'!$B$11,Paramètres!$A$1:$I$89,3,0)*0.475*44/12</f>
        <v>0.15154166688935486</v>
      </c>
      <c r="BR188" s="21">
        <f>EXP(-LN(2)/2)*BR187+(1-EXP(-LN(2)/2))/(LN(2)/2)*BL188*BO188*VLOOKUP('Données projet'!$B$11,Paramètres!$A$1:$I$89,3,0)*0.475*44/12</f>
        <v>4.7510701193927075E-23</v>
      </c>
      <c r="BS188" s="22">
        <f t="shared" si="169"/>
        <v>0.55529229912501421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-1.1368683772161603E-13</v>
      </c>
      <c r="BZ188" s="13">
        <f>BY188*VLOOKUP('Données projet'!$B$12,Paramètres!$A$1:$I$89,3,0)*VLOOKUP('Données projet'!$B$12,Paramètres!$A$1:$I$89,5,0)</f>
        <v>-7.626113074366004E-14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254.8851926268614</v>
      </c>
      <c r="CE188" s="59">
        <f t="shared" si="148"/>
        <v>182.11500693273973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0.14142875042694242</v>
      </c>
      <c r="CL188" s="21">
        <f>EXP(-LN(2)/25)*CL187+(1-EXP(-LN(2)/25))/(LN(2)/25)*Calculateur!CG188*Calculateur!CI188*VLOOKUP('Données projet'!$B$12,Paramètres!$A$1:$I$89,3,0)*0.475*44/12</f>
        <v>5.2146741454148951E-2</v>
      </c>
      <c r="CM188" s="21">
        <f>EXP(-LN(2)/2)*CM187+(1-EXP(-LN(2)/2))/(LN(2)/2)*CG188*CJ188*VLOOKUP('Données projet'!$B$12,Paramètres!$A$1:$I$89,3,0)*0.475*44/12</f>
        <v>2.1170899673282098E-23</v>
      </c>
      <c r="CN188" s="22">
        <f t="shared" si="172"/>
        <v>0.19357549188109135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256.66666666666669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1.4210854715202004E-13</v>
      </c>
      <c r="O189" s="13">
        <f>N189*VLOOKUP('Données projet'!$B$9,Paramètres!$A$1:$I$89,3,0)*VLOOKUP('Données projet'!$B$9,Paramètres!$A$1:$I$89,5,0)</f>
        <v>1.4853185348329134E-13</v>
      </c>
      <c r="P189" s="13">
        <f t="shared" si="141"/>
        <v>2.1309431512949395E-12</v>
      </c>
      <c r="Q189" s="20">
        <f t="shared" si="162"/>
        <v>3.9700856333220852E-12</v>
      </c>
      <c r="R189" s="59">
        <f t="shared" si="109"/>
        <v>293.33333333333729</v>
      </c>
      <c r="S189" s="59">
        <f ca="1">AVERAGE(OFFSET($R$3,0,0,'Données projet'!$E$9+1,1))-AVERAGE(OFFSET($H$3,0,0,'Données projet'!$E$9+1,1))</f>
        <v>241.84492910369795</v>
      </c>
      <c r="T189" s="59">
        <f t="shared" si="142"/>
        <v>338.04336767245667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0.2756586869757997</v>
      </c>
      <c r="AA189" s="21">
        <f>EXP(-LN(2)/25)*AA188+(1-EXP(-LN(2)/25))/(LN(2)/25)*Calculateur!V189*Calculateur!X189*VLOOKUP('Données projet'!$B$9,Paramètres!$A$1:$I$89,3,0)*0.475*44/12</f>
        <v>0.18384300095962491</v>
      </c>
      <c r="AB189" s="21">
        <f>EXP(-LN(2)/2)*AB188+(1-EXP(-LN(2)/2))/(LN(2)/2)*V189*Y189*VLOOKUP('Données projet'!$B$9,Paramètres!$A$1:$I$89,3,0)*0.475*44/12</f>
        <v>2.8606748795901768E-23</v>
      </c>
      <c r="AC189" s="22">
        <f t="shared" si="163"/>
        <v>0.45950168793542462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>
        <f>AI189*VLOOKUP('Données projet'!$B$10,Paramètres!$A$1:$I$89,3,0)*VLOOKUP('Données projet'!$B$10,Paramètres!$A$1:$I$89,5,0)</f>
        <v>0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370.12772664814923</v>
      </c>
      <c r="AO189" s="59">
        <f t="shared" si="144"/>
        <v>292.26503163353146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0.34048590014407248</v>
      </c>
      <c r="AV189" s="21">
        <f>EXP(-LN(2)/25)*AV188+(1-EXP(-LN(2)/25))/(LN(2)/25)*Calculateur!AQ189*Calculateur!AS189*VLOOKUP('Données projet'!$B$10,Paramètres!$A$1:$I$89,3,0)*0.475*44/12</f>
        <v>8.7892542790121125E-2</v>
      </c>
      <c r="AW189" s="21">
        <f>EXP(-LN(2)/2)*AW188+(1-EXP(-LN(2)/2))/(LN(2)/2)*AQ189*AT189*VLOOKUP('Données projet'!$B$10,Paramètres!$A$1:$I$89,3,0)*0.475*44/12</f>
        <v>2.6214457089523026E-23</v>
      </c>
      <c r="AX189" s="21">
        <f t="shared" si="166"/>
        <v>0.42837844293419358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>
        <f>BD189*VLOOKUP('Données projet'!$B$11,Paramètres!$A$1:$I$89,3,0)*VLOOKUP('Données projet'!$B$11,Paramètres!$A$1:$I$89,5,0)</f>
        <v>0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475.01366239340246</v>
      </c>
      <c r="BJ189" s="59">
        <f t="shared" si="146"/>
        <v>322.81767004794284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0.39583332860108728</v>
      </c>
      <c r="BQ189" s="21">
        <f>EXP(-LN(2)/25)*BQ188+(1-EXP(-LN(2)/25))/(LN(2)/25)*Calculateur!BL189*Calculateur!BN189*VLOOKUP('Données projet'!$B$11,Paramètres!$A$1:$I$89,3,0)*0.475*44/12</f>
        <v>0.14739775203903555</v>
      </c>
      <c r="BR189" s="21">
        <f>EXP(-LN(2)/2)*BR188+(1-EXP(-LN(2)/2))/(LN(2)/2)*BL189*BO189*VLOOKUP('Données projet'!$B$11,Paramètres!$A$1:$I$89,3,0)*0.475*44/12</f>
        <v>3.3595138993153634E-23</v>
      </c>
      <c r="BS189" s="22">
        <f t="shared" si="169"/>
        <v>0.54323108064012282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-1.1368683772161603E-13</v>
      </c>
      <c r="BZ189" s="13">
        <f>BY189*VLOOKUP('Données projet'!$B$12,Paramètres!$A$1:$I$89,3,0)*VLOOKUP('Données projet'!$B$12,Paramètres!$A$1:$I$89,5,0)</f>
        <v>-7.626113074366004E-14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254.8851926268614</v>
      </c>
      <c r="CE189" s="59">
        <f t="shared" si="148"/>
        <v>182.11500693273973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0.13865541889409008</v>
      </c>
      <c r="CL189" s="21">
        <f>EXP(-LN(2)/25)*CL188+(1-EXP(-LN(2)/25))/(LN(2)/25)*Calculateur!CG189*Calculateur!CI189*VLOOKUP('Données projet'!$B$12,Paramètres!$A$1:$I$89,3,0)*0.475*44/12</f>
        <v>5.07207860668073E-2</v>
      </c>
      <c r="CM189" s="21">
        <f>EXP(-LN(2)/2)*CM188+(1-EXP(-LN(2)/2))/(LN(2)/2)*CG189*CJ189*VLOOKUP('Données projet'!$B$12,Paramètres!$A$1:$I$89,3,0)*0.475*44/12</f>
        <v>1.4970086722797835E-23</v>
      </c>
      <c r="CN189" s="22">
        <f t="shared" si="172"/>
        <v>0.18937620496089738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256.66666666666669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1.4210854715202004E-13</v>
      </c>
      <c r="O190" s="13">
        <f>N190*VLOOKUP('Données projet'!$B$9,Paramètres!$A$1:$I$89,3,0)*VLOOKUP('Données projet'!$B$9,Paramètres!$A$1:$I$89,5,0)</f>
        <v>1.4853185348329134E-13</v>
      </c>
      <c r="P190" s="13">
        <f t="shared" si="141"/>
        <v>2.1309431512949395E-12</v>
      </c>
      <c r="Q190" s="20">
        <f t="shared" si="162"/>
        <v>3.9700856333220852E-12</v>
      </c>
      <c r="R190" s="59">
        <f t="shared" si="109"/>
        <v>293.33333333333729</v>
      </c>
      <c r="S190" s="59">
        <f ca="1">AVERAGE(OFFSET($R$3,0,0,'Données projet'!$E$9+1,1))-AVERAGE(OFFSET($H$3,0,0,'Données projet'!$E$9+1,1))</f>
        <v>241.84492910369795</v>
      </c>
      <c r="T190" s="59">
        <f t="shared" si="142"/>
        <v>338.04336767245667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0.27025318825940137</v>
      </c>
      <c r="AA190" s="21">
        <f>EXP(-LN(2)/25)*AA189+(1-EXP(-LN(2)/25))/(LN(2)/25)*Calculateur!V190*Calculateur!X190*VLOOKUP('Données projet'!$B$9,Paramètres!$A$1:$I$89,3,0)*0.475*44/12</f>
        <v>0.17881580443050074</v>
      </c>
      <c r="AB190" s="21">
        <f>EXP(-LN(2)/2)*AB189+(1-EXP(-LN(2)/2))/(LN(2)/2)*V190*Y190*VLOOKUP('Données projet'!$B$9,Paramètres!$A$1:$I$89,3,0)*0.475*44/12</f>
        <v>2.0228026061282243E-23</v>
      </c>
      <c r="AC190" s="22">
        <f t="shared" si="163"/>
        <v>0.44906899268990208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>
        <f>AI190*VLOOKUP('Données projet'!$B$10,Paramètres!$A$1:$I$89,3,0)*VLOOKUP('Données projet'!$B$10,Paramètres!$A$1:$I$89,5,0)</f>
        <v>0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370.12772664814923</v>
      </c>
      <c r="AO190" s="59">
        <f t="shared" si="144"/>
        <v>292.26503163353146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0.33380917931814003</v>
      </c>
      <c r="AV190" s="21">
        <f>EXP(-LN(2)/25)*AV189+(1-EXP(-LN(2)/25))/(LN(2)/25)*Calculateur!AQ190*Calculateur!AS190*VLOOKUP('Données projet'!$B$10,Paramètres!$A$1:$I$89,3,0)*0.475*44/12</f>
        <v>8.5489116585457325E-2</v>
      </c>
      <c r="AW190" s="21">
        <f>EXP(-LN(2)/2)*AW189+(1-EXP(-LN(2)/2))/(LN(2)/2)*AQ190*AT190*VLOOKUP('Données projet'!$B$10,Paramètres!$A$1:$I$89,3,0)*0.475*44/12</f>
        <v>1.8536420373125499E-23</v>
      </c>
      <c r="AX190" s="21">
        <f t="shared" si="166"/>
        <v>0.41929829590359735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>
        <f>BD190*VLOOKUP('Données projet'!$B$11,Paramètres!$A$1:$I$89,3,0)*VLOOKUP('Données projet'!$B$11,Paramètres!$A$1:$I$89,5,0)</f>
        <v>0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475.01366239340246</v>
      </c>
      <c r="BJ190" s="59">
        <f t="shared" si="146"/>
        <v>322.81767004794284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0.38807127846171074</v>
      </c>
      <c r="BQ190" s="21">
        <f>EXP(-LN(2)/25)*BQ189+(1-EXP(-LN(2)/25))/(LN(2)/25)*Calculateur!BL190*Calculateur!BN190*VLOOKUP('Données projet'!$B$11,Paramètres!$A$1:$I$89,3,0)*0.475*44/12</f>
        <v>0.14336715275821721</v>
      </c>
      <c r="BR190" s="21">
        <f>EXP(-LN(2)/2)*BR189+(1-EXP(-LN(2)/2))/(LN(2)/2)*BL190*BO190*VLOOKUP('Données projet'!$B$11,Paramètres!$A$1:$I$89,3,0)*0.475*44/12</f>
        <v>2.3755350596963537E-23</v>
      </c>
      <c r="BS190" s="22">
        <f t="shared" si="169"/>
        <v>0.53143843121992795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-1.1368683772161603E-13</v>
      </c>
      <c r="BZ190" s="13">
        <f>BY190*VLOOKUP('Données projet'!$B$12,Paramètres!$A$1:$I$89,3,0)*VLOOKUP('Données projet'!$B$12,Paramètres!$A$1:$I$89,5,0)</f>
        <v>-7.626113074366004E-14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254.8851926268614</v>
      </c>
      <c r="CE190" s="59">
        <f t="shared" si="148"/>
        <v>182.11500693273973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0.13593647070103176</v>
      </c>
      <c r="CL190" s="21">
        <f>EXP(-LN(2)/25)*CL189+(1-EXP(-LN(2)/25))/(LN(2)/25)*Calculateur!CG190*Calculateur!CI190*VLOOKUP('Données projet'!$B$12,Paramètres!$A$1:$I$89,3,0)*0.475*44/12</f>
        <v>4.9333823504520237E-2</v>
      </c>
      <c r="CM190" s="21">
        <f>EXP(-LN(2)/2)*CM189+(1-EXP(-LN(2)/2))/(LN(2)/2)*CG190*CJ190*VLOOKUP('Données projet'!$B$12,Paramètres!$A$1:$I$89,3,0)*0.475*44/12</f>
        <v>1.0585449836641049E-23</v>
      </c>
      <c r="CN190" s="22">
        <f t="shared" si="172"/>
        <v>0.18527029420555199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256.66666666666669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1.4210854715202004E-13</v>
      </c>
      <c r="O191" s="13">
        <f>N191*VLOOKUP('Données projet'!$B$9,Paramètres!$A$1:$I$89,3,0)*VLOOKUP('Données projet'!$B$9,Paramètres!$A$1:$I$89,5,0)</f>
        <v>1.4853185348329134E-13</v>
      </c>
      <c r="P191" s="13">
        <f t="shared" si="141"/>
        <v>2.1309431512949395E-12</v>
      </c>
      <c r="Q191" s="20">
        <f t="shared" si="162"/>
        <v>3.9700856333220852E-12</v>
      </c>
      <c r="R191" s="59">
        <f t="shared" si="109"/>
        <v>293.33333333333729</v>
      </c>
      <c r="S191" s="59">
        <f ca="1">AVERAGE(OFFSET($R$3,0,0,'Données projet'!$E$9+1,1))-AVERAGE(OFFSET($H$3,0,0,'Données projet'!$E$9+1,1))</f>
        <v>241.84492910369795</v>
      </c>
      <c r="T191" s="59">
        <f t="shared" si="142"/>
        <v>338.04336767245667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0.26495368807580294</v>
      </c>
      <c r="AA191" s="21">
        <f>EXP(-LN(2)/25)*AA190+(1-EXP(-LN(2)/25))/(LN(2)/25)*Calculateur!V191*Calculateur!X191*VLOOKUP('Données projet'!$B$9,Paramètres!$A$1:$I$89,3,0)*0.475*44/12</f>
        <v>0.17392607685483424</v>
      </c>
      <c r="AB191" s="21">
        <f>EXP(-LN(2)/2)*AB190+(1-EXP(-LN(2)/2))/(LN(2)/2)*V191*Y191*VLOOKUP('Données projet'!$B$9,Paramètres!$A$1:$I$89,3,0)*0.475*44/12</f>
        <v>1.4303374397950884E-23</v>
      </c>
      <c r="AC191" s="22">
        <f t="shared" si="163"/>
        <v>0.43887976493063718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>
        <f>AI191*VLOOKUP('Données projet'!$B$10,Paramètres!$A$1:$I$89,3,0)*VLOOKUP('Données projet'!$B$10,Paramètres!$A$1:$I$89,5,0)</f>
        <v>0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370.12772664814923</v>
      </c>
      <c r="AO191" s="59">
        <f t="shared" si="144"/>
        <v>292.26503163353146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0.32726338491520651</v>
      </c>
      <c r="AV191" s="21">
        <f>EXP(-LN(2)/25)*AV190+(1-EXP(-LN(2)/25))/(LN(2)/25)*Calculateur!AQ191*Calculateur!AS191*VLOOKUP('Données projet'!$B$10,Paramètres!$A$1:$I$89,3,0)*0.475*44/12</f>
        <v>8.3151412196750735E-2</v>
      </c>
      <c r="AW191" s="21">
        <f>EXP(-LN(2)/2)*AW190+(1-EXP(-LN(2)/2))/(LN(2)/2)*AQ191*AT191*VLOOKUP('Données projet'!$B$10,Paramètres!$A$1:$I$89,3,0)*0.475*44/12</f>
        <v>1.3107228544761515E-23</v>
      </c>
      <c r="AX191" s="21">
        <f t="shared" si="166"/>
        <v>0.41041479711195727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>
        <f>BD191*VLOOKUP('Données projet'!$B$11,Paramètres!$A$1:$I$89,3,0)*VLOOKUP('Données projet'!$B$11,Paramètres!$A$1:$I$89,5,0)</f>
        <v>0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475.01366239340246</v>
      </c>
      <c r="BJ191" s="59">
        <f t="shared" si="146"/>
        <v>322.81767004794284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0.38046143739118427</v>
      </c>
      <c r="BQ191" s="21">
        <f>EXP(-LN(2)/25)*BQ190+(1-EXP(-LN(2)/25))/(LN(2)/25)*Calculateur!BL191*Calculateur!BN191*VLOOKUP('Données projet'!$B$11,Paramètres!$A$1:$I$89,3,0)*0.475*44/12</f>
        <v>0.13944677042669287</v>
      </c>
      <c r="BR191" s="21">
        <f>EXP(-LN(2)/2)*BR190+(1-EXP(-LN(2)/2))/(LN(2)/2)*BL191*BO191*VLOOKUP('Données projet'!$B$11,Paramètres!$A$1:$I$89,3,0)*0.475*44/12</f>
        <v>1.6797569496576817E-23</v>
      </c>
      <c r="BS191" s="22">
        <f t="shared" si="169"/>
        <v>0.51990820781787717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-1.1368683772161603E-13</v>
      </c>
      <c r="BZ191" s="13">
        <f>BY191*VLOOKUP('Données projet'!$B$12,Paramètres!$A$1:$I$89,3,0)*VLOOKUP('Données projet'!$B$12,Paramètres!$A$1:$I$89,5,0)</f>
        <v>-7.626113074366004E-14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254.8851926268614</v>
      </c>
      <c r="CE191" s="59">
        <f t="shared" si="148"/>
        <v>182.11500693273973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0.13327083942364468</v>
      </c>
      <c r="CL191" s="21">
        <f>EXP(-LN(2)/25)*CL190+(1-EXP(-LN(2)/25))/(LN(2)/25)*Calculateur!CG191*Calculateur!CI191*VLOOKUP('Données projet'!$B$12,Paramètres!$A$1:$I$89,3,0)*0.475*44/12</f>
        <v>4.7984787506436109E-2</v>
      </c>
      <c r="CM191" s="21">
        <f>EXP(-LN(2)/2)*CM190+(1-EXP(-LN(2)/2))/(LN(2)/2)*CG191*CJ191*VLOOKUP('Données projet'!$B$12,Paramètres!$A$1:$I$89,3,0)*0.475*44/12</f>
        <v>7.4850433613989174E-24</v>
      </c>
      <c r="CN191" s="22">
        <f t="shared" si="172"/>
        <v>0.18125562693008079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256.66666666666669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1.4210854715202004E-13</v>
      </c>
      <c r="O192" s="13">
        <f>N192*VLOOKUP('Données projet'!$B$9,Paramètres!$A$1:$I$89,3,0)*VLOOKUP('Données projet'!$B$9,Paramètres!$A$1:$I$89,5,0)</f>
        <v>1.4853185348329134E-13</v>
      </c>
      <c r="P192" s="13">
        <f t="shared" si="141"/>
        <v>2.1309431512949395E-12</v>
      </c>
      <c r="Q192" s="20">
        <f t="shared" si="162"/>
        <v>3.9700856333220852E-12</v>
      </c>
      <c r="R192" s="59">
        <f t="shared" si="109"/>
        <v>293.33333333333729</v>
      </c>
      <c r="S192" s="59">
        <f ca="1">AVERAGE(OFFSET($R$3,0,0,'Données projet'!$E$9+1,1))-AVERAGE(OFFSET($H$3,0,0,'Données projet'!$E$9+1,1))</f>
        <v>241.84492910369795</v>
      </c>
      <c r="T192" s="59">
        <f t="shared" si="142"/>
        <v>338.04336767245667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0.2597581078584289</v>
      </c>
      <c r="AA192" s="21">
        <f>EXP(-LN(2)/25)*AA191+(1-EXP(-LN(2)/25))/(LN(2)/25)*Calculateur!V192*Calculateur!X192*VLOOKUP('Données projet'!$B$9,Paramètres!$A$1:$I$89,3,0)*0.475*44/12</f>
        <v>0.16917005913686392</v>
      </c>
      <c r="AB192" s="21">
        <f>EXP(-LN(2)/2)*AB191+(1-EXP(-LN(2)/2))/(LN(2)/2)*V192*Y192*VLOOKUP('Données projet'!$B$9,Paramètres!$A$1:$I$89,3,0)*0.475*44/12</f>
        <v>1.0114013030641122E-23</v>
      </c>
      <c r="AC192" s="22">
        <f t="shared" si="163"/>
        <v>0.42892816699529279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>
        <f>AI192*VLOOKUP('Données projet'!$B$10,Paramètres!$A$1:$I$89,3,0)*VLOOKUP('Données projet'!$B$10,Paramètres!$A$1:$I$89,5,0)</f>
        <v>0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370.12772664814923</v>
      </c>
      <c r="AO192" s="59">
        <f t="shared" si="144"/>
        <v>292.26503163353146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0.32084594954797419</v>
      </c>
      <c r="AV192" s="21">
        <f>EXP(-LN(2)/25)*AV191+(1-EXP(-LN(2)/25))/(LN(2)/25)*Calculateur!AQ192*Calculateur!AS192*VLOOKUP('Données projet'!$B$10,Paramètres!$A$1:$I$89,3,0)*0.475*44/12</f>
        <v>8.0877632457487858E-2</v>
      </c>
      <c r="AW192" s="21">
        <f>EXP(-LN(2)/2)*AW191+(1-EXP(-LN(2)/2))/(LN(2)/2)*AQ192*AT192*VLOOKUP('Données projet'!$B$10,Paramètres!$A$1:$I$89,3,0)*0.475*44/12</f>
        <v>9.2682101865627508E-24</v>
      </c>
      <c r="AX192" s="21">
        <f t="shared" si="166"/>
        <v>0.40172358200546204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>
        <f>BD192*VLOOKUP('Données projet'!$B$11,Paramètres!$A$1:$I$89,3,0)*VLOOKUP('Données projet'!$B$11,Paramètres!$A$1:$I$89,5,0)</f>
        <v>0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475.01366239340246</v>
      </c>
      <c r="BJ192" s="59">
        <f t="shared" si="146"/>
        <v>322.81767004794284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0.37300082066250606</v>
      </c>
      <c r="BQ192" s="21">
        <f>EXP(-LN(2)/25)*BQ191+(1-EXP(-LN(2)/25))/(LN(2)/25)*Calculateur!BL192*Calculateur!BN192*VLOOKUP('Données projet'!$B$11,Paramètres!$A$1:$I$89,3,0)*0.475*44/12</f>
        <v>0.135633591156188</v>
      </c>
      <c r="BR192" s="21">
        <f>EXP(-LN(2)/2)*BR191+(1-EXP(-LN(2)/2))/(LN(2)/2)*BL192*BO192*VLOOKUP('Données projet'!$B$11,Paramètres!$A$1:$I$89,3,0)*0.475*44/12</f>
        <v>1.1877675298481769E-23</v>
      </c>
      <c r="BS192" s="22">
        <f t="shared" si="169"/>
        <v>0.50863441181869407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-1.1368683772161603E-13</v>
      </c>
      <c r="BZ192" s="13">
        <f>BY192*VLOOKUP('Données projet'!$B$12,Paramètres!$A$1:$I$89,3,0)*VLOOKUP('Données projet'!$B$12,Paramètres!$A$1:$I$89,5,0)</f>
        <v>-7.626113074366004E-14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254.8851926268614</v>
      </c>
      <c r="CE192" s="59">
        <f t="shared" si="148"/>
        <v>182.11500693273973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0.13065747954973261</v>
      </c>
      <c r="CL192" s="21">
        <f>EXP(-LN(2)/25)*CL191+(1-EXP(-LN(2)/25))/(LN(2)/25)*Calculateur!CG192*Calculateur!CI192*VLOOKUP('Données projet'!$B$12,Paramètres!$A$1:$I$89,3,0)*0.475*44/12</f>
        <v>4.6672640968662311E-2</v>
      </c>
      <c r="CM192" s="21">
        <f>EXP(-LN(2)/2)*CM191+(1-EXP(-LN(2)/2))/(LN(2)/2)*CG192*CJ192*VLOOKUP('Données projet'!$B$12,Paramètres!$A$1:$I$89,3,0)*0.475*44/12</f>
        <v>5.2927249183205244E-24</v>
      </c>
      <c r="CN192" s="22">
        <f t="shared" si="172"/>
        <v>0.17733012051839492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256.66666666666669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1.4210854715202004E-13</v>
      </c>
      <c r="O193" s="13">
        <f>N193*VLOOKUP('Données projet'!$B$9,Paramètres!$A$1:$I$89,3,0)*VLOOKUP('Données projet'!$B$9,Paramètres!$A$1:$I$89,5,0)</f>
        <v>1.4853185348329134E-13</v>
      </c>
      <c r="P193" s="13">
        <f t="shared" si="141"/>
        <v>2.1309431512949395E-12</v>
      </c>
      <c r="Q193" s="20">
        <f t="shared" si="162"/>
        <v>3.9700856333220852E-12</v>
      </c>
      <c r="R193" s="59">
        <f t="shared" si="109"/>
        <v>293.33333333333729</v>
      </c>
      <c r="S193" s="59">
        <f ca="1">AVERAGE(OFFSET($R$3,0,0,'Données projet'!$E$9+1,1))-AVERAGE(OFFSET($H$3,0,0,'Données projet'!$E$9+1,1))</f>
        <v>241.84492910369795</v>
      </c>
      <c r="T193" s="59">
        <f t="shared" si="142"/>
        <v>338.04336767245667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0.25466440980012656</v>
      </c>
      <c r="AA193" s="21">
        <f>EXP(-LN(2)/25)*AA192+(1-EXP(-LN(2)/25))/(LN(2)/25)*Calculateur!V193*Calculateur!X193*VLOOKUP('Données projet'!$B$9,Paramètres!$A$1:$I$89,3,0)*0.475*44/12</f>
        <v>0.16454409497349962</v>
      </c>
      <c r="AB193" s="21">
        <f>EXP(-LN(2)/2)*AB192+(1-EXP(-LN(2)/2))/(LN(2)/2)*V193*Y193*VLOOKUP('Données projet'!$B$9,Paramètres!$A$1:$I$89,3,0)*0.475*44/12</f>
        <v>7.151687198975442E-24</v>
      </c>
      <c r="AC193" s="22">
        <f t="shared" si="163"/>
        <v>0.41920850477362614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>
        <f>AI193*VLOOKUP('Données projet'!$B$10,Paramètres!$A$1:$I$89,3,0)*VLOOKUP('Données projet'!$B$10,Paramètres!$A$1:$I$89,5,0)</f>
        <v>0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370.12772664814923</v>
      </c>
      <c r="AO193" s="59">
        <f t="shared" si="144"/>
        <v>292.26503163353146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0.3145543561740442</v>
      </c>
      <c r="AV193" s="21">
        <f>EXP(-LN(2)/25)*AV192+(1-EXP(-LN(2)/25))/(LN(2)/25)*Calculateur!AQ193*Calculateur!AS193*VLOOKUP('Données projet'!$B$10,Paramètres!$A$1:$I$89,3,0)*0.475*44/12</f>
        <v>7.8666029344768004E-2</v>
      </c>
      <c r="AW193" s="21">
        <f>EXP(-LN(2)/2)*AW192+(1-EXP(-LN(2)/2))/(LN(2)/2)*AQ193*AT193*VLOOKUP('Données projet'!$B$10,Paramètres!$A$1:$I$89,3,0)*0.475*44/12</f>
        <v>6.553614272380758E-24</v>
      </c>
      <c r="AX193" s="21">
        <f t="shared" si="166"/>
        <v>0.39322038551881222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>
        <f>BD193*VLOOKUP('Données projet'!$B$11,Paramètres!$A$1:$I$89,3,0)*VLOOKUP('Données projet'!$B$11,Paramètres!$A$1:$I$89,5,0)</f>
        <v>0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475.01366239340246</v>
      </c>
      <c r="BJ193" s="59">
        <f t="shared" si="146"/>
        <v>322.81767004794284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0.36568650207735037</v>
      </c>
      <c r="BQ193" s="21">
        <f>EXP(-LN(2)/25)*BQ192+(1-EXP(-LN(2)/25))/(LN(2)/25)*Calculateur!BL193*Calculateur!BN193*VLOOKUP('Données projet'!$B$11,Paramètres!$A$1:$I$89,3,0)*0.475*44/12</f>
        <v>0.13192468347336148</v>
      </c>
      <c r="BR193" s="21">
        <f>EXP(-LN(2)/2)*BR192+(1-EXP(-LN(2)/2))/(LN(2)/2)*BL193*BO193*VLOOKUP('Données projet'!$B$11,Paramètres!$A$1:$I$89,3,0)*0.475*44/12</f>
        <v>8.3987847482884085E-24</v>
      </c>
      <c r="BS193" s="22">
        <f t="shared" si="169"/>
        <v>0.49761118555071182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-1.1368683772161603E-13</v>
      </c>
      <c r="BZ193" s="13">
        <f>BY193*VLOOKUP('Données projet'!$B$12,Paramètres!$A$1:$I$89,3,0)*VLOOKUP('Données projet'!$B$12,Paramètres!$A$1:$I$89,5,0)</f>
        <v>-7.626113074366004E-14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254.8851926268614</v>
      </c>
      <c r="CE193" s="59">
        <f t="shared" si="148"/>
        <v>182.11500693273973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0.12809536606895583</v>
      </c>
      <c r="CL193" s="21">
        <f>EXP(-LN(2)/25)*CL192+(1-EXP(-LN(2)/25))/(LN(2)/25)*Calculateur!CG193*Calculateur!CI193*VLOOKUP('Données projet'!$B$12,Paramètres!$A$1:$I$89,3,0)*0.475*44/12</f>
        <v>4.5396375146966726E-2</v>
      </c>
      <c r="CM193" s="21">
        <f>EXP(-LN(2)/2)*CM192+(1-EXP(-LN(2)/2))/(LN(2)/2)*CG193*CJ193*VLOOKUP('Données projet'!$B$12,Paramètres!$A$1:$I$89,3,0)*0.475*44/12</f>
        <v>3.7425216806994587E-24</v>
      </c>
      <c r="CN193" s="22">
        <f t="shared" si="172"/>
        <v>0.17349174121592256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256.66666666666669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1.4210854715202004E-13</v>
      </c>
      <c r="O194" s="13">
        <f>N194*VLOOKUP('Données projet'!$B$9,Paramètres!$A$1:$I$89,3,0)*VLOOKUP('Données projet'!$B$9,Paramètres!$A$1:$I$89,5,0)</f>
        <v>1.4853185348329134E-13</v>
      </c>
      <c r="P194" s="13">
        <f t="shared" si="141"/>
        <v>2.1309431512949395E-12</v>
      </c>
      <c r="Q194" s="20">
        <f t="shared" si="162"/>
        <v>3.9700856333220852E-12</v>
      </c>
      <c r="R194" s="59">
        <f t="shared" si="109"/>
        <v>293.33333333333729</v>
      </c>
      <c r="S194" s="59">
        <f ca="1">AVERAGE(OFFSET($R$3,0,0,'Données projet'!$E$9+1,1))-AVERAGE(OFFSET($H$3,0,0,'Données projet'!$E$9+1,1))</f>
        <v>241.84492910369795</v>
      </c>
      <c r="T194" s="59">
        <f t="shared" si="142"/>
        <v>338.04336767245667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0.24967059605389849</v>
      </c>
      <c r="AA194" s="21">
        <f>EXP(-LN(2)/25)*AA193+(1-EXP(-LN(2)/25))/(LN(2)/25)*Calculateur!V194*Calculateur!X194*VLOOKUP('Données projet'!$B$9,Paramètres!$A$1:$I$89,3,0)*0.475*44/12</f>
        <v>0.16004462804345138</v>
      </c>
      <c r="AB194" s="21">
        <f>EXP(-LN(2)/2)*AB193+(1-EXP(-LN(2)/2))/(LN(2)/2)*V194*Y194*VLOOKUP('Données projet'!$B$9,Paramètres!$A$1:$I$89,3,0)*0.475*44/12</f>
        <v>5.0570065153205608E-24</v>
      </c>
      <c r="AC194" s="22">
        <f t="shared" si="163"/>
        <v>0.40971522409734984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>
        <f>AI194*VLOOKUP('Données projet'!$B$10,Paramètres!$A$1:$I$89,3,0)*VLOOKUP('Données projet'!$B$10,Paramètres!$A$1:$I$89,5,0)</f>
        <v>0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370.12772664814923</v>
      </c>
      <c r="AO194" s="59">
        <f t="shared" si="144"/>
        <v>292.26503163353146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0.30838613710868396</v>
      </c>
      <c r="AV194" s="21">
        <f>EXP(-LN(2)/25)*AV193+(1-EXP(-LN(2)/25))/(LN(2)/25)*Calculateur!AQ194*Calculateur!AS194*VLOOKUP('Données projet'!$B$10,Paramètres!$A$1:$I$89,3,0)*0.475*44/12</f>
        <v>7.6514902635468632E-2</v>
      </c>
      <c r="AW194" s="21">
        <f>EXP(-LN(2)/2)*AW193+(1-EXP(-LN(2)/2))/(LN(2)/2)*AQ194*AT194*VLOOKUP('Données projet'!$B$10,Paramètres!$A$1:$I$89,3,0)*0.475*44/12</f>
        <v>4.6341050932813761E-24</v>
      </c>
      <c r="AX194" s="21">
        <f t="shared" si="166"/>
        <v>0.38490103974415257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>
        <f>BD194*VLOOKUP('Données projet'!$B$11,Paramètres!$A$1:$I$89,3,0)*VLOOKUP('Données projet'!$B$11,Paramètres!$A$1:$I$89,5,0)</f>
        <v>0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475.01366239340246</v>
      </c>
      <c r="BJ194" s="59">
        <f t="shared" si="146"/>
        <v>322.81767004794284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0.35851561281835576</v>
      </c>
      <c r="BQ194" s="21">
        <f>EXP(-LN(2)/25)*BQ193+(1-EXP(-LN(2)/25))/(LN(2)/25)*Calculateur!BL194*Calculateur!BN194*VLOOKUP('Données projet'!$B$11,Paramètres!$A$1:$I$89,3,0)*0.475*44/12</f>
        <v>0.12831719606616482</v>
      </c>
      <c r="BR194" s="21">
        <f>EXP(-LN(2)/2)*BR193+(1-EXP(-LN(2)/2))/(LN(2)/2)*BL194*BO194*VLOOKUP('Données projet'!$B$11,Paramètres!$A$1:$I$89,3,0)*0.475*44/12</f>
        <v>5.9388376492408843E-24</v>
      </c>
      <c r="BS194" s="22">
        <f t="shared" si="169"/>
        <v>0.48683280888452057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-1.1368683772161603E-13</v>
      </c>
      <c r="BZ194" s="13">
        <f>BY194*VLOOKUP('Données projet'!$B$12,Paramètres!$A$1:$I$89,3,0)*VLOOKUP('Données projet'!$B$12,Paramètres!$A$1:$I$89,5,0)</f>
        <v>-7.626113074366004E-14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254.8851926268614</v>
      </c>
      <c r="CE194" s="59">
        <f t="shared" si="148"/>
        <v>182.11500693273973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0.12558349407080216</v>
      </c>
      <c r="CL194" s="21">
        <f>EXP(-LN(2)/25)*CL193+(1-EXP(-LN(2)/25))/(LN(2)/25)*Calculateur!CG194*Calculateur!CI194*VLOOKUP('Données projet'!$B$12,Paramètres!$A$1:$I$89,3,0)*0.475*44/12</f>
        <v>4.4155008881281307E-2</v>
      </c>
      <c r="CM194" s="21">
        <f>EXP(-LN(2)/2)*CM193+(1-EXP(-LN(2)/2))/(LN(2)/2)*CG194*CJ194*VLOOKUP('Données projet'!$B$12,Paramètres!$A$1:$I$89,3,0)*0.475*44/12</f>
        <v>2.6463624591602622E-24</v>
      </c>
      <c r="CN194" s="22">
        <f t="shared" si="172"/>
        <v>0.16973850295208348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256.66666666666669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1.4210854715202004E-13</v>
      </c>
      <c r="O195" s="13">
        <f>N195*VLOOKUP('Données projet'!$B$9,Paramètres!$A$1:$I$89,3,0)*VLOOKUP('Données projet'!$B$9,Paramètres!$A$1:$I$89,5,0)</f>
        <v>1.4853185348329134E-13</v>
      </c>
      <c r="P195" s="13">
        <f t="shared" si="141"/>
        <v>2.1309431512949395E-12</v>
      </c>
      <c r="Q195" s="20">
        <f t="shared" si="162"/>
        <v>3.9700856333220852E-12</v>
      </c>
      <c r="R195" s="59">
        <f t="shared" ref="R195:R203" si="191">Q195+(I195+J195)*44/12</f>
        <v>293.33333333333729</v>
      </c>
      <c r="S195" s="59">
        <f ca="1">AVERAGE(OFFSET($R$3,0,0,'Données projet'!$E$9+1,1))-AVERAGE(OFFSET($H$3,0,0,'Données projet'!$E$9+1,1))</f>
        <v>241.84492910369795</v>
      </c>
      <c r="T195" s="59">
        <f t="shared" si="142"/>
        <v>338.04336767245667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0.24477470794930833</v>
      </c>
      <c r="AA195" s="21">
        <f>EXP(-LN(2)/25)*AA194+(1-EXP(-LN(2)/25))/(LN(2)/25)*Calculateur!V195*Calculateur!X195*VLOOKUP('Données projet'!$B$9,Paramètres!$A$1:$I$89,3,0)*0.475*44/12</f>
        <v>0.15566819927322201</v>
      </c>
      <c r="AB195" s="21">
        <f>EXP(-LN(2)/2)*AB194+(1-EXP(-LN(2)/2))/(LN(2)/2)*V195*Y195*VLOOKUP('Données projet'!$B$9,Paramètres!$A$1:$I$89,3,0)*0.475*44/12</f>
        <v>3.575843599487721E-24</v>
      </c>
      <c r="AC195" s="22">
        <f t="shared" si="163"/>
        <v>0.40044290722253034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>
        <f>AI195*VLOOKUP('Données projet'!$B$10,Paramètres!$A$1:$I$89,3,0)*VLOOKUP('Données projet'!$B$10,Paramètres!$A$1:$I$89,5,0)</f>
        <v>0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370.12772664814923</v>
      </c>
      <c r="AO195" s="59">
        <f t="shared" si="144"/>
        <v>292.26503163353146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0.30233887305695328</v>
      </c>
      <c r="AV195" s="21">
        <f>EXP(-LN(2)/25)*AV194+(1-EXP(-LN(2)/25))/(LN(2)/25)*Calculateur!AQ195*Calculateur!AS195*VLOOKUP('Données projet'!$B$10,Paramètres!$A$1:$I$89,3,0)*0.475*44/12</f>
        <v>7.4422598599157896E-2</v>
      </c>
      <c r="AW195" s="21">
        <f>EXP(-LN(2)/2)*AW194+(1-EXP(-LN(2)/2))/(LN(2)/2)*AQ195*AT195*VLOOKUP('Données projet'!$B$10,Paramètres!$A$1:$I$89,3,0)*0.475*44/12</f>
        <v>3.2768071361903797E-24</v>
      </c>
      <c r="AX195" s="21">
        <f t="shared" si="166"/>
        <v>0.37676147165611118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>
        <f>BD195*VLOOKUP('Données projet'!$B$11,Paramètres!$A$1:$I$89,3,0)*VLOOKUP('Données projet'!$B$11,Paramètres!$A$1:$I$89,5,0)</f>
        <v>0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475.01366239340246</v>
      </c>
      <c r="BJ195" s="59">
        <f t="shared" si="146"/>
        <v>322.81767004794284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0.35148534032391948</v>
      </c>
      <c r="BQ195" s="21">
        <f>EXP(-LN(2)/25)*BQ194+(1-EXP(-LN(2)/25))/(LN(2)/25)*Calculateur!BL195*Calculateur!BN195*VLOOKUP('Données projet'!$B$11,Paramètres!$A$1:$I$89,3,0)*0.475*44/12</f>
        <v>0.12480835559182747</v>
      </c>
      <c r="BR195" s="21">
        <f>EXP(-LN(2)/2)*BR194+(1-EXP(-LN(2)/2))/(LN(2)/2)*BL195*BO195*VLOOKUP('Données projet'!$B$11,Paramètres!$A$1:$I$89,3,0)*0.475*44/12</f>
        <v>4.1993923741442042E-24</v>
      </c>
      <c r="BS195" s="22">
        <f t="shared" si="169"/>
        <v>0.47629369591574694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-1.1368683772161603E-13</v>
      </c>
      <c r="BZ195" s="13">
        <f>BY195*VLOOKUP('Données projet'!$B$12,Paramètres!$A$1:$I$89,3,0)*VLOOKUP('Données projet'!$B$12,Paramètres!$A$1:$I$89,5,0)</f>
        <v>-7.626113074366004E-14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254.8851926268614</v>
      </c>
      <c r="CE195" s="59">
        <f t="shared" si="148"/>
        <v>182.11500693273973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0.12312087835044165</v>
      </c>
      <c r="CL195" s="21">
        <f>EXP(-LN(2)/25)*CL194+(1-EXP(-LN(2)/25))/(LN(2)/25)*Calculateur!CG195*Calculateur!CI195*VLOOKUP('Données projet'!$B$12,Paramètres!$A$1:$I$89,3,0)*0.475*44/12</f>
        <v>4.2947587841411672E-2</v>
      </c>
      <c r="CM195" s="21">
        <f>EXP(-LN(2)/2)*CM194+(1-EXP(-LN(2)/2))/(LN(2)/2)*CG195*CJ195*VLOOKUP('Données projet'!$B$12,Paramètres!$A$1:$I$89,3,0)*0.475*44/12</f>
        <v>1.8712608403497293E-24</v>
      </c>
      <c r="CN195" s="22">
        <f t="shared" si="172"/>
        <v>0.16606846619185334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256.66666666666669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1.4210854715202004E-13</v>
      </c>
      <c r="O196" s="13">
        <f>N196*VLOOKUP('Données projet'!$B$9,Paramètres!$A$1:$I$89,3,0)*VLOOKUP('Données projet'!$B$9,Paramètres!$A$1:$I$89,5,0)</f>
        <v>1.4853185348329134E-13</v>
      </c>
      <c r="P196" s="13">
        <f t="shared" si="141"/>
        <v>2.1309431512949395E-12</v>
      </c>
      <c r="Q196" s="20">
        <f t="shared" si="162"/>
        <v>3.9700856333220852E-12</v>
      </c>
      <c r="R196" s="59">
        <f t="shared" si="191"/>
        <v>293.33333333333729</v>
      </c>
      <c r="S196" s="59">
        <f ca="1">AVERAGE(OFFSET($R$3,0,0,'Données projet'!$E$9+1,1))-AVERAGE(OFFSET($H$3,0,0,'Données projet'!$E$9+1,1))</f>
        <v>241.84492910369795</v>
      </c>
      <c r="T196" s="59">
        <f t="shared" si="142"/>
        <v>338.04336767245667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0.23997482522425231</v>
      </c>
      <c r="AA196" s="21">
        <f>EXP(-LN(2)/25)*AA195+(1-EXP(-LN(2)/25))/(LN(2)/25)*Calculateur!V196*Calculateur!X196*VLOOKUP('Données projet'!$B$9,Paramètres!$A$1:$I$89,3,0)*0.475*44/12</f>
        <v>0.15141144417786093</v>
      </c>
      <c r="AB196" s="21">
        <f>EXP(-LN(2)/2)*AB195+(1-EXP(-LN(2)/2))/(LN(2)/2)*V196*Y196*VLOOKUP('Données projet'!$B$9,Paramètres!$A$1:$I$89,3,0)*0.475*44/12</f>
        <v>2.5285032576602804E-24</v>
      </c>
      <c r="AC196" s="22">
        <f t="shared" si="163"/>
        <v>0.39138626940211324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>
        <f>AI196*VLOOKUP('Données projet'!$B$10,Paramètres!$A$1:$I$89,3,0)*VLOOKUP('Données projet'!$B$10,Paramètres!$A$1:$I$89,5,0)</f>
        <v>0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370.12772664814923</v>
      </c>
      <c r="AO196" s="59">
        <f t="shared" si="144"/>
        <v>292.26503163353146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0.29641019216481018</v>
      </c>
      <c r="AV196" s="21">
        <f>EXP(-LN(2)/25)*AV195+(1-EXP(-LN(2)/25))/(LN(2)/25)*Calculateur!AQ196*Calculateur!AS196*VLOOKUP('Données projet'!$B$10,Paramètres!$A$1:$I$89,3,0)*0.475*44/12</f>
        <v>7.2387508726749553E-2</v>
      </c>
      <c r="AW196" s="21">
        <f>EXP(-LN(2)/2)*AW195+(1-EXP(-LN(2)/2))/(LN(2)/2)*AQ196*AT196*VLOOKUP('Données projet'!$B$10,Paramètres!$A$1:$I$89,3,0)*0.475*44/12</f>
        <v>2.3170525466406884E-24</v>
      </c>
      <c r="AX196" s="21">
        <f t="shared" si="166"/>
        <v>0.36879770089155972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>
        <f>BD196*VLOOKUP('Données projet'!$B$11,Paramètres!$A$1:$I$89,3,0)*VLOOKUP('Données projet'!$B$11,Paramètres!$A$1:$I$89,5,0)</f>
        <v>0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475.01366239340246</v>
      </c>
      <c r="BJ196" s="59">
        <f t="shared" si="146"/>
        <v>322.81767004794284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0.34459292718505624</v>
      </c>
      <c r="BQ196" s="21">
        <f>EXP(-LN(2)/25)*BQ195+(1-EXP(-LN(2)/25))/(LN(2)/25)*Calculateur!BL196*Calculateur!BN196*VLOOKUP('Données projet'!$B$11,Paramètres!$A$1:$I$89,3,0)*0.475*44/12</f>
        <v>0.12139546454478278</v>
      </c>
      <c r="BR196" s="21">
        <f>EXP(-LN(2)/2)*BR195+(1-EXP(-LN(2)/2))/(LN(2)/2)*BL196*BO196*VLOOKUP('Données projet'!$B$11,Paramètres!$A$1:$I$89,3,0)*0.475*44/12</f>
        <v>2.9694188246204422E-24</v>
      </c>
      <c r="BS196" s="22">
        <f t="shared" si="169"/>
        <v>0.46598839172983902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-1.1368683772161603E-13</v>
      </c>
      <c r="BZ196" s="13">
        <f>BY196*VLOOKUP('Données projet'!$B$12,Paramètres!$A$1:$I$89,3,0)*VLOOKUP('Données projet'!$B$12,Paramètres!$A$1:$I$89,5,0)</f>
        <v>-7.626113074366004E-14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254.8851926268614</v>
      </c>
      <c r="CE196" s="59">
        <f t="shared" si="148"/>
        <v>182.11500693273973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0.12070655302231013</v>
      </c>
      <c r="CL196" s="21">
        <f>EXP(-LN(2)/25)*CL195+(1-EXP(-LN(2)/25))/(LN(2)/25)*Calculateur!CG196*Calculateur!CI196*VLOOKUP('Données projet'!$B$12,Paramètres!$A$1:$I$89,3,0)*0.475*44/12</f>
        <v>4.1773183793372783E-2</v>
      </c>
      <c r="CM196" s="21">
        <f>EXP(-LN(2)/2)*CM195+(1-EXP(-LN(2)/2))/(LN(2)/2)*CG196*CJ196*VLOOKUP('Données projet'!$B$12,Paramètres!$A$1:$I$89,3,0)*0.475*44/12</f>
        <v>1.3231812295801311E-24</v>
      </c>
      <c r="CN196" s="22">
        <f t="shared" si="172"/>
        <v>0.16247973681568292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256.66666666666669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1.4210854715202004E-13</v>
      </c>
      <c r="O197" s="13">
        <f>N197*VLOOKUP('Données projet'!$B$9,Paramètres!$A$1:$I$89,3,0)*VLOOKUP('Données projet'!$B$9,Paramètres!$A$1:$I$89,5,0)</f>
        <v>1.4853185348329134E-13</v>
      </c>
      <c r="P197" s="13">
        <f t="shared" ref="P197:P203" si="203">EXP(-1.0587+0.8836*LN(O197)+0.284)</f>
        <v>2.1309431512949395E-12</v>
      </c>
      <c r="Q197" s="20">
        <f t="shared" si="162"/>
        <v>3.9700856333220852E-12</v>
      </c>
      <c r="R197" s="59">
        <f t="shared" si="191"/>
        <v>293.33333333333729</v>
      </c>
      <c r="S197" s="59">
        <f ca="1">AVERAGE(OFFSET($R$3,0,0,'Données projet'!$E$9+1,1))-AVERAGE(OFFSET($H$3,0,0,'Données projet'!$E$9+1,1))</f>
        <v>241.84492910369795</v>
      </c>
      <c r="T197" s="59">
        <f t="shared" ref="T197:T203" si="204">$T$3</f>
        <v>338.04336767245667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0.23526906527179525</v>
      </c>
      <c r="AA197" s="21">
        <f>EXP(-LN(2)/25)*AA196+(1-EXP(-LN(2)/25))/(LN(2)/25)*Calculateur!V197*Calculateur!X197*VLOOKUP('Données projet'!$B$9,Paramètres!$A$1:$I$89,3,0)*0.475*44/12</f>
        <v>0.14727109027443552</v>
      </c>
      <c r="AB197" s="21">
        <f>EXP(-LN(2)/2)*AB196+(1-EXP(-LN(2)/2))/(LN(2)/2)*V197*Y197*VLOOKUP('Données projet'!$B$9,Paramètres!$A$1:$I$89,3,0)*0.475*44/12</f>
        <v>1.7879217997438605E-24</v>
      </c>
      <c r="AC197" s="22">
        <f t="shared" si="163"/>
        <v>0.38254015554623078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>
        <f>AI197*VLOOKUP('Données projet'!$B$10,Paramètres!$A$1:$I$89,3,0)*VLOOKUP('Données projet'!$B$10,Paramètres!$A$1:$I$89,5,0)</f>
        <v>0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370.12772664814923</v>
      </c>
      <c r="AO197" s="59">
        <f t="shared" ref="AO197:AO203" si="205">$AO$3</f>
        <v>292.26503163353146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0.29059776908882373</v>
      </c>
      <c r="AV197" s="21">
        <f>EXP(-LN(2)/25)*AV196+(1-EXP(-LN(2)/25))/(LN(2)/25)*Calculateur!AQ197*Calculateur!AS197*VLOOKUP('Données projet'!$B$10,Paramètres!$A$1:$I$89,3,0)*0.475*44/12</f>
        <v>7.0408068493922948E-2</v>
      </c>
      <c r="AW197" s="21">
        <f>EXP(-LN(2)/2)*AW196+(1-EXP(-LN(2)/2))/(LN(2)/2)*AQ197*AT197*VLOOKUP('Données projet'!$B$10,Paramètres!$A$1:$I$89,3,0)*0.475*44/12</f>
        <v>1.6384035680951901E-24</v>
      </c>
      <c r="AX197" s="21">
        <f t="shared" si="166"/>
        <v>0.36100583758274668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>
        <f>BD197*VLOOKUP('Données projet'!$B$11,Paramètres!$A$1:$I$89,3,0)*VLOOKUP('Données projet'!$B$11,Paramètres!$A$1:$I$89,5,0)</f>
        <v>0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475.01366239340246</v>
      </c>
      <c r="BJ197" s="59">
        <f t="shared" ref="BJ197:BJ203" si="206">$BJ$3</f>
        <v>322.81767004794284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0.3378356700638892</v>
      </c>
      <c r="BQ197" s="21">
        <f>EXP(-LN(2)/25)*BQ196+(1-EXP(-LN(2)/25))/(LN(2)/25)*Calculateur!BL197*Calculateur!BN197*VLOOKUP('Données projet'!$B$11,Paramètres!$A$1:$I$89,3,0)*0.475*44/12</f>
        <v>0.11807589918289567</v>
      </c>
      <c r="BR197" s="21">
        <f>EXP(-LN(2)/2)*BR196+(1-EXP(-LN(2)/2))/(LN(2)/2)*BL197*BO197*VLOOKUP('Données projet'!$B$11,Paramètres!$A$1:$I$89,3,0)*0.475*44/12</f>
        <v>2.0996961870721021E-24</v>
      </c>
      <c r="BS197" s="22">
        <f t="shared" si="169"/>
        <v>0.45591156924678489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-1.1368683772161603E-13</v>
      </c>
      <c r="BZ197" s="13">
        <f>BY197*VLOOKUP('Données projet'!$B$12,Paramètres!$A$1:$I$89,3,0)*VLOOKUP('Données projet'!$B$12,Paramètres!$A$1:$I$89,5,0)</f>
        <v>-7.626113074366004E-14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254.8851926268614</v>
      </c>
      <c r="CE197" s="59">
        <f t="shared" ref="CE197:CE203" si="207">$CE$3</f>
        <v>182.11500693273973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0.11833957114127024</v>
      </c>
      <c r="CL197" s="21">
        <f>EXP(-LN(2)/25)*CL196+(1-EXP(-LN(2)/25))/(LN(2)/25)*Calculateur!CG197*Calculateur!CI197*VLOOKUP('Données projet'!$B$12,Paramètres!$A$1:$I$89,3,0)*0.475*44/12</f>
        <v>4.0630893885786744E-2</v>
      </c>
      <c r="CM197" s="21">
        <f>EXP(-LN(2)/2)*CM196+(1-EXP(-LN(2)/2))/(LN(2)/2)*CG197*CJ197*VLOOKUP('Données projet'!$B$12,Paramètres!$A$1:$I$89,3,0)*0.475*44/12</f>
        <v>9.3563042017486467E-25</v>
      </c>
      <c r="CN197" s="22">
        <f t="shared" si="172"/>
        <v>0.15897046502705697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256.66666666666669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1.4210854715202004E-13</v>
      </c>
      <c r="O198" s="13">
        <f>N198*VLOOKUP('Données projet'!$B$9,Paramètres!$A$1:$I$89,3,0)*VLOOKUP('Données projet'!$B$9,Paramètres!$A$1:$I$89,5,0)</f>
        <v>1.4853185348329134E-13</v>
      </c>
      <c r="P198" s="13">
        <f t="shared" si="203"/>
        <v>2.1309431512949395E-12</v>
      </c>
      <c r="Q198" s="20">
        <f t="shared" si="162"/>
        <v>3.9700856333220852E-12</v>
      </c>
      <c r="R198" s="59">
        <f t="shared" si="191"/>
        <v>293.33333333333729</v>
      </c>
      <c r="S198" s="59">
        <f ca="1">AVERAGE(OFFSET($R$3,0,0,'Données projet'!$E$9+1,1))-AVERAGE(OFFSET($H$3,0,0,'Données projet'!$E$9+1,1))</f>
        <v>241.84492910369795</v>
      </c>
      <c r="T198" s="59">
        <f t="shared" si="204"/>
        <v>338.04336767245667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0.23065558240177572</v>
      </c>
      <c r="AA198" s="21">
        <f>EXP(-LN(2)/25)*AA197+(1-EXP(-LN(2)/25))/(LN(2)/25)*Calculateur!V198*Calculateur!X198*VLOOKUP('Données projet'!$B$9,Paramètres!$A$1:$I$89,3,0)*0.475*44/12</f>
        <v>0.14324395456623104</v>
      </c>
      <c r="AB198" s="21">
        <f>EXP(-LN(2)/2)*AB197+(1-EXP(-LN(2)/2))/(LN(2)/2)*V198*Y198*VLOOKUP('Données projet'!$B$9,Paramètres!$A$1:$I$89,3,0)*0.475*44/12</f>
        <v>1.2642516288301402E-24</v>
      </c>
      <c r="AC198" s="22">
        <f t="shared" si="163"/>
        <v>0.37389953696800676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>
        <f>AI198*VLOOKUP('Données projet'!$B$10,Paramètres!$A$1:$I$89,3,0)*VLOOKUP('Données projet'!$B$10,Paramètres!$A$1:$I$89,5,0)</f>
        <v>0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370.12772664814923</v>
      </c>
      <c r="AO198" s="59">
        <f t="shared" si="205"/>
        <v>292.26503163353146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0.28489932408412932</v>
      </c>
      <c r="AV198" s="21">
        <f>EXP(-LN(2)/25)*AV197+(1-EXP(-LN(2)/25))/(LN(2)/25)*Calculateur!AQ198*Calculateur!AS198*VLOOKUP('Données projet'!$B$10,Paramètres!$A$1:$I$89,3,0)*0.475*44/12</f>
        <v>6.8482756158357222E-2</v>
      </c>
      <c r="AW198" s="21">
        <f>EXP(-LN(2)/2)*AW197+(1-EXP(-LN(2)/2))/(LN(2)/2)*AQ198*AT198*VLOOKUP('Données projet'!$B$10,Paramètres!$A$1:$I$89,3,0)*0.475*44/12</f>
        <v>1.1585262733203444E-24</v>
      </c>
      <c r="AX198" s="21">
        <f t="shared" si="166"/>
        <v>0.35338208024248652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>
        <f>BD198*VLOOKUP('Données projet'!$B$11,Paramètres!$A$1:$I$89,3,0)*VLOOKUP('Données projet'!$B$11,Paramètres!$A$1:$I$89,5,0)</f>
        <v>0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475.01366239340246</v>
      </c>
      <c r="BJ198" s="59">
        <f t="shared" si="206"/>
        <v>322.81767004794284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0.33121091863334839</v>
      </c>
      <c r="BQ198" s="21">
        <f>EXP(-LN(2)/25)*BQ197+(1-EXP(-LN(2)/25))/(LN(2)/25)*Calculateur!BL198*Calculateur!BN198*VLOOKUP('Données projet'!$B$11,Paramètres!$A$1:$I$89,3,0)*0.475*44/12</f>
        <v>0.11484710751039771</v>
      </c>
      <c r="BR198" s="21">
        <f>EXP(-LN(2)/2)*BR197+(1-EXP(-LN(2)/2))/(LN(2)/2)*BL198*BO198*VLOOKUP('Données projet'!$B$11,Paramètres!$A$1:$I$89,3,0)*0.475*44/12</f>
        <v>1.4847094123102211E-24</v>
      </c>
      <c r="BS198" s="22">
        <f t="shared" si="169"/>
        <v>0.44605802614374612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-1.1368683772161603E-13</v>
      </c>
      <c r="BZ198" s="13">
        <f>BY198*VLOOKUP('Données projet'!$B$12,Paramètres!$A$1:$I$89,3,0)*VLOOKUP('Données projet'!$B$12,Paramètres!$A$1:$I$89,5,0)</f>
        <v>-7.626113074366004E-14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254.8851926268614</v>
      </c>
      <c r="CE198" s="59">
        <f t="shared" si="207"/>
        <v>182.11500693273973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0.11601900433120114</v>
      </c>
      <c r="CL198" s="21">
        <f>EXP(-LN(2)/25)*CL197+(1-EXP(-LN(2)/25))/(LN(2)/25)*Calculateur!CG198*Calculateur!CI198*VLOOKUP('Données projet'!$B$12,Paramètres!$A$1:$I$89,3,0)*0.475*44/12</f>
        <v>3.9519839955794056E-2</v>
      </c>
      <c r="CM198" s="21">
        <f>EXP(-LN(2)/2)*CM197+(1-EXP(-LN(2)/2))/(LN(2)/2)*CG198*CJ198*VLOOKUP('Données projet'!$B$12,Paramètres!$A$1:$I$89,3,0)*0.475*44/12</f>
        <v>6.6159061479006555E-25</v>
      </c>
      <c r="CN198" s="22">
        <f t="shared" si="172"/>
        <v>0.15553884428699521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256.66666666666669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1.4210854715202004E-13</v>
      </c>
      <c r="O199" s="13">
        <f>N199*VLOOKUP('Données projet'!$B$9,Paramètres!$A$1:$I$89,3,0)*VLOOKUP('Données projet'!$B$9,Paramètres!$A$1:$I$89,5,0)</f>
        <v>1.4853185348329134E-13</v>
      </c>
      <c r="P199" s="13">
        <f t="shared" si="203"/>
        <v>2.1309431512949395E-12</v>
      </c>
      <c r="Q199" s="20">
        <f t="shared" si="162"/>
        <v>3.9700856333220852E-12</v>
      </c>
      <c r="R199" s="59">
        <f t="shared" si="191"/>
        <v>293.33333333333729</v>
      </c>
      <c r="S199" s="59">
        <f ca="1">AVERAGE(OFFSET($R$3,0,0,'Données projet'!$E$9+1,1))-AVERAGE(OFFSET($H$3,0,0,'Données projet'!$E$9+1,1))</f>
        <v>241.84492910369795</v>
      </c>
      <c r="T199" s="59">
        <f t="shared" si="204"/>
        <v>338.04336767245667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0.22613256711689059</v>
      </c>
      <c r="AA199" s="21">
        <f>EXP(-LN(2)/25)*AA198+(1-EXP(-LN(2)/25))/(LN(2)/25)*Calculateur!V199*Calculateur!X199*VLOOKUP('Données projet'!$B$9,Paramètres!$A$1:$I$89,3,0)*0.475*44/12</f>
        <v>0.13932694109574528</v>
      </c>
      <c r="AB199" s="21">
        <f>EXP(-LN(2)/2)*AB198+(1-EXP(-LN(2)/2))/(LN(2)/2)*V199*Y199*VLOOKUP('Données projet'!$B$9,Paramètres!$A$1:$I$89,3,0)*0.475*44/12</f>
        <v>8.9396089987193025E-25</v>
      </c>
      <c r="AC199" s="22">
        <f t="shared" si="163"/>
        <v>0.36545950821263584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>
        <f>AI199*VLOOKUP('Données projet'!$B$10,Paramètres!$A$1:$I$89,3,0)*VLOOKUP('Données projet'!$B$10,Paramètres!$A$1:$I$89,5,0)</f>
        <v>0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370.12772664814923</v>
      </c>
      <c r="AO199" s="59">
        <f t="shared" si="205"/>
        <v>292.26503163353146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0.27931262211026875</v>
      </c>
      <c r="AV199" s="21">
        <f>EXP(-LN(2)/25)*AV198+(1-EXP(-LN(2)/25))/(LN(2)/25)*Calculateur!AQ199*Calculateur!AS199*VLOOKUP('Données projet'!$B$10,Paramètres!$A$1:$I$89,3,0)*0.475*44/12</f>
        <v>6.6610091589855314E-2</v>
      </c>
      <c r="AW199" s="21">
        <f>EXP(-LN(2)/2)*AW198+(1-EXP(-LN(2)/2))/(LN(2)/2)*AQ199*AT199*VLOOKUP('Données projet'!$B$10,Paramètres!$A$1:$I$89,3,0)*0.475*44/12</f>
        <v>8.1920178404759521E-25</v>
      </c>
      <c r="AX199" s="21">
        <f t="shared" si="166"/>
        <v>0.34592271370012406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>
        <f>BD199*VLOOKUP('Données projet'!$B$11,Paramètres!$A$1:$I$89,3,0)*VLOOKUP('Données projet'!$B$11,Paramètres!$A$1:$I$89,5,0)</f>
        <v>0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475.01366239340246</v>
      </c>
      <c r="BJ199" s="59">
        <f t="shared" si="206"/>
        <v>322.81767004794284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0.3247160745376611</v>
      </c>
      <c r="BQ199" s="21">
        <f>EXP(-LN(2)/25)*BQ198+(1-EXP(-LN(2)/25))/(LN(2)/25)*Calculateur!BL199*Calculateur!BN199*VLOOKUP('Données projet'!$B$11,Paramètres!$A$1:$I$89,3,0)*0.475*44/12</f>
        <v>0.11170660731597899</v>
      </c>
      <c r="BR199" s="21">
        <f>EXP(-LN(2)/2)*BR198+(1-EXP(-LN(2)/2))/(LN(2)/2)*BL199*BO199*VLOOKUP('Données projet'!$B$11,Paramètres!$A$1:$I$89,3,0)*0.475*44/12</f>
        <v>1.0498480935360511E-24</v>
      </c>
      <c r="BS199" s="22">
        <f t="shared" si="169"/>
        <v>0.43642268185364008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-1.1368683772161603E-13</v>
      </c>
      <c r="BZ199" s="13">
        <f>BY199*VLOOKUP('Données projet'!$B$12,Paramètres!$A$1:$I$89,3,0)*VLOOKUP('Données projet'!$B$12,Paramètres!$A$1:$I$89,5,0)</f>
        <v>-7.626113074366004E-14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254.8851926268614</v>
      </c>
      <c r="CE199" s="59">
        <f t="shared" si="207"/>
        <v>182.11500693273973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0.1137439424208715</v>
      </c>
      <c r="CL199" s="21">
        <f>EXP(-LN(2)/25)*CL198+(1-EXP(-LN(2)/25))/(LN(2)/25)*Calculateur!CG199*Calculateur!CI199*VLOOKUP('Données projet'!$B$12,Paramètres!$A$1:$I$89,3,0)*0.475*44/12</f>
        <v>3.8439167853944807E-2</v>
      </c>
      <c r="CM199" s="21">
        <f>EXP(-LN(2)/2)*CM198+(1-EXP(-LN(2)/2))/(LN(2)/2)*CG199*CJ199*VLOOKUP('Données projet'!$B$12,Paramètres!$A$1:$I$89,3,0)*0.475*44/12</f>
        <v>4.6781521008743233E-25</v>
      </c>
      <c r="CN199" s="22">
        <f t="shared" si="172"/>
        <v>0.15218311027481632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256.66666666666669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1.4210854715202004E-13</v>
      </c>
      <c r="O200" s="13">
        <f>N200*VLOOKUP('Données projet'!$B$9,Paramètres!$A$1:$I$89,3,0)*VLOOKUP('Données projet'!$B$9,Paramètres!$A$1:$I$89,5,0)</f>
        <v>1.4853185348329134E-13</v>
      </c>
      <c r="P200" s="13">
        <f t="shared" si="203"/>
        <v>2.1309431512949395E-12</v>
      </c>
      <c r="Q200" s="20">
        <f t="shared" si="162"/>
        <v>3.9700856333220852E-12</v>
      </c>
      <c r="R200" s="59">
        <f t="shared" si="191"/>
        <v>293.33333333333729</v>
      </c>
      <c r="S200" s="59">
        <f ca="1">AVERAGE(OFFSET($R$3,0,0,'Données projet'!$E$9+1,1))-AVERAGE(OFFSET($H$3,0,0,'Données projet'!$E$9+1,1))</f>
        <v>241.84492910369795</v>
      </c>
      <c r="T200" s="59">
        <f t="shared" si="204"/>
        <v>338.04336767245667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0.22169824540297511</v>
      </c>
      <c r="AA200" s="21">
        <f>EXP(-LN(2)/25)*AA199+(1-EXP(-LN(2)/25))/(LN(2)/25)*Calculateur!V200*Calculateur!X200*VLOOKUP('Données projet'!$B$9,Paramètres!$A$1:$I$89,3,0)*0.475*44/12</f>
        <v>0.13551703856459674</v>
      </c>
      <c r="AB200" s="21">
        <f>EXP(-LN(2)/2)*AB199+(1-EXP(-LN(2)/2))/(LN(2)/2)*V200*Y200*VLOOKUP('Données projet'!$B$9,Paramètres!$A$1:$I$89,3,0)*0.475*44/12</f>
        <v>6.321258144150701E-25</v>
      </c>
      <c r="AC200" s="22">
        <f t="shared" si="163"/>
        <v>0.35721528396757185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>
        <f>AI200*VLOOKUP('Données projet'!$B$10,Paramètres!$A$1:$I$89,3,0)*VLOOKUP('Données projet'!$B$10,Paramètres!$A$1:$I$89,5,0)</f>
        <v>0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370.12772664814923</v>
      </c>
      <c r="AO200" s="59">
        <f t="shared" si="205"/>
        <v>292.26503163353146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0.27383547195456381</v>
      </c>
      <c r="AV200" s="21">
        <f>EXP(-LN(2)/25)*AV199+(1-EXP(-LN(2)/25))/(LN(2)/25)*Calculateur!AQ200*Calculateur!AS200*VLOOKUP('Données projet'!$B$10,Paramètres!$A$1:$I$89,3,0)*0.475*44/12</f>
        <v>6.4788635132458236E-2</v>
      </c>
      <c r="AW200" s="21">
        <f>EXP(-LN(2)/2)*AW199+(1-EXP(-LN(2)/2))/(LN(2)/2)*AQ200*AT200*VLOOKUP('Données projet'!$B$10,Paramètres!$A$1:$I$89,3,0)*0.475*44/12</f>
        <v>5.7926313666017229E-25</v>
      </c>
      <c r="AX200" s="21">
        <f t="shared" si="166"/>
        <v>0.33862410708702206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>
        <f>BD200*VLOOKUP('Données projet'!$B$11,Paramètres!$A$1:$I$89,3,0)*VLOOKUP('Données projet'!$B$11,Paramètres!$A$1:$I$89,5,0)</f>
        <v>0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475.01366239340246</v>
      </c>
      <c r="BJ200" s="59">
        <f t="shared" si="206"/>
        <v>322.81767004794284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0.31834859037322649</v>
      </c>
      <c r="BQ200" s="21">
        <f>EXP(-LN(2)/25)*BQ199+(1-EXP(-LN(2)/25))/(LN(2)/25)*Calculateur!BL200*Calculateur!BN200*VLOOKUP('Données projet'!$B$11,Paramètres!$A$1:$I$89,3,0)*0.475*44/12</f>
        <v>0.10865198426452838</v>
      </c>
      <c r="BR200" s="21">
        <f>EXP(-LN(2)/2)*BR199+(1-EXP(-LN(2)/2))/(LN(2)/2)*BL200*BO200*VLOOKUP('Données projet'!$B$11,Paramètres!$A$1:$I$89,3,0)*0.475*44/12</f>
        <v>7.4235470615511054E-25</v>
      </c>
      <c r="BS200" s="22">
        <f t="shared" si="169"/>
        <v>0.42700057463775487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-1.1368683772161603E-13</v>
      </c>
      <c r="BZ200" s="13">
        <f>BY200*VLOOKUP('Données projet'!$B$12,Paramètres!$A$1:$I$89,3,0)*VLOOKUP('Données projet'!$B$12,Paramètres!$A$1:$I$89,5,0)</f>
        <v>-7.626113074366004E-14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254.8851926268614</v>
      </c>
      <c r="CE200" s="59">
        <f t="shared" si="207"/>
        <v>182.11500693273973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0.11151349308695269</v>
      </c>
      <c r="CL200" s="21">
        <f>EXP(-LN(2)/25)*CL199+(1-EXP(-LN(2)/25))/(LN(2)/25)*Calculateur!CG200*Calculateur!CI200*VLOOKUP('Données projet'!$B$12,Paramètres!$A$1:$I$89,3,0)*0.475*44/12</f>
        <v>3.7388046787550699E-2</v>
      </c>
      <c r="CM200" s="21">
        <f>EXP(-LN(2)/2)*CM199+(1-EXP(-LN(2)/2))/(LN(2)/2)*CG200*CJ200*VLOOKUP('Données projet'!$B$12,Paramètres!$A$1:$I$89,3,0)*0.475*44/12</f>
        <v>3.3079530739503278E-25</v>
      </c>
      <c r="CN200" s="22">
        <f t="shared" si="172"/>
        <v>0.14890153987450339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256.66666666666669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1.4210854715202004E-13</v>
      </c>
      <c r="O201" s="13">
        <f>N201*VLOOKUP('Données projet'!$B$9,Paramètres!$A$1:$I$89,3,0)*VLOOKUP('Données projet'!$B$9,Paramètres!$A$1:$I$89,5,0)</f>
        <v>1.4853185348329134E-13</v>
      </c>
      <c r="P201" s="13">
        <f t="shared" si="203"/>
        <v>2.1309431512949395E-12</v>
      </c>
      <c r="Q201" s="20">
        <f t="shared" si="162"/>
        <v>3.9700856333220852E-12</v>
      </c>
      <c r="R201" s="59">
        <f t="shared" si="191"/>
        <v>293.33333333333729</v>
      </c>
      <c r="S201" s="59">
        <f ca="1">AVERAGE(OFFSET($R$3,0,0,'Données projet'!$E$9+1,1))-AVERAGE(OFFSET($H$3,0,0,'Données projet'!$E$9+1,1))</f>
        <v>241.84492910369795</v>
      </c>
      <c r="T201" s="59">
        <f t="shared" si="204"/>
        <v>338.04336767245667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0.21735087803320036</v>
      </c>
      <c r="AA201" s="21">
        <f>EXP(-LN(2)/25)*AA200+(1-EXP(-LN(2)/25))/(LN(2)/25)*Calculateur!V201*Calculateur!X201*VLOOKUP('Données projet'!$B$9,Paramètres!$A$1:$I$89,3,0)*0.475*44/12</f>
        <v>0.1318113180185165</v>
      </c>
      <c r="AB201" s="21">
        <f>EXP(-LN(2)/2)*AB200+(1-EXP(-LN(2)/2))/(LN(2)/2)*V201*Y201*VLOOKUP('Données projet'!$B$9,Paramètres!$A$1:$I$89,3,0)*0.475*44/12</f>
        <v>4.4698044993596513E-25</v>
      </c>
      <c r="AC201" s="22">
        <f t="shared" si="163"/>
        <v>0.34916219605171683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>
        <f>AI201*VLOOKUP('Données projet'!$B$10,Paramètres!$A$1:$I$89,3,0)*VLOOKUP('Données projet'!$B$10,Paramètres!$A$1:$I$89,5,0)</f>
        <v>0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370.12772664814923</v>
      </c>
      <c r="AO201" s="59">
        <f t="shared" si="205"/>
        <v>292.26503163353146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0.26846572537268054</v>
      </c>
      <c r="AV201" s="21">
        <f>EXP(-LN(2)/25)*AV200+(1-EXP(-LN(2)/25))/(LN(2)/25)*Calculateur!AQ201*Calculateur!AS201*VLOOKUP('Données projet'!$B$10,Paramètres!$A$1:$I$89,3,0)*0.475*44/12</f>
        <v>6.3016986497674926E-2</v>
      </c>
      <c r="AW201" s="21">
        <f>EXP(-LN(2)/2)*AW200+(1-EXP(-LN(2)/2))/(LN(2)/2)*AQ201*AT201*VLOOKUP('Données projet'!$B$10,Paramètres!$A$1:$I$89,3,0)*0.475*44/12</f>
        <v>4.0960089202379765E-25</v>
      </c>
      <c r="AX201" s="21">
        <f t="shared" si="166"/>
        <v>0.3314827118703555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>
        <f>BD201*VLOOKUP('Données projet'!$B$11,Paramètres!$A$1:$I$89,3,0)*VLOOKUP('Données projet'!$B$11,Paramètres!$A$1:$I$89,5,0)</f>
        <v>0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475.01366239340246</v>
      </c>
      <c r="BJ201" s="59">
        <f t="shared" si="206"/>
        <v>322.81767004794284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0.3121059686894746</v>
      </c>
      <c r="BQ201" s="21">
        <f>EXP(-LN(2)/25)*BQ200+(1-EXP(-LN(2)/25))/(LN(2)/25)*Calculateur!BL201*Calculateur!BN201*VLOOKUP('Données projet'!$B$11,Paramètres!$A$1:$I$89,3,0)*0.475*44/12</f>
        <v>0.10568089004105533</v>
      </c>
      <c r="BR201" s="21">
        <f>EXP(-LN(2)/2)*BR200+(1-EXP(-LN(2)/2))/(LN(2)/2)*BL201*BO201*VLOOKUP('Données projet'!$B$11,Paramètres!$A$1:$I$89,3,0)*0.475*44/12</f>
        <v>5.2492404676802553E-25</v>
      </c>
      <c r="BS201" s="22">
        <f t="shared" si="169"/>
        <v>0.4177868587305299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-1.1368683772161603E-13</v>
      </c>
      <c r="BZ201" s="13">
        <f>BY201*VLOOKUP('Données projet'!$B$12,Paramètres!$A$1:$I$89,3,0)*VLOOKUP('Données projet'!$B$12,Paramètres!$A$1:$I$89,5,0)</f>
        <v>-7.626113074366004E-14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254.8851926268614</v>
      </c>
      <c r="CE201" s="59">
        <f t="shared" si="207"/>
        <v>182.11500693273973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0.10932678150403226</v>
      </c>
      <c r="CL201" s="21">
        <f>EXP(-LN(2)/25)*CL200+(1-EXP(-LN(2)/25))/(LN(2)/25)*Calculateur!CG201*Calculateur!CI201*VLOOKUP('Données projet'!$B$12,Paramètres!$A$1:$I$89,3,0)*0.475*44/12</f>
        <v>3.6365668681993195E-2</v>
      </c>
      <c r="CM201" s="21">
        <f>EXP(-LN(2)/2)*CM200+(1-EXP(-LN(2)/2))/(LN(2)/2)*CG201*CJ201*VLOOKUP('Données projet'!$B$12,Paramètres!$A$1:$I$89,3,0)*0.475*44/12</f>
        <v>2.3390760504371617E-25</v>
      </c>
      <c r="CN201" s="22">
        <f t="shared" si="172"/>
        <v>0.14569245018602545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256.66666666666669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1.4210854715202004E-13</v>
      </c>
      <c r="O202" s="13">
        <f>N202*VLOOKUP('Données projet'!$B$9,Paramètres!$A$1:$I$89,3,0)*VLOOKUP('Données projet'!$B$9,Paramètres!$A$1:$I$89,5,0)</f>
        <v>1.4853185348329134E-13</v>
      </c>
      <c r="P202" s="13">
        <f t="shared" si="203"/>
        <v>2.1309431512949395E-12</v>
      </c>
      <c r="Q202" s="20">
        <f t="shared" si="162"/>
        <v>3.9700856333220852E-12</v>
      </c>
      <c r="R202" s="59">
        <f t="shared" si="191"/>
        <v>293.33333333333729</v>
      </c>
      <c r="S202" s="59">
        <f ca="1">AVERAGE(OFFSET($R$3,0,0,'Données projet'!$E$9+1,1))-AVERAGE(OFFSET($H$3,0,0,'Données projet'!$E$9+1,1))</f>
        <v>241.84492910369795</v>
      </c>
      <c r="T202" s="59">
        <f t="shared" si="204"/>
        <v>338.04336767245667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0.21308875988591461</v>
      </c>
      <c r="AA202" s="21">
        <f>EXP(-LN(2)/25)*AA201+(1-EXP(-LN(2)/25))/(LN(2)/25)*Calculateur!V202*Calculateur!X202*VLOOKUP('Données projet'!$B$9,Paramètres!$A$1:$I$89,3,0)*0.475*44/12</f>
        <v>0.12820693059564423</v>
      </c>
      <c r="AB202" s="21">
        <f>EXP(-LN(2)/2)*AB201+(1-EXP(-LN(2)/2))/(LN(2)/2)*V202*Y202*VLOOKUP('Données projet'!$B$9,Paramètres!$A$1:$I$89,3,0)*0.475*44/12</f>
        <v>3.1606290720753505E-25</v>
      </c>
      <c r="AC202" s="22">
        <f t="shared" si="163"/>
        <v>0.34129569048155883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>
        <f>AI202*VLOOKUP('Données projet'!$B$10,Paramètres!$A$1:$I$89,3,0)*VLOOKUP('Données projet'!$B$10,Paramètres!$A$1:$I$89,5,0)</f>
        <v>0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370.12772664814923</v>
      </c>
      <c r="AO202" s="59">
        <f t="shared" si="205"/>
        <v>292.26503163353146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0.263201276246046</v>
      </c>
      <c r="AV202" s="21">
        <f>EXP(-LN(2)/25)*AV201+(1-EXP(-LN(2)/25))/(LN(2)/25)*Calculateur!AQ202*Calculateur!AS202*VLOOKUP('Données projet'!$B$10,Paramètres!$A$1:$I$89,3,0)*0.475*44/12</f>
        <v>6.1293783687976715E-2</v>
      </c>
      <c r="AW202" s="21">
        <f>EXP(-LN(2)/2)*AW201+(1-EXP(-LN(2)/2))/(LN(2)/2)*AQ202*AT202*VLOOKUP('Données projet'!$B$10,Paramètres!$A$1:$I$89,3,0)*0.475*44/12</f>
        <v>2.8963156833008619E-25</v>
      </c>
      <c r="AX202" s="21">
        <f t="shared" si="166"/>
        <v>0.32449505993402272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>
        <f>BD202*VLOOKUP('Données projet'!$B$11,Paramètres!$A$1:$I$89,3,0)*VLOOKUP('Données projet'!$B$11,Paramètres!$A$1:$I$89,5,0)</f>
        <v>0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475.01366239340246</v>
      </c>
      <c r="BJ202" s="59">
        <f t="shared" si="206"/>
        <v>322.81767004794284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0.30598576100931785</v>
      </c>
      <c r="BQ202" s="21">
        <f>EXP(-LN(2)/25)*BQ201+(1-EXP(-LN(2)/25))/(LN(2)/25)*Calculateur!BL202*Calculateur!BN202*VLOOKUP('Données projet'!$B$11,Paramètres!$A$1:$I$89,3,0)*0.475*44/12</f>
        <v>0.1027910405453662</v>
      </c>
      <c r="BR202" s="21">
        <f>EXP(-LN(2)/2)*BR201+(1-EXP(-LN(2)/2))/(LN(2)/2)*BL202*BO202*VLOOKUP('Données projet'!$B$11,Paramètres!$A$1:$I$89,3,0)*0.475*44/12</f>
        <v>3.7117735307755527E-25</v>
      </c>
      <c r="BS202" s="22">
        <f t="shared" si="169"/>
        <v>0.40877680155468404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-1.1368683772161603E-13</v>
      </c>
      <c r="BZ202" s="13">
        <f>BY202*VLOOKUP('Données projet'!$B$12,Paramètres!$A$1:$I$89,3,0)*VLOOKUP('Données projet'!$B$12,Paramètres!$A$1:$I$89,5,0)</f>
        <v>-7.626113074366004E-14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254.8851926268614</v>
      </c>
      <c r="CE202" s="59">
        <f t="shared" si="207"/>
        <v>182.11500693273973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0.10718295000149053</v>
      </c>
      <c r="CL202" s="21">
        <f>EXP(-LN(2)/25)*CL201+(1-EXP(-LN(2)/25))/(LN(2)/25)*Calculateur!CG202*Calculateur!CI202*VLOOKUP('Données projet'!$B$12,Paramètres!$A$1:$I$89,3,0)*0.475*44/12</f>
        <v>3.5371247559496687E-2</v>
      </c>
      <c r="CM202" s="21">
        <f>EXP(-LN(2)/2)*CM201+(1-EXP(-LN(2)/2))/(LN(2)/2)*CG202*CJ202*VLOOKUP('Données projet'!$B$12,Paramètres!$A$1:$I$89,3,0)*0.475*44/12</f>
        <v>1.6539765369751639E-25</v>
      </c>
      <c r="CN202" s="22">
        <f t="shared" si="172"/>
        <v>0.14255419756098722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256.66666666666669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1.4210854715202004E-13</v>
      </c>
      <c r="O203" s="13">
        <f>N203*VLOOKUP('Données projet'!$B$9,Paramètres!$A$1:$I$89,3,0)*VLOOKUP('Données projet'!$B$9,Paramètres!$A$1:$I$89,5,0)</f>
        <v>1.4853185348329134E-13</v>
      </c>
      <c r="P203" s="13">
        <f t="shared" si="203"/>
        <v>2.1309431512949395E-12</v>
      </c>
      <c r="Q203" s="20">
        <f t="shared" si="162"/>
        <v>3.9700856333220852E-12</v>
      </c>
      <c r="R203" s="59">
        <f t="shared" si="191"/>
        <v>293.33333333333729</v>
      </c>
      <c r="S203" s="59">
        <f ca="1">AVERAGE(OFFSET($R$3,0,0,'Données projet'!$E$9+1,1))-AVERAGE(OFFSET($H$3,0,0,'Données projet'!$E$9+1,1))</f>
        <v>241.84492910369795</v>
      </c>
      <c r="T203" s="59">
        <f t="shared" si="204"/>
        <v>338.04336767245667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0.20891021927586176</v>
      </c>
      <c r="AA203" s="21">
        <f>EXP(-LN(2)/25)*AA202+(1-EXP(-LN(2)/25))/(LN(2)/25)*Calculateur!V203*Calculateur!X203*VLOOKUP('Données projet'!$B$9,Paramètres!$A$1:$I$89,3,0)*0.475*44/12</f>
        <v>0.12470110533639688</v>
      </c>
      <c r="AB203" s="21">
        <f>EXP(-LN(2)/2)*AB202+(1-EXP(-LN(2)/2))/(LN(2)/2)*V203*Y203*VLOOKUP('Données projet'!$B$9,Paramètres!$A$1:$I$89,3,0)*0.475*44/12</f>
        <v>2.2349022496798256E-25</v>
      </c>
      <c r="AC203" s="22">
        <f t="shared" si="163"/>
        <v>0.33361132461225862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>
        <f>AI203*VLOOKUP('Données projet'!$B$10,Paramètres!$A$1:$I$89,3,0)*VLOOKUP('Données projet'!$B$10,Paramètres!$A$1:$I$89,5,0)</f>
        <v>0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370.12772664814923</v>
      </c>
      <c r="AO203" s="59">
        <f t="shared" si="205"/>
        <v>292.26503163353146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0.25804005975578787</v>
      </c>
      <c r="AV203" s="21">
        <f>EXP(-LN(2)/25)*AV202+(1-EXP(-LN(2)/25))/(LN(2)/25)*Calculateur!AQ203*Calculateur!AS203*VLOOKUP('Données projet'!$B$10,Paramètres!$A$1:$I$89,3,0)*0.475*44/12</f>
        <v>5.9617701949728999E-2</v>
      </c>
      <c r="AW203" s="21">
        <f>EXP(-LN(2)/2)*AW202+(1-EXP(-LN(2)/2))/(LN(2)/2)*AQ203*AT203*VLOOKUP('Données projet'!$B$10,Paramètres!$A$1:$I$89,3,0)*0.475*44/12</f>
        <v>2.0480044601189885E-25</v>
      </c>
      <c r="AX203" s="21">
        <f t="shared" si="166"/>
        <v>0.31765776170551685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>
        <f>BD203*VLOOKUP('Données projet'!$B$11,Paramètres!$A$1:$I$89,3,0)*VLOOKUP('Données projet'!$B$11,Paramètres!$A$1:$I$89,5,0)</f>
        <v>0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475.01366239340246</v>
      </c>
      <c r="BJ203" s="59">
        <f t="shared" si="206"/>
        <v>322.81767004794284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0.29998556686881089</v>
      </c>
      <c r="BQ203" s="21">
        <f>EXP(-LN(2)/25)*BQ202+(1-EXP(-LN(2)/25))/(LN(2)/25)*Calculateur!BL203*Calculateur!BN203*VLOOKUP('Données projet'!$B$11,Paramètres!$A$1:$I$89,3,0)*0.475*44/12</f>
        <v>9.9980214136107262E-2</v>
      </c>
      <c r="BR203" s="21">
        <f>EXP(-LN(2)/2)*BR202+(1-EXP(-LN(2)/2))/(LN(2)/2)*BL203*BO203*VLOOKUP('Données projet'!$B$11,Paramètres!$A$1:$I$89,3,0)*0.475*44/12</f>
        <v>2.6246202338401276E-25</v>
      </c>
      <c r="BS203" s="22">
        <f t="shared" si="169"/>
        <v>0.39996578100491814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-1.1368683772161603E-13</v>
      </c>
      <c r="BZ203" s="13">
        <f>BY203*VLOOKUP('Données projet'!$B$12,Paramètres!$A$1:$I$89,3,0)*VLOOKUP('Données projet'!$B$12,Paramètres!$A$1:$I$89,5,0)</f>
        <v>-7.626113074366004E-14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254.8851926268614</v>
      </c>
      <c r="CE203" s="59">
        <f t="shared" si="207"/>
        <v>182.11500693273973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0.10508115772710554</v>
      </c>
      <c r="CL203" s="21">
        <f>EXP(-LN(2)/25)*CL202+(1-EXP(-LN(2)/25))/(LN(2)/25)*Calculateur!CG203*Calculateur!CI203*VLOOKUP('Données projet'!$B$12,Paramètres!$A$1:$I$89,3,0)*0.475*44/12</f>
        <v>3.4404018934889181E-2</v>
      </c>
      <c r="CM203" s="21">
        <f>EXP(-LN(2)/2)*CM202+(1-EXP(-LN(2)/2))/(LN(2)/2)*CG203*CJ203*VLOOKUP('Données projet'!$B$12,Paramètres!$A$1:$I$89,3,0)*0.475*44/12</f>
        <v>1.1695380252185808E-25</v>
      </c>
      <c r="CN203" s="22">
        <f t="shared" si="172"/>
        <v>0.13948517666199473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1.325614599907154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1.244502252163008</v>
      </c>
      <c r="BA205" s="82">
        <f>EXP(LN('Données projet'!B88)/'Données projet'!A88)</f>
        <v>1.2392705892426346</v>
      </c>
      <c r="BV205" s="82">
        <f>EXP(LN('Données projet'!B114)/'Données projet'!A114)</f>
        <v>1.1852335095914694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90" zoomScaleNormal="90" workbookViewId="0">
      <selection activeCell="N10" sqref="N10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Chêne chevelu</v>
      </c>
      <c r="B6" s="146">
        <f>'Données projet'!D9</f>
        <v>2.5440000000000005</v>
      </c>
      <c r="C6" s="147">
        <f ca="1">IF(OR('Données projet'!B9="",'Données projet'!C9="",'Données projet'!C9=0%),0,Calculateur!S3)</f>
        <v>241.84492910369795</v>
      </c>
      <c r="D6" s="147">
        <f>IF(OR('Données projet'!B9="",'Données projet'!C9="",'Données projet'!C9=0%),0,Calculateur!T3)</f>
        <v>338.04336767245667</v>
      </c>
      <c r="E6" s="147">
        <f ca="1">MIN(C6,D6)</f>
        <v>241.84492910369795</v>
      </c>
      <c r="F6" s="147">
        <f ca="1">E6*B6</f>
        <v>615.25349963980773</v>
      </c>
      <c r="G6" s="147">
        <f ca="1">F6*(100%-'Données projet'!$C$24)*(100%-'Données projet'!$C$25)*(100%-'Données projet'!$C$26)*(100%-'Données projet'!$C$27)</f>
        <v>553.72814967582701</v>
      </c>
      <c r="H6" s="148">
        <f>IF(OR('Données projet'!B9="",'Données projet'!C9="",'Données projet'!C9=0%),0,AVERAGE(Calculateur!$AC$3:$AC$33)*B6)</f>
        <v>18.227546393102067</v>
      </c>
      <c r="I6" s="149">
        <f>H6*(100%-'Données projet'!$C$24)*(100%-'Données projet'!$C$25)*(100%-'Données projet'!$C$26)*(100%-'Données projet'!$C$27)</f>
        <v>16.404791753791862</v>
      </c>
      <c r="J6" s="150">
        <f>IF(OR('Données projet'!B9="",'Données projet'!C9="",'Données projet'!C9=0%),0,SUM(Calculateur!$V$3:$V$33)*VLOOKUP('Données projet'!$B$9,Paramètres!$A$1:$I$89,9,0)*B6)</f>
        <v>76.23846153846155</v>
      </c>
      <c r="K6" s="151">
        <f>J6*(100%-'Données projet'!$C$24)*(100%-'Données projet'!$C$25)*(100%-'Données projet'!$C$26)*(100%-'Données projet'!$C$27)</f>
        <v>68.614615384615391</v>
      </c>
      <c r="L6" s="152">
        <f ca="1">G6+I6+K6</f>
        <v>638.74755681423426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Pin laricio</v>
      </c>
      <c r="B7" s="154">
        <f>'Données projet'!D10</f>
        <v>2.5440000000000005</v>
      </c>
      <c r="C7" s="147">
        <f ca="1">IF(OR('Données projet'!B10="",'Données projet'!C10="",'Données projet'!C10=0%),0,Calculateur!AN3)</f>
        <v>370.12772664814923</v>
      </c>
      <c r="D7" s="147">
        <f>IF(OR('Données projet'!B10="",'Données projet'!C10="",'Données projet'!C10=0%),0,Calculateur!AO3)</f>
        <v>292.26503163353146</v>
      </c>
      <c r="E7" s="147">
        <f t="shared" ref="E7:E15" ca="1" si="0">MIN(C7,D7)</f>
        <v>292.26503163353146</v>
      </c>
      <c r="F7" s="147">
        <f t="shared" ref="F7:F15" ca="1" si="1">E7*B7</f>
        <v>743.52224047570417</v>
      </c>
      <c r="G7" s="147">
        <f ca="1">F7*(100%-'Données projet'!$C$24)*(100%-'Données projet'!$C$25)*(100%-'Données projet'!$C$26)*(100%-'Données projet'!$C$27)</f>
        <v>669.17001642813375</v>
      </c>
      <c r="H7" s="155">
        <f>IF(OR('Données projet'!B10="",'Données projet'!C10="",'Données projet'!C10=0%),0,AVERAGE(Calculateur!$AX$3:$AX$33)*B7)</f>
        <v>7.3503058565927786</v>
      </c>
      <c r="I7" s="149">
        <f>H7*(100%-'Données projet'!$C$24)*(100%-'Données projet'!$C$25)*(100%-'Données projet'!$C$26)*(100%-'Données projet'!$C$27)</f>
        <v>6.615275270933501</v>
      </c>
      <c r="J7" s="150">
        <f>IF(OR('Données projet'!B10="",'Données projet'!C10="",'Données projet'!C10=0%),0,SUM(Calculateur!$AQ$3:$AQ$33)*VLOOKUP('Données projet'!$B$10,Paramètres!$A$1:$I$89,9,0)*B7)</f>
        <v>73.292640000000006</v>
      </c>
      <c r="K7" s="151">
        <f>J7*(100%-'Données projet'!$C$24)*(100%-'Données projet'!$C$25)*(100%-'Données projet'!$C$26)*(100%-'Données projet'!$C$27)</f>
        <v>65.963376000000011</v>
      </c>
      <c r="L7" s="152">
        <f t="shared" ref="L7:L15" ca="1" si="2">G7+I7+K7</f>
        <v>741.74866769906725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>Cormier</v>
      </c>
      <c r="B8" s="154">
        <f>'Données projet'!D11</f>
        <v>0.63600000000000012</v>
      </c>
      <c r="C8" s="147">
        <f ca="1">IF(OR('Données projet'!B11="",'Données projet'!C11="",'Données projet'!C11=0%),0,Calculateur!BI3)</f>
        <v>475.01366239340246</v>
      </c>
      <c r="D8" s="147">
        <f>IF(OR('Données projet'!B11="",'Données projet'!C11="",'Données projet'!C11=0%),0,Calculateur!BJ3)</f>
        <v>322.81767004794284</v>
      </c>
      <c r="E8" s="147">
        <f t="shared" ca="1" si="0"/>
        <v>322.81767004794284</v>
      </c>
      <c r="F8" s="147">
        <f t="shared" ca="1" si="1"/>
        <v>205.31203815049167</v>
      </c>
      <c r="G8" s="147">
        <f ca="1">F8*(100%-'Données projet'!$C$24)*(100%-'Données projet'!$C$25)*(100%-'Données projet'!$C$26)*(100%-'Données projet'!$C$27)</f>
        <v>184.78083433544251</v>
      </c>
      <c r="H8" s="155">
        <f>IF(OR('Données projet'!B11="",'Données projet'!C11="",'Données projet'!C11=0%),0,AVERAGE(Calculateur!$BS$3:$BS$33)*B8)</f>
        <v>2.5601407251313364</v>
      </c>
      <c r="I8" s="149">
        <f>H8*(100%-'Données projet'!$C$24)*(100%-'Données projet'!$C$25)*(100%-'Données projet'!$C$26)*(100%-'Données projet'!$C$27)</f>
        <v>2.3041266526182027</v>
      </c>
      <c r="J8" s="150">
        <f>IF(OR('Données projet'!B11="",'Données projet'!C11="",'Données projet'!C11=0%),0,SUM(Calculateur!$BL$3:$BL$33)*VLOOKUP('Données projet'!$B$11,Paramètres!$A$1:$I$89,9,0)*B8)</f>
        <v>9.8580000000000023</v>
      </c>
      <c r="K8" s="151">
        <f>J8*(100%-'Données projet'!$C$24)*(100%-'Données projet'!$C$25)*(100%-'Données projet'!$C$26)*(100%-'Données projet'!$C$27)</f>
        <v>8.872200000000003</v>
      </c>
      <c r="L8" s="152">
        <f t="shared" ca="1" si="2"/>
        <v>195.95716098806071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>Tilleul</v>
      </c>
      <c r="B9" s="154">
        <f>'Données projet'!D12</f>
        <v>0.63600000000000012</v>
      </c>
      <c r="C9" s="147">
        <f ca="1">IF(OR('Données projet'!B12="",'Données projet'!C12="",'Données projet'!C12=0%),0,Calculateur!CD3)</f>
        <v>254.8851926268614</v>
      </c>
      <c r="D9" s="147">
        <f>IF(OR('Données projet'!B12="",'Données projet'!C12="",'Données projet'!C12=0%),0,Calculateur!CE3)</f>
        <v>182.11500693273973</v>
      </c>
      <c r="E9" s="147">
        <f t="shared" ca="1" si="0"/>
        <v>182.11500693273973</v>
      </c>
      <c r="F9" s="147">
        <f t="shared" ca="1" si="1"/>
        <v>115.82514440922249</v>
      </c>
      <c r="G9" s="147">
        <f ca="1">F9*(100%-'Données projet'!$C$24)*(100%-'Données projet'!$C$25)*(100%-'Données projet'!$C$26)*(100%-'Données projet'!$C$27)</f>
        <v>104.24262996830024</v>
      </c>
      <c r="H9" s="155">
        <f>IF(OR('Données projet'!B12="",'Données projet'!C12="",'Données projet'!C12=0%),0,AVERAGE(Calculateur!$CN$3:$CN$33)*B9)</f>
        <v>0.53200084153205485</v>
      </c>
      <c r="I9" s="149">
        <f>H9*(100%-'Données projet'!$C$24)*(100%-'Données projet'!$C$25)*(100%-'Données projet'!$C$26)*(100%-'Données projet'!$C$27)</f>
        <v>0.47880075737884936</v>
      </c>
      <c r="J9" s="150">
        <f>IF(OR('Données projet'!B12="",'Données projet'!C12="",'Données projet'!C12=0%),0,SUM(Calculateur!$CG$3:$CG$33)*VLOOKUP('Données projet'!$B$12,Paramètres!$A$1:$I$89,9,0)*B9)</f>
        <v>4.6110000000000007</v>
      </c>
      <c r="K9" s="151">
        <f>J9*(100%-'Données projet'!$C$24)*(100%-'Données projet'!$C$25)*(100%-'Données projet'!$C$26)*(100%-'Données projet'!$C$27)</f>
        <v>4.1499000000000006</v>
      </c>
      <c r="L9" s="152">
        <f t="shared" ca="1" si="2"/>
        <v>108.87133072567909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1679.9129226752259</v>
      </c>
      <c r="G16" s="166">
        <f t="shared" ca="1" si="3"/>
        <v>1511.9216304077033</v>
      </c>
      <c r="H16" s="167">
        <f t="shared" si="3"/>
        <v>28.66999381635824</v>
      </c>
      <c r="I16" s="167">
        <f t="shared" si="3"/>
        <v>25.802994434722414</v>
      </c>
      <c r="J16" s="168">
        <f t="shared" si="3"/>
        <v>164.00010153846154</v>
      </c>
      <c r="K16" s="168">
        <f t="shared" si="3"/>
        <v>147.60009138461541</v>
      </c>
      <c r="L16" s="169">
        <f t="shared" ca="1" si="3"/>
        <v>1685.3247162270413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Chêne chevelu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Pin laricio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>Cormier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>Tilleul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80" zoomScaleNormal="80" workbookViewId="0">
      <selection activeCell="V34" sqref="V34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Chêne chevelu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-783.88342172992998</v>
      </c>
      <c r="U10" s="178">
        <f>'Données projet'!D9</f>
        <v>2.5440000000000005</v>
      </c>
      <c r="V10" s="177">
        <f>U10*T10</f>
        <v>-1994.1994248809422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Pin laricio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-59.963673976649829</v>
      </c>
      <c r="U11" s="178">
        <f>'Données projet'!D10</f>
        <v>2.5440000000000005</v>
      </c>
      <c r="V11" s="177">
        <f t="shared" ref="V11" si="0">U11*T11</f>
        <v>-152.5475865965972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Cormier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-3974.52664427535</v>
      </c>
      <c r="U12" s="178">
        <f>'Données projet'!D11</f>
        <v>0.63600000000000012</v>
      </c>
      <c r="V12" s="177">
        <f t="shared" ref="V12:V19" si="1">U12*T12</f>
        <v>-2527.7989457591229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Tilleul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-1978.4241200779406</v>
      </c>
      <c r="U13" s="178">
        <f>'Données projet'!D12</f>
        <v>0.63600000000000012</v>
      </c>
      <c r="V13" s="177">
        <f t="shared" si="1"/>
        <v>-1258.2777403695704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Chêne chevelu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>
        <f>1300*(0.68+1.62)</f>
        <v>2990.0000000000005</v>
      </c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0</v>
      </c>
      <c r="I20" s="191">
        <f>(4000+763.2+13195+3412.5+2957.5+7735+495+546+6121)/6.36</f>
        <v>6167.4842767295586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f>(3816+457)/6.36</f>
        <v>671.8553459119496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2</v>
      </c>
      <c r="I22" s="191">
        <f>(4356.6+522)/6.36</f>
        <v>767.07547169811323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15</v>
      </c>
      <c r="B23" s="181">
        <f>'Données projet'!D36</f>
        <v>21.794871794871796</v>
      </c>
      <c r="C23" s="193">
        <v>2</v>
      </c>
      <c r="D23" s="182">
        <f>B23*C23</f>
        <v>43.589743589743591</v>
      </c>
      <c r="E23" s="193"/>
      <c r="F23" s="230"/>
      <c r="H23" s="190">
        <v>3</v>
      </c>
      <c r="I23" s="191">
        <f>(5183.4+621)/6.36</f>
        <v>912.64150943396214</v>
      </c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-58800.875061600222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20</v>
      </c>
      <c r="B24" s="181">
        <f>'Données projet'!D37</f>
        <v>32.051282051282051</v>
      </c>
      <c r="C24" s="193">
        <v>10</v>
      </c>
      <c r="D24" s="182">
        <f t="shared" ref="D24:D42" si="2">B24*C24</f>
        <v>320.5128205128205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25</v>
      </c>
      <c r="B25" s="181">
        <f>'Données projet'!D38</f>
        <v>33.333333333333336</v>
      </c>
      <c r="C25" s="193">
        <v>10</v>
      </c>
      <c r="D25" s="182">
        <f t="shared" si="2"/>
        <v>333.33333333333337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>
        <v>0</v>
      </c>
      <c r="Q25" s="234"/>
      <c r="R25" s="23"/>
      <c r="S25" s="186" t="s">
        <v>266</v>
      </c>
      <c r="T25" s="299">
        <f ca="1">T23-T24</f>
        <v>-58800.875061600222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30</v>
      </c>
      <c r="B26" s="181">
        <f>'Données projet'!D39</f>
        <v>32.692307692307693</v>
      </c>
      <c r="C26" s="193">
        <v>25</v>
      </c>
      <c r="D26" s="182">
        <f t="shared" si="2"/>
        <v>817.30769230769238</v>
      </c>
      <c r="E26" s="193"/>
      <c r="F26" s="233"/>
      <c r="G26" s="229"/>
      <c r="H26" s="190"/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35</v>
      </c>
      <c r="B27" s="181">
        <f>'Données projet'!D40</f>
        <v>31.410256410256409</v>
      </c>
      <c r="C27" s="193">
        <v>25</v>
      </c>
      <c r="D27" s="182">
        <f t="shared" si="2"/>
        <v>785.25641025641016</v>
      </c>
      <c r="E27" s="193"/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40</v>
      </c>
      <c r="B28" s="181">
        <f>'Données projet'!D41</f>
        <v>28.846153846153847</v>
      </c>
      <c r="C28" s="193">
        <v>30</v>
      </c>
      <c r="D28" s="182">
        <f t="shared" si="2"/>
        <v>865.38461538461536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45</v>
      </c>
      <c r="B29" s="181">
        <f>'Données projet'!D42</f>
        <v>26.282051282051281</v>
      </c>
      <c r="C29" s="193">
        <v>40</v>
      </c>
      <c r="D29" s="182">
        <f t="shared" si="2"/>
        <v>1051.2820512820513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50</v>
      </c>
      <c r="B30" s="181">
        <f>'Données projet'!D43</f>
        <v>23.717948717948715</v>
      </c>
      <c r="C30" s="193">
        <v>60</v>
      </c>
      <c r="D30" s="182">
        <f t="shared" si="2"/>
        <v>1423.0769230769229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55</v>
      </c>
      <c r="B31" s="181">
        <f>'Données projet'!D44</f>
        <v>165.38461538461539</v>
      </c>
      <c r="C31" s="193">
        <v>75</v>
      </c>
      <c r="D31" s="182">
        <f t="shared" si="2"/>
        <v>12403.846153846154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Pin laricio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>
        <f>1300*(0.68+0.45)</f>
        <v>1469.0000000000002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22</v>
      </c>
      <c r="B54" s="181">
        <f>'Données projet'!D62</f>
        <v>16</v>
      </c>
      <c r="C54" s="191">
        <v>2</v>
      </c>
      <c r="D54" s="179">
        <f>B54*C54</f>
        <v>32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25</v>
      </c>
      <c r="B55" s="181">
        <f>'Données projet'!D63</f>
        <v>17</v>
      </c>
      <c r="C55" s="191">
        <v>1.95</v>
      </c>
      <c r="D55" s="179">
        <f t="shared" ref="D55:D73" si="4">B55*C55</f>
        <v>33.15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30</v>
      </c>
      <c r="B56" s="181">
        <f>'Données projet'!D64</f>
        <v>34</v>
      </c>
      <c r="C56" s="191">
        <v>1.95</v>
      </c>
      <c r="D56" s="179">
        <f t="shared" si="4"/>
        <v>66.3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35</v>
      </c>
      <c r="B57" s="181">
        <f>'Données projet'!D65</f>
        <v>41</v>
      </c>
      <c r="C57" s="191">
        <v>4.4800000000000004</v>
      </c>
      <c r="D57" s="179">
        <f t="shared" si="4"/>
        <v>183.68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40</v>
      </c>
      <c r="B58" s="181">
        <f>'Données projet'!D66</f>
        <v>41</v>
      </c>
      <c r="C58" s="191">
        <v>4.4800000000000004</v>
      </c>
      <c r="D58" s="179">
        <f t="shared" si="4"/>
        <v>183.68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45</v>
      </c>
      <c r="B59" s="181">
        <f>'Données projet'!D67</f>
        <v>53</v>
      </c>
      <c r="C59" s="191">
        <v>4.8</v>
      </c>
      <c r="D59" s="179">
        <f t="shared" si="4"/>
        <v>254.39999999999998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50</v>
      </c>
      <c r="B60" s="181">
        <f>'Données projet'!D68</f>
        <v>53</v>
      </c>
      <c r="C60" s="191">
        <v>4.8</v>
      </c>
      <c r="D60" s="179">
        <f t="shared" si="4"/>
        <v>254.39999999999998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58</v>
      </c>
      <c r="B61" s="181">
        <f>'Données projet'!D69</f>
        <v>78</v>
      </c>
      <c r="C61" s="191">
        <v>27</v>
      </c>
      <c r="D61" s="179">
        <f t="shared" si="4"/>
        <v>2106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66</v>
      </c>
      <c r="B62" s="181">
        <f>'Données projet'!D70</f>
        <v>65</v>
      </c>
      <c r="C62" s="191">
        <v>27</v>
      </c>
      <c r="D62" s="179">
        <f t="shared" si="4"/>
        <v>1755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74</v>
      </c>
      <c r="B63" s="181">
        <f>'Données projet'!D71</f>
        <v>37</v>
      </c>
      <c r="C63" s="191">
        <v>45</v>
      </c>
      <c r="D63" s="179">
        <f t="shared" si="4"/>
        <v>1665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82</v>
      </c>
      <c r="B64" s="181">
        <f>'Données projet'!D72</f>
        <v>567</v>
      </c>
      <c r="C64" s="191">
        <v>60</v>
      </c>
      <c r="D64" s="179">
        <f t="shared" si="4"/>
        <v>34020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>Cormier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>
        <f>1300*(0.68+3.18)</f>
        <v>5018</v>
      </c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20</v>
      </c>
      <c r="B85" s="181">
        <f>'Données projet'!D88</f>
        <v>6</v>
      </c>
      <c r="C85" s="191">
        <v>1.3</v>
      </c>
      <c r="D85" s="179">
        <f>B85*C85</f>
        <v>7.8000000000000007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25</v>
      </c>
      <c r="B86" s="181">
        <f>'Données projet'!D89</f>
        <v>28</v>
      </c>
      <c r="C86" s="191">
        <v>1.3</v>
      </c>
      <c r="D86" s="179">
        <f t="shared" ref="D86:D104" si="6">B86*C86</f>
        <v>36.4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30</v>
      </c>
      <c r="B87" s="181">
        <f>'Données projet'!D90</f>
        <v>28</v>
      </c>
      <c r="C87" s="191">
        <v>2.2799999999999998</v>
      </c>
      <c r="D87" s="179">
        <f t="shared" si="6"/>
        <v>63.839999999999996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35</v>
      </c>
      <c r="B88" s="181">
        <f>'Données projet'!D91</f>
        <v>28</v>
      </c>
      <c r="C88" s="191">
        <v>2.2799999999999998</v>
      </c>
      <c r="D88" s="179">
        <f t="shared" si="6"/>
        <v>63.839999999999996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40</v>
      </c>
      <c r="B89" s="181">
        <f>'Données projet'!D92</f>
        <v>28</v>
      </c>
      <c r="C89" s="191">
        <v>2.2799999999999998</v>
      </c>
      <c r="D89" s="179">
        <f t="shared" si="6"/>
        <v>63.839999999999996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str">
        <f>IF(O88+1&lt;=MIN('Données projet'!$E$9:$E$18),O88+1,"STOP")</f>
        <v>STOP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45</v>
      </c>
      <c r="B90" s="181">
        <f>'Données projet'!D93</f>
        <v>28</v>
      </c>
      <c r="C90" s="191">
        <v>2.2799999999999998</v>
      </c>
      <c r="D90" s="179">
        <f t="shared" si="6"/>
        <v>63.839999999999996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50</v>
      </c>
      <c r="B91" s="181">
        <f>'Données projet'!D94</f>
        <v>28</v>
      </c>
      <c r="C91" s="191">
        <v>2.83</v>
      </c>
      <c r="D91" s="179">
        <f t="shared" si="6"/>
        <v>79.240000000000009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55</v>
      </c>
      <c r="B92" s="181">
        <f>'Données projet'!D95</f>
        <v>28</v>
      </c>
      <c r="C92" s="191">
        <v>2.83</v>
      </c>
      <c r="D92" s="179">
        <f t="shared" si="6"/>
        <v>79.240000000000009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60</v>
      </c>
      <c r="B93" s="181">
        <f>'Données projet'!D96</f>
        <v>28</v>
      </c>
      <c r="C93" s="191">
        <v>2.83</v>
      </c>
      <c r="D93" s="179">
        <f t="shared" si="6"/>
        <v>79.240000000000009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65</v>
      </c>
      <c r="B94" s="181">
        <f>'Données projet'!D97</f>
        <v>28</v>
      </c>
      <c r="C94" s="191">
        <v>40.5</v>
      </c>
      <c r="D94" s="179">
        <f t="shared" si="6"/>
        <v>1134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70</v>
      </c>
      <c r="B95" s="181">
        <f>'Données projet'!D98</f>
        <v>28</v>
      </c>
      <c r="C95" s="191">
        <v>40.5</v>
      </c>
      <c r="D95" s="179">
        <f t="shared" si="6"/>
        <v>1134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75</v>
      </c>
      <c r="B96" s="181">
        <f>'Données projet'!D99</f>
        <v>28</v>
      </c>
      <c r="C96" s="191">
        <v>40.5</v>
      </c>
      <c r="D96" s="179">
        <f t="shared" si="6"/>
        <v>1134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80</v>
      </c>
      <c r="B97" s="181">
        <f>'Données projet'!D100</f>
        <v>28</v>
      </c>
      <c r="C97" s="191">
        <v>41</v>
      </c>
      <c r="D97" s="179">
        <f t="shared" si="6"/>
        <v>1148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85</v>
      </c>
      <c r="B98" s="181">
        <f>'Données projet'!D101</f>
        <v>28</v>
      </c>
      <c r="C98" s="191">
        <v>41</v>
      </c>
      <c r="D98" s="179">
        <f t="shared" si="6"/>
        <v>1148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90</v>
      </c>
      <c r="B99" s="181">
        <f>'Données projet'!D102</f>
        <v>28</v>
      </c>
      <c r="C99" s="191">
        <v>41</v>
      </c>
      <c r="D99" s="179">
        <f t="shared" si="6"/>
        <v>1148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95</v>
      </c>
      <c r="B100" s="181">
        <f>'Données projet'!D103</f>
        <v>28</v>
      </c>
      <c r="C100" s="191">
        <v>41</v>
      </c>
      <c r="D100" s="179">
        <f t="shared" si="6"/>
        <v>1148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100</v>
      </c>
      <c r="B101" s="181">
        <f>'Données projet'!D104</f>
        <v>333</v>
      </c>
      <c r="C101" s="191">
        <v>170.75</v>
      </c>
      <c r="D101" s="179">
        <f t="shared" si="6"/>
        <v>56859.75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>Tilleul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f>1300*(0.68+1.45)</f>
        <v>2769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25</v>
      </c>
      <c r="B116" s="181">
        <f>'Données projet'!D114</f>
        <v>8</v>
      </c>
      <c r="C116" s="191">
        <v>1.3</v>
      </c>
      <c r="D116" s="179">
        <f>B116*C116</f>
        <v>10.4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30</v>
      </c>
      <c r="B117" s="181">
        <f>'Données projet'!D115</f>
        <v>21</v>
      </c>
      <c r="C117" s="191">
        <v>1.3</v>
      </c>
      <c r="D117" s="179">
        <f t="shared" ref="D117:D135" si="8">B117*C117</f>
        <v>27.3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35</v>
      </c>
      <c r="B118" s="181">
        <f>'Données projet'!D116</f>
        <v>21</v>
      </c>
      <c r="C118" s="191">
        <v>2.2799999999999998</v>
      </c>
      <c r="D118" s="179">
        <f t="shared" si="8"/>
        <v>47.879999999999995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40</v>
      </c>
      <c r="B119" s="181">
        <f>'Données projet'!D117</f>
        <v>21</v>
      </c>
      <c r="C119" s="191">
        <v>2.2799999999999998</v>
      </c>
      <c r="D119" s="179">
        <f t="shared" si="8"/>
        <v>47.879999999999995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45</v>
      </c>
      <c r="B120" s="181">
        <f>'Données projet'!D118</f>
        <v>21</v>
      </c>
      <c r="C120" s="191">
        <v>2.2799999999999998</v>
      </c>
      <c r="D120" s="179">
        <f t="shared" si="8"/>
        <v>47.879999999999995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50</v>
      </c>
      <c r="B121" s="181">
        <f>'Données projet'!D119</f>
        <v>21</v>
      </c>
      <c r="C121" s="191">
        <v>2.2799999999999998</v>
      </c>
      <c r="D121" s="179">
        <f t="shared" si="8"/>
        <v>47.879999999999995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55</v>
      </c>
      <c r="B122" s="181">
        <f>'Données projet'!D120</f>
        <v>21</v>
      </c>
      <c r="C122" s="191">
        <v>2.83</v>
      </c>
      <c r="D122" s="179">
        <f t="shared" si="8"/>
        <v>59.43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60</v>
      </c>
      <c r="B123" s="181">
        <f>'Données projet'!D121</f>
        <v>21</v>
      </c>
      <c r="C123" s="191">
        <v>2.83</v>
      </c>
      <c r="D123" s="179">
        <f t="shared" si="8"/>
        <v>59.43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65</v>
      </c>
      <c r="B124" s="181">
        <f>'Données projet'!D122</f>
        <v>21</v>
      </c>
      <c r="C124" s="191">
        <v>2.83</v>
      </c>
      <c r="D124" s="179">
        <f t="shared" si="8"/>
        <v>59.43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70</v>
      </c>
      <c r="B125" s="181">
        <f>'Données projet'!D123</f>
        <v>21</v>
      </c>
      <c r="C125" s="191">
        <v>40.5</v>
      </c>
      <c r="D125" s="179">
        <f t="shared" si="8"/>
        <v>850.5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75</v>
      </c>
      <c r="B126" s="181">
        <f>'Données projet'!D124</f>
        <v>21</v>
      </c>
      <c r="C126" s="191">
        <v>40.5</v>
      </c>
      <c r="D126" s="179">
        <f t="shared" si="8"/>
        <v>850.5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80</v>
      </c>
      <c r="B127" s="181">
        <f>'Données projet'!D125</f>
        <v>21</v>
      </c>
      <c r="C127" s="191">
        <v>40.5</v>
      </c>
      <c r="D127" s="179">
        <f t="shared" si="8"/>
        <v>850.5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85</v>
      </c>
      <c r="B128" s="181">
        <f>'Données projet'!D126</f>
        <v>21</v>
      </c>
      <c r="C128" s="191">
        <v>41</v>
      </c>
      <c r="D128" s="179">
        <f t="shared" si="8"/>
        <v>861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90</v>
      </c>
      <c r="B129" s="181">
        <f>'Données projet'!D127</f>
        <v>21</v>
      </c>
      <c r="C129" s="191">
        <v>41</v>
      </c>
      <c r="D129" s="179">
        <f t="shared" si="8"/>
        <v>861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95</v>
      </c>
      <c r="B130" s="181">
        <f>'Données projet'!D128</f>
        <v>21</v>
      </c>
      <c r="C130" s="191">
        <v>41</v>
      </c>
      <c r="D130" s="179">
        <f t="shared" si="8"/>
        <v>861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100</v>
      </c>
      <c r="B131" s="181">
        <f>'Données projet'!D129</f>
        <v>282</v>
      </c>
      <c r="C131" s="191">
        <v>171</v>
      </c>
      <c r="D131" s="179">
        <f t="shared" si="8"/>
        <v>48222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Vianney FALCONNET</cp:lastModifiedBy>
  <dcterms:created xsi:type="dcterms:W3CDTF">2021-02-01T08:22:39Z</dcterms:created>
  <dcterms:modified xsi:type="dcterms:W3CDTF">2025-01-17T08:47:07Z</dcterms:modified>
</cp:coreProperties>
</file>