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Jacques BERTRAND/Villeton 47400/1.Dossier_en_cours/"/>
    </mc:Choice>
  </mc:AlternateContent>
  <xr:revisionPtr revIDLastSave="100" documentId="8_{D6D179E4-678A-45CC-A022-2A4E34096B07}" xr6:coauthVersionLast="47" xr6:coauthVersionMax="47" xr10:uidLastSave="{BF2C4D74-5623-4E0B-8AC7-F432E6DE02A0}"/>
  <bookViews>
    <workbookView xWindow="-110" yWindow="10690" windowWidth="19420" windowHeight="11500" tabRatio="866" firstSheet="1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6" l="1"/>
  <c r="E50" i="6"/>
  <c r="E49" i="6"/>
  <c r="E20" i="6"/>
  <c r="E19" i="6"/>
  <c r="E18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BQ4" i="2"/>
  <c r="EC4" i="2"/>
  <c r="BR4" i="2"/>
  <c r="GL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A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HG18" i="2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H33" i="2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W113" i="2"/>
  <c r="HG113" i="2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H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G144" i="2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G154" i="2"/>
  <c r="AB154" i="2"/>
  <c r="HH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HG155" i="2"/>
  <c r="AC154" i="2"/>
  <c r="EW155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W158" i="2"/>
  <c r="ED157" i="2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FS160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D160" i="2"/>
  <c r="EB161" i="2"/>
  <c r="EX161" i="2"/>
  <c r="AB161" i="2"/>
  <c r="EA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W162" i="2"/>
  <c r="EY161" i="2"/>
  <c r="DI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HI163" i="2"/>
  <c r="EV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DI163" i="2" l="1"/>
  <c r="EX164" i="2"/>
  <c r="DH164" i="2"/>
  <c r="FR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W168" i="2"/>
  <c r="HH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HG172" i="2"/>
  <c r="EV172" i="2"/>
  <c r="EA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FS175" i="2"/>
  <c r="EA175" i="2"/>
  <c r="EW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HG178" i="2"/>
  <c r="EB178" i="2"/>
  <c r="ED177" i="2"/>
  <c r="EA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EV179" i="2"/>
  <c r="HI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D185" i="2"/>
  <c r="FR186" i="2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EV189" i="2"/>
  <c r="HH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Y192" i="2" s="1"/>
  <c r="EA192" i="2"/>
  <c r="EB192" i="2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A193" i="2"/>
  <c r="EB193" i="2"/>
  <c r="DI192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CN193" i="2"/>
  <c r="HG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HG195" i="2"/>
  <c r="ED194" i="2"/>
  <c r="EY194" i="2"/>
  <c r="HI195" i="2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Y196" i="2"/>
  <c r="AA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Y198" i="2" s="1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HG199" i="2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D200" i="2"/>
  <c r="DI200" i="2"/>
  <c r="FS201" i="2"/>
  <c r="HH201" i="2"/>
  <c r="EB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Y201" i="2"/>
  <c r="HH202" i="2"/>
  <c r="FZ6" i="2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EI195" i="2" a="1"/>
  <c r="EI195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FD82" i="2" a="1"/>
  <c r="FD82" i="2" s="1"/>
  <c r="HJ202" i="2"/>
  <c r="AX200" i="2"/>
  <c r="BC151" i="2" l="1" a="1"/>
  <c r="BC151" i="2" s="1"/>
  <c r="DN66" i="2" a="1"/>
  <c r="DN66" i="2" s="1"/>
  <c r="CS24" i="2" a="1"/>
  <c r="CS24" i="2" s="1"/>
  <c r="BC32" i="2" a="1"/>
  <c r="BC32" i="2" s="1"/>
  <c r="BC192" i="2" a="1"/>
  <c r="BC192" i="2" s="1"/>
  <c r="BC117" i="2" a="1"/>
  <c r="BC117" i="2" s="1"/>
  <c r="BC18" i="2" a="1"/>
  <c r="BC18" i="2" s="1"/>
  <c r="BC55" i="2" a="1"/>
  <c r="BC55" i="2" s="1"/>
  <c r="BC181" i="2" a="1"/>
  <c r="BC181" i="2" s="1"/>
  <c r="BC164" i="2" a="1"/>
  <c r="BC164" i="2" s="1"/>
  <c r="BC38" i="2" a="1"/>
  <c r="BC38" i="2" s="1"/>
  <c r="BC130" i="2" a="1"/>
  <c r="BC130" i="2" s="1"/>
  <c r="BC65" i="2" a="1"/>
  <c r="BC65" i="2" s="1"/>
  <c r="BC83" i="2" a="1"/>
  <c r="BC83" i="2" s="1"/>
  <c r="BC47" i="2" a="1"/>
  <c r="BC47" i="2" s="1"/>
  <c r="AH151" i="2" a="1"/>
  <c r="AH151" i="2" s="1"/>
  <c r="BC34" i="2" a="1"/>
  <c r="BC34" i="2" s="1"/>
  <c r="BC114" i="2" a="1"/>
  <c r="BC114" i="2" s="1"/>
  <c r="BC126" i="2" a="1"/>
  <c r="BC126" i="2" s="1"/>
  <c r="BC82" i="2" a="1"/>
  <c r="BC82" i="2" s="1"/>
  <c r="BC58" i="2" a="1"/>
  <c r="BC58" i="2" s="1"/>
  <c r="CS38" i="2" a="1"/>
  <c r="CS38" i="2" s="1"/>
  <c r="CS77" i="2" a="1"/>
  <c r="CS77" i="2" s="1"/>
  <c r="AH19" i="2" a="1"/>
  <c r="AH19" i="2" s="1"/>
  <c r="AH90" i="2" a="1"/>
  <c r="AH90" i="2" s="1"/>
  <c r="BP203" i="2"/>
  <c r="DN16" i="2" a="1"/>
  <c r="DN16" i="2" s="1"/>
  <c r="FY173" i="2" a="1"/>
  <c r="FY173" i="2" s="1"/>
  <c r="DN43" i="2" a="1"/>
  <c r="DN43" i="2" s="1"/>
  <c r="FY188" i="2" a="1"/>
  <c r="FY188" i="2" s="1"/>
  <c r="DN49" i="2" a="1"/>
  <c r="DN49" i="2" s="1"/>
  <c r="DN186" i="2" a="1"/>
  <c r="DN186" i="2" s="1"/>
  <c r="FY28" i="2" a="1"/>
  <c r="FY28" i="2" s="1"/>
  <c r="FY121" i="2" a="1"/>
  <c r="FY121" i="2" s="1"/>
  <c r="FY35" i="2" a="1"/>
  <c r="FY35" i="2" s="1"/>
  <c r="DN190" i="2" a="1"/>
  <c r="DN190" i="2" s="1"/>
  <c r="DN170" i="2" a="1"/>
  <c r="DN170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FY115" i="2" a="1"/>
  <c r="FY115" i="2" s="1"/>
  <c r="FY133" i="2" a="1"/>
  <c r="FY133" i="2" s="1"/>
  <c r="DN162" i="2" a="1"/>
  <c r="DN162" i="2" s="1"/>
  <c r="DN177" i="2" a="1"/>
  <c r="DN177" i="2" s="1"/>
  <c r="FY164" i="2" a="1"/>
  <c r="FY164" i="2" s="1"/>
  <c r="FY29" i="2" a="1"/>
  <c r="FY29" i="2" s="1"/>
  <c r="DN135" i="2" a="1"/>
  <c r="DN135" i="2" s="1"/>
  <c r="CS129" i="2" a="1"/>
  <c r="CS129" i="2" s="1"/>
  <c r="FY124" i="2" a="1"/>
  <c r="FY124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41" i="2" a="1"/>
  <c r="DN41" i="2" s="1"/>
  <c r="FY126" i="2" a="1"/>
  <c r="FY126" i="2" s="1"/>
  <c r="DN46" i="2" a="1"/>
  <c r="DN46" i="2" s="1"/>
  <c r="FY140" i="2" a="1"/>
  <c r="FY140" i="2" s="1"/>
  <c r="FY58" i="2" a="1"/>
  <c r="FY58" i="2" s="1"/>
  <c r="FY47" i="2" a="1"/>
  <c r="FY47" i="2" s="1"/>
  <c r="DN176" i="2" a="1"/>
  <c r="DN176" i="2" s="1"/>
  <c r="DN153" i="2" a="1"/>
  <c r="DN153" i="2" s="1"/>
  <c r="FY24" i="2" a="1"/>
  <c r="FY24" i="2" s="1"/>
  <c r="FY167" i="2" a="1"/>
  <c r="FY167" i="2" s="1"/>
  <c r="FY174" i="2" a="1"/>
  <c r="FY174" i="2" s="1"/>
  <c r="DN38" i="2" a="1"/>
  <c r="DN38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DN114" i="2" a="1"/>
  <c r="DN114" i="2" s="1"/>
  <c r="FY79" i="2" a="1"/>
  <c r="FY79" i="2" s="1"/>
  <c r="DN103" i="2" a="1"/>
  <c r="DN103" i="2" s="1"/>
  <c r="FY143" i="2" a="1"/>
  <c r="FY143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DN133" i="2" a="1"/>
  <c r="DN13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29" i="2" a="1"/>
  <c r="DN29" i="2" s="1"/>
  <c r="FY109" i="2" a="1"/>
  <c r="FY109" i="2" s="1"/>
  <c r="FY86" i="2" a="1"/>
  <c r="FY86" i="2" s="1"/>
  <c r="FY159" i="2" a="1"/>
  <c r="FY159" i="2" s="1"/>
  <c r="DN115" i="2" a="1"/>
  <c r="DN115" i="2" s="1"/>
  <c r="FY149" i="2" a="1"/>
  <c r="FY149" i="2" s="1"/>
  <c r="FY191" i="2" a="1"/>
  <c r="FY191" i="2" s="1"/>
  <c r="DN187" i="2" a="1"/>
  <c r="DN187" i="2" s="1"/>
  <c r="CS137" i="2" a="1"/>
  <c r="CS137" i="2" s="1"/>
  <c r="FY165" i="2" a="1"/>
  <c r="FY165" i="2" s="1"/>
  <c r="CS72" i="2" a="1"/>
  <c r="CS72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6" i="2" l="1"/>
  <c r="CY200" i="2"/>
  <c r="CY103" i="2"/>
  <c r="CY134" i="2"/>
  <c r="CY138" i="2"/>
  <c r="CY196" i="2"/>
  <c r="CY175" i="2"/>
  <c r="CY80" i="2"/>
  <c r="CY33" i="2"/>
  <c r="CY24" i="2"/>
  <c r="CY43" i="2"/>
  <c r="CY168" i="2"/>
  <c r="CY157" i="2"/>
  <c r="CY56" i="2"/>
  <c r="CY77" i="2"/>
  <c r="CY37" i="2"/>
  <c r="CY201" i="2"/>
  <c r="CY83" i="2"/>
  <c r="CY9" i="2"/>
  <c r="CY113" i="2"/>
  <c r="CY172" i="2"/>
  <c r="CY93" i="2"/>
  <c r="CY42" i="2"/>
  <c r="CY132" i="2"/>
  <c r="CY174" i="2"/>
  <c r="CY102" i="2"/>
  <c r="CY116" i="2"/>
  <c r="CY59" i="2"/>
  <c r="CY96" i="2"/>
  <c r="CY82" i="2"/>
  <c r="CY111" i="2"/>
  <c r="CY66" i="2"/>
  <c r="CY112" i="2"/>
  <c r="CY192" i="2"/>
  <c r="CY39" i="2"/>
  <c r="CY25" i="2"/>
  <c r="CY73" i="2"/>
  <c r="CY117" i="2"/>
  <c r="CY29" i="2"/>
  <c r="CY28" i="2"/>
  <c r="CY166" i="2"/>
  <c r="CY182" i="2"/>
  <c r="CY203" i="2"/>
  <c r="CY190" i="2"/>
  <c r="CY162" i="2"/>
  <c r="CY16" i="2"/>
  <c r="CY67" i="2"/>
  <c r="CY35" i="2"/>
  <c r="CY199" i="2"/>
  <c r="CY131" i="2"/>
  <c r="CY104" i="2"/>
  <c r="CY20" i="2"/>
  <c r="CY150" i="2"/>
  <c r="CY15" i="2"/>
  <c r="CY194" i="2"/>
  <c r="CY119" i="2"/>
  <c r="CY158" i="2"/>
  <c r="CY109" i="2"/>
  <c r="CY145" i="2"/>
  <c r="CY198" i="2"/>
  <c r="CY3" i="2"/>
  <c r="C10" i="4" s="1"/>
  <c r="E10" i="4" s="1"/>
  <c r="F10" i="4" s="1"/>
  <c r="G10" i="4" s="1"/>
  <c r="L10" i="4" s="1"/>
  <c r="CY141" i="2"/>
  <c r="CY19" i="2"/>
  <c r="CY95" i="2"/>
  <c r="CY151" i="2"/>
  <c r="CY161" i="2"/>
  <c r="CY62" i="2"/>
  <c r="CY92" i="2"/>
  <c r="CY41" i="2"/>
  <c r="CY110" i="2"/>
  <c r="CY143" i="2"/>
  <c r="CY127" i="2"/>
  <c r="CY101" i="2"/>
  <c r="CY123" i="2"/>
  <c r="CY6" i="2"/>
  <c r="CY125" i="2"/>
  <c r="CY90" i="2"/>
  <c r="CY34" i="2"/>
  <c r="CY27" i="2"/>
  <c r="CY142" i="2"/>
  <c r="CY23" i="2"/>
  <c r="CY167" i="2"/>
  <c r="CY49" i="2"/>
  <c r="CY137" i="2"/>
  <c r="CY165" i="2"/>
  <c r="CY52" i="2"/>
  <c r="CY7" i="2"/>
  <c r="CY191" i="2"/>
  <c r="CY193" i="2"/>
  <c r="CY14" i="2"/>
  <c r="CY164" i="2"/>
  <c r="CY176" i="2"/>
  <c r="CY78" i="2"/>
  <c r="CY169" i="2"/>
  <c r="CY108" i="2"/>
  <c r="CY121" i="2"/>
  <c r="CY10" i="2"/>
  <c r="CY181" i="2"/>
  <c r="CY155" i="2"/>
  <c r="CY76" i="2"/>
  <c r="CY118" i="2"/>
  <c r="CY195" i="2"/>
  <c r="CY30" i="2"/>
  <c r="CY183" i="2"/>
  <c r="CY64" i="2"/>
  <c r="CY152" i="2"/>
  <c r="CY130" i="2"/>
  <c r="CY72" i="2"/>
  <c r="CY105" i="2"/>
  <c r="CY32" i="2"/>
  <c r="CY84" i="2"/>
  <c r="CY13" i="2"/>
  <c r="CY11" i="2"/>
  <c r="CY51" i="2"/>
  <c r="CY188" i="2"/>
  <c r="CY139" i="2"/>
  <c r="CY122" i="2"/>
  <c r="CY71" i="2"/>
  <c r="CY88" i="2"/>
  <c r="CY48" i="2"/>
  <c r="CY47" i="2"/>
  <c r="CY8" i="2"/>
  <c r="CY60" i="2"/>
  <c r="CY180" i="2"/>
  <c r="CY187" i="2"/>
  <c r="CY128" i="2"/>
  <c r="CY5" i="2"/>
  <c r="CY106" i="2"/>
  <c r="CY100" i="2"/>
  <c r="CY75" i="2"/>
  <c r="CY153" i="2"/>
  <c r="CY115" i="2"/>
  <c r="CY63" i="2"/>
  <c r="CY154" i="2"/>
  <c r="CY185" i="2"/>
  <c r="CY18" i="2"/>
  <c r="CY85" i="2"/>
  <c r="CY44" i="2"/>
  <c r="CY148" i="2"/>
  <c r="CY140" i="2"/>
  <c r="CY135" i="2"/>
  <c r="CY136" i="2"/>
  <c r="CY87" i="2"/>
  <c r="CY156" i="2"/>
  <c r="CY186" i="2"/>
  <c r="CY98" i="2"/>
  <c r="CY65" i="2"/>
  <c r="CY120" i="2"/>
  <c r="CY86" i="2"/>
  <c r="CY146" i="2"/>
  <c r="CY189" i="2"/>
  <c r="CY70" i="2"/>
  <c r="CY163" i="2"/>
  <c r="CY126" i="2"/>
  <c r="CY159" i="2"/>
  <c r="CY97" i="2"/>
  <c r="CY177" i="2"/>
  <c r="CY147" i="2"/>
  <c r="CY57" i="2"/>
  <c r="CY89" i="2"/>
  <c r="CY133" i="2"/>
  <c r="CY45" i="2"/>
  <c r="CY36" i="2"/>
  <c r="CY129" i="2"/>
  <c r="CY17" i="2"/>
  <c r="CY171" i="2"/>
  <c r="CY40" i="2"/>
  <c r="CY178" i="2"/>
  <c r="CY58" i="2"/>
  <c r="CY114" i="2"/>
  <c r="CY170" i="2"/>
  <c r="CY22" i="2"/>
  <c r="CY61" i="2"/>
  <c r="CY38" i="2"/>
  <c r="CY31" i="2"/>
  <c r="CY173" i="2"/>
  <c r="CY21" i="2"/>
  <c r="CY94" i="2"/>
  <c r="CY184" i="2"/>
  <c r="CY12" i="2"/>
  <c r="CY124" i="2"/>
  <c r="CY179" i="2"/>
  <c r="CY160" i="2"/>
  <c r="CY69" i="2"/>
  <c r="CY4" i="2"/>
  <c r="CY74" i="2"/>
  <c r="CY53" i="2"/>
  <c r="CY50" i="2"/>
  <c r="CY79" i="2"/>
  <c r="CY149" i="2"/>
  <c r="CY54" i="2"/>
  <c r="CY91" i="2"/>
  <c r="CY197" i="2"/>
  <c r="CY99" i="2"/>
  <c r="CY46" i="2"/>
  <c r="CY202" i="2"/>
  <c r="CY107" i="2"/>
  <c r="CY81" i="2"/>
  <c r="CY68" i="2"/>
  <c r="CY55" i="2"/>
  <c r="CY14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CD167" i="2" l="1"/>
  <c r="CD73" i="2"/>
  <c r="CD136" i="2"/>
  <c r="CD84" i="2"/>
  <c r="CD182" i="2"/>
  <c r="CD147" i="2"/>
  <c r="CD102" i="2"/>
  <c r="CD116" i="2"/>
  <c r="CD164" i="2"/>
  <c r="CD67" i="2"/>
  <c r="CD6" i="2"/>
  <c r="CD120" i="2"/>
  <c r="CD192" i="2"/>
  <c r="CD96" i="2"/>
  <c r="CD137" i="2"/>
  <c r="CD66" i="2"/>
  <c r="CD83" i="2"/>
  <c r="CD189" i="2"/>
  <c r="CD128" i="2"/>
  <c r="CD31" i="2"/>
  <c r="CD176" i="2"/>
  <c r="CD195" i="2"/>
  <c r="CD125" i="2"/>
  <c r="CD23" i="2"/>
  <c r="CD174" i="2"/>
  <c r="CD141" i="2"/>
  <c r="CD191" i="2"/>
  <c r="CD34" i="2"/>
  <c r="CD95" i="2"/>
  <c r="CD151" i="2"/>
  <c r="CD158" i="2"/>
  <c r="CD111" i="2"/>
  <c r="CD37" i="2"/>
  <c r="CD22" i="2"/>
  <c r="CD196" i="2"/>
  <c r="CD178" i="2"/>
  <c r="CD180" i="2"/>
  <c r="CD162" i="2"/>
  <c r="CD155" i="2"/>
  <c r="CD163" i="2"/>
  <c r="CD190" i="2"/>
  <c r="CD29" i="2"/>
  <c r="CD170" i="2"/>
  <c r="CD154" i="2"/>
  <c r="CD44" i="2"/>
  <c r="CD71" i="2"/>
  <c r="CD70" i="2"/>
  <c r="CD181" i="2"/>
  <c r="CD193" i="2"/>
  <c r="CD68" i="2"/>
  <c r="CD156" i="2"/>
  <c r="CD160" i="2"/>
  <c r="CD63" i="2"/>
  <c r="CD90" i="2"/>
  <c r="CD50" i="2"/>
  <c r="CD47" i="2"/>
  <c r="CD60" i="2"/>
  <c r="CD112" i="2"/>
  <c r="CD146" i="2"/>
  <c r="CD173" i="2"/>
  <c r="CD108" i="2"/>
  <c r="CD13" i="2"/>
  <c r="CD169" i="2"/>
  <c r="CD35" i="2"/>
  <c r="CD76" i="2"/>
  <c r="CD177" i="2"/>
  <c r="CD82" i="2"/>
  <c r="CD92" i="2"/>
  <c r="CD74" i="2"/>
  <c r="CD148" i="2"/>
  <c r="CD143" i="2"/>
  <c r="CD139" i="2"/>
  <c r="CD20" i="2"/>
  <c r="CD149" i="2"/>
  <c r="CD200" i="2"/>
  <c r="CD121" i="2"/>
  <c r="CD52" i="2"/>
  <c r="CD86" i="2"/>
  <c r="CD80" i="2"/>
  <c r="CD186" i="2"/>
  <c r="CD115" i="2"/>
  <c r="CD85" i="2"/>
  <c r="CD117" i="2"/>
  <c r="CD14" i="2"/>
  <c r="CD144" i="2"/>
  <c r="CD21" i="2"/>
  <c r="CD107" i="2"/>
  <c r="CD39" i="2"/>
  <c r="CD49" i="2"/>
  <c r="CD30" i="2"/>
  <c r="CD40" i="2"/>
  <c r="CD203" i="2"/>
  <c r="CD113" i="2"/>
  <c r="CD11" i="2"/>
  <c r="CD36" i="2"/>
  <c r="CD104" i="2"/>
  <c r="CD38" i="2"/>
  <c r="CD130" i="2"/>
  <c r="CD16" i="2"/>
  <c r="CD123" i="2"/>
  <c r="CD201" i="2"/>
  <c r="CD109" i="2"/>
  <c r="CD87" i="2"/>
  <c r="CD69" i="2"/>
  <c r="CD33" i="2"/>
  <c r="CD175" i="2"/>
  <c r="CD5" i="2"/>
  <c r="CD122" i="2"/>
  <c r="CD129" i="2"/>
  <c r="CD98" i="2"/>
  <c r="CD8" i="2"/>
  <c r="CD27" i="2"/>
  <c r="CD48" i="2"/>
  <c r="CD78" i="2"/>
  <c r="CD42" i="2"/>
  <c r="CD56" i="2"/>
  <c r="CD187" i="2"/>
  <c r="CD165" i="2"/>
  <c r="CD75" i="2"/>
  <c r="CD7" i="2"/>
  <c r="CD197" i="2"/>
  <c r="CD105" i="2"/>
  <c r="CD10" i="2"/>
  <c r="CD64" i="2"/>
  <c r="CD15" i="2"/>
  <c r="CD18" i="2"/>
  <c r="CD198" i="2"/>
  <c r="CD72" i="2"/>
  <c r="CD12" i="2"/>
  <c r="CD131" i="2"/>
  <c r="CD54" i="2"/>
  <c r="CD168" i="2"/>
  <c r="CD89" i="2"/>
  <c r="CD100" i="2"/>
  <c r="CD81" i="2"/>
  <c r="CD99" i="2"/>
  <c r="CD45" i="2"/>
  <c r="CD61" i="2"/>
  <c r="CD26" i="2"/>
  <c r="CD97" i="2"/>
  <c r="CD124" i="2"/>
  <c r="CD183" i="2"/>
  <c r="CD161" i="2"/>
  <c r="CD65" i="2"/>
  <c r="CD62" i="2"/>
  <c r="CD101" i="2"/>
  <c r="CD24" i="2"/>
  <c r="CD135" i="2"/>
  <c r="CD127" i="2"/>
  <c r="CD77" i="2"/>
  <c r="CD46" i="2"/>
  <c r="CD88" i="2"/>
  <c r="CD28" i="2"/>
  <c r="CD110" i="2"/>
  <c r="CD172" i="2"/>
  <c r="CD55" i="2"/>
  <c r="CD157" i="2"/>
  <c r="CD199" i="2"/>
  <c r="CD93" i="2"/>
  <c r="CD171" i="2"/>
  <c r="CD9" i="2"/>
  <c r="CD25" i="2"/>
  <c r="CD150" i="2"/>
  <c r="CD185" i="2"/>
  <c r="CD3" i="2"/>
  <c r="C9" i="4" s="1"/>
  <c r="E9" i="4" s="1"/>
  <c r="F9" i="4" s="1"/>
  <c r="G9" i="4" s="1"/>
  <c r="L9" i="4" s="1"/>
  <c r="CD53" i="2"/>
  <c r="CD4" i="2"/>
  <c r="CD133" i="2"/>
  <c r="CD202" i="2"/>
  <c r="CD94" i="2"/>
  <c r="CD118" i="2"/>
  <c r="CD166" i="2"/>
  <c r="CD153" i="2"/>
  <c r="CD106" i="2"/>
  <c r="CD188" i="2"/>
  <c r="CD19" i="2"/>
  <c r="CD184" i="2"/>
  <c r="CD119" i="2"/>
  <c r="CD59" i="2"/>
  <c r="CD126" i="2"/>
  <c r="CD142" i="2"/>
  <c r="CD152" i="2"/>
  <c r="CD159" i="2"/>
  <c r="CD57" i="2"/>
  <c r="CD138" i="2"/>
  <c r="CD51" i="2"/>
  <c r="CD134" i="2"/>
  <c r="CD140" i="2"/>
  <c r="CD79" i="2"/>
  <c r="CD179" i="2"/>
  <c r="CD114" i="2"/>
  <c r="CD58" i="2"/>
  <c r="CD43" i="2"/>
  <c r="CD103" i="2"/>
  <c r="CD145" i="2"/>
  <c r="CD91" i="2"/>
  <c r="CD41" i="2"/>
  <c r="CD132" i="2"/>
  <c r="CD32" i="2"/>
  <c r="CD17" i="2"/>
  <c r="CD194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52" i="2" l="1"/>
  <c r="BI47" i="2"/>
  <c r="BI117" i="2"/>
  <c r="BI26" i="2"/>
  <c r="BI79" i="2"/>
  <c r="BI129" i="2"/>
  <c r="BI149" i="2"/>
  <c r="BI94" i="2"/>
  <c r="BI130" i="2"/>
  <c r="BI48" i="2"/>
  <c r="BI39" i="2"/>
  <c r="BI4" i="2"/>
  <c r="BI52" i="2"/>
  <c r="BI10" i="2"/>
  <c r="BI68" i="2"/>
  <c r="BI179" i="2"/>
  <c r="BI16" i="2"/>
  <c r="BI96" i="2"/>
  <c r="BI21" i="2"/>
  <c r="BI61" i="2"/>
  <c r="BI132" i="2"/>
  <c r="BI137" i="2"/>
  <c r="BI193" i="2"/>
  <c r="BI164" i="2"/>
  <c r="BI33" i="2"/>
  <c r="BI106" i="2"/>
  <c r="BI97" i="2"/>
  <c r="BI17" i="2"/>
  <c r="BI41" i="2"/>
  <c r="BI20" i="2"/>
  <c r="BI135" i="2"/>
  <c r="BI189" i="2"/>
  <c r="BI98" i="2"/>
  <c r="BI29" i="2"/>
  <c r="BI172" i="2"/>
  <c r="BI157" i="2"/>
  <c r="BI196" i="2"/>
  <c r="BI30" i="2"/>
  <c r="BI168" i="2"/>
  <c r="BI84" i="2"/>
  <c r="BI44" i="2"/>
  <c r="BI11" i="2"/>
  <c r="BI201" i="2"/>
  <c r="BI86" i="2"/>
  <c r="BI191" i="2"/>
  <c r="BI113" i="2"/>
  <c r="BI105" i="2"/>
  <c r="BI7" i="2"/>
  <c r="BI58" i="2"/>
  <c r="BI159" i="2"/>
  <c r="BI199" i="2"/>
  <c r="BI74" i="2"/>
  <c r="BI12" i="2"/>
  <c r="BI144" i="2"/>
  <c r="BI112" i="2"/>
  <c r="BI76" i="2"/>
  <c r="BI146" i="2"/>
  <c r="BI77" i="2"/>
  <c r="BI64" i="2"/>
  <c r="BI120" i="2"/>
  <c r="BI162" i="2"/>
  <c r="BI114" i="2"/>
  <c r="BI100" i="2"/>
  <c r="BI192" i="2"/>
  <c r="BI131" i="2"/>
  <c r="BI69" i="2"/>
  <c r="BI177" i="2"/>
  <c r="BI56" i="2"/>
  <c r="BI103" i="2"/>
  <c r="BI90" i="2"/>
  <c r="BI82" i="2"/>
  <c r="BI141" i="2"/>
  <c r="BI136" i="2"/>
  <c r="BI62" i="2"/>
  <c r="BI99" i="2"/>
  <c r="BI154" i="2"/>
  <c r="BI87" i="2"/>
  <c r="BI125" i="2"/>
  <c r="BI50" i="2"/>
  <c r="BI88" i="2"/>
  <c r="BI151" i="2"/>
  <c r="BI63" i="2"/>
  <c r="BI186" i="2"/>
  <c r="BI53" i="2"/>
  <c r="BI147" i="2"/>
  <c r="BI36" i="2"/>
  <c r="BI134" i="2"/>
  <c r="BI161" i="2"/>
  <c r="BI95" i="2"/>
  <c r="BI167" i="2"/>
  <c r="BI37" i="2"/>
  <c r="BI163" i="2"/>
  <c r="BI23" i="2"/>
  <c r="BI59" i="2"/>
  <c r="BI57" i="2"/>
  <c r="BI116" i="2"/>
  <c r="BI34" i="2"/>
  <c r="BI109" i="2"/>
  <c r="BI73" i="2"/>
  <c r="BI170" i="2"/>
  <c r="BI123" i="2"/>
  <c r="BI35" i="2"/>
  <c r="BI9" i="2"/>
  <c r="BI72" i="2"/>
  <c r="BI181" i="2"/>
  <c r="BI15" i="2"/>
  <c r="BI38" i="2"/>
  <c r="BI128" i="2"/>
  <c r="BI85" i="2"/>
  <c r="BI5" i="2"/>
  <c r="BI71" i="2"/>
  <c r="BI176" i="2"/>
  <c r="BI175" i="2"/>
  <c r="BI127" i="2"/>
  <c r="BI27" i="2"/>
  <c r="BI45" i="2"/>
  <c r="BI115" i="2"/>
  <c r="BI32" i="2"/>
  <c r="BI158" i="2"/>
  <c r="BI160" i="2"/>
  <c r="BI18" i="2"/>
  <c r="BI178" i="2"/>
  <c r="BI200" i="2"/>
  <c r="BI124" i="2"/>
  <c r="BI133" i="2"/>
  <c r="BI55" i="2"/>
  <c r="BI150" i="2"/>
  <c r="BI143" i="2"/>
  <c r="BI183" i="2"/>
  <c r="BI111" i="2"/>
  <c r="BI51" i="2"/>
  <c r="BI54" i="2"/>
  <c r="BI70" i="2"/>
  <c r="BI42" i="2"/>
  <c r="BI198" i="2"/>
  <c r="BI166" i="2"/>
  <c r="BI108" i="2"/>
  <c r="BI140" i="2"/>
  <c r="BI43" i="2"/>
  <c r="BI155" i="2"/>
  <c r="BI65" i="2"/>
  <c r="BI139" i="2"/>
  <c r="BI22" i="2"/>
  <c r="BI122" i="2"/>
  <c r="BI121" i="2"/>
  <c r="BI46" i="2"/>
  <c r="BI107" i="2"/>
  <c r="BI92" i="2"/>
  <c r="BI142" i="2"/>
  <c r="BI3" i="2"/>
  <c r="C8" i="4" s="1"/>
  <c r="E8" i="4" s="1"/>
  <c r="F8" i="4" s="1"/>
  <c r="G8" i="4" s="1"/>
  <c r="L8" i="4" s="1"/>
  <c r="BI180" i="2"/>
  <c r="BI40" i="2"/>
  <c r="BI93" i="2"/>
  <c r="BI156" i="2"/>
  <c r="BI197" i="2"/>
  <c r="BI66" i="2"/>
  <c r="BI14" i="2"/>
  <c r="BI110" i="2"/>
  <c r="BI148" i="2"/>
  <c r="BI126" i="2"/>
  <c r="BI101" i="2"/>
  <c r="BI67" i="2"/>
  <c r="BI104" i="2"/>
  <c r="BI145" i="2"/>
  <c r="BI190" i="2"/>
  <c r="BI202" i="2"/>
  <c r="BI25" i="2"/>
  <c r="BI182" i="2"/>
  <c r="BI195" i="2"/>
  <c r="BI171" i="2"/>
  <c r="BI91" i="2"/>
  <c r="BI169" i="2"/>
  <c r="BI118" i="2"/>
  <c r="BI203" i="2"/>
  <c r="BI31" i="2"/>
  <c r="BI6" i="2"/>
  <c r="BI24" i="2"/>
  <c r="BI75" i="2"/>
  <c r="BI28" i="2"/>
  <c r="BI187" i="2"/>
  <c r="BI19" i="2"/>
  <c r="BI188" i="2"/>
  <c r="BI13" i="2"/>
  <c r="BI8" i="2"/>
  <c r="BI185" i="2"/>
  <c r="BI165" i="2"/>
  <c r="BI174" i="2"/>
  <c r="BI173" i="2"/>
  <c r="BI49" i="2"/>
  <c r="BI83" i="2"/>
  <c r="BI78" i="2"/>
  <c r="BI194" i="2"/>
  <c r="BI153" i="2"/>
  <c r="BI81" i="2"/>
  <c r="BI119" i="2"/>
  <c r="BI102" i="2"/>
  <c r="BI138" i="2"/>
  <c r="BI184" i="2"/>
  <c r="BI60" i="2"/>
  <c r="BI89" i="2"/>
  <c r="BI8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<sst xmlns="http://schemas.openxmlformats.org/spreadsheetml/2006/main" count="1171" uniqueCount="325">
  <si>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</si>
  <si>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</si>
  <si>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</si>
  <si>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</si>
  <si>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</si>
  <si>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</si>
  <si>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</si>
  <si>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</si>
  <si>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</si>
  <si>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</si>
  <si>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</si>
  <si>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</si>
  <si>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</si>
  <si>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</si>
  <si>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</si>
  <si>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</si>
  <si>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Robinier faux-acacia</t>
  </si>
  <si>
    <t>NB : La durée de révolution doit être identique à la dernière année indiquée dans la table de production renseignée en dessous</t>
  </si>
  <si>
    <t>Essence 2</t>
  </si>
  <si>
    <t>Peuplier Koster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</si>
  <si>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</si>
  <si>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</si>
  <si>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</si>
  <si>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</si>
  <si>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</si>
  <si>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</si>
  <si>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</si>
  <si>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</si>
  <si>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</si>
  <si>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</si>
  <si>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</si>
  <si>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</si>
  <si>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</si>
  <si>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</si>
  <si>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</si>
  <si>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</si>
  <si>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</si>
  <si>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</si>
  <si>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</si>
  <si>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</si>
  <si>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</si>
  <si>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</si>
  <si>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</si>
  <si>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</si>
  <si>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</si>
  <si>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</si>
  <si>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</si>
  <si>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</si>
  <si>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</si>
  <si>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</si>
  <si>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</si>
  <si>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</si>
  <si>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</si>
  <si>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</si>
  <si>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</si>
  <si>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CR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</si>
  <si>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</si>
  <si>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</si>
  <si>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</si>
  <si>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</si>
  <si>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</si>
  <si>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</si>
  <si>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</si>
  <si>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</si>
  <si>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</si>
  <si>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</si>
  <si>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</si>
  <si>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</si>
  <si>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</si>
  <si>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</si>
  <si>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de Sitka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</si>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</sst>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54" xfId="0" applyFont="1" applyFill="1" applyBorder="1" applyAlignment="1" applyProtection="1">
      <alignment horizontal="center"/>
      <protection locked="0" hidden="1"/>
    </xf>
    <xf numFmtId="0" fontId="9" fillId="21" borderId="54" xfId="0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 hidden="1"/>
    </xf>
    <xf numFmtId="9" fontId="9" fillId="21" borderId="54" xfId="1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 vertical="center"/>
      <protection locked="0"/>
    </xf>
    <xf numFmtId="0" fontId="9" fillId="21" borderId="5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169.22076873606747</c:v>
                </c:pt>
                <c:pt idx="12">
                  <c:v>196.65973476943884</c:v>
                </c:pt>
                <c:pt idx="13">
                  <c:v>224.00971024958221</c:v>
                </c:pt>
                <c:pt idx="14">
                  <c:v>251.28309296155342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339.68777684695175</c:v>
                </c:pt>
                <c:pt idx="22">
                  <c:v>360.15946409007734</c:v>
                </c:pt>
                <c:pt idx="23">
                  <c:v>380.60570876556659</c:v>
                </c:pt>
                <c:pt idx="24">
                  <c:v>401.02806913443993</c:v>
                </c:pt>
                <c:pt idx="25">
                  <c:v>421.42793186976087</c:v>
                </c:pt>
                <c:pt idx="26">
                  <c:v>411.03827995947967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460.62919798538456</c:v>
                </c:pt>
                <c:pt idx="30">
                  <c:v>477.13349754486757</c:v>
                </c:pt>
                <c:pt idx="31">
                  <c:v>469.45861841140703</c:v>
                </c:pt>
                <c:pt idx="32">
                  <c:v>482.88793138454997</c:v>
                </c:pt>
                <c:pt idx="33">
                  <c:v>496.30931275327686</c:v>
                </c:pt>
                <c:pt idx="34">
                  <c:v>509.72300718239154</c:v>
                </c:pt>
                <c:pt idx="35">
                  <c:v>523.12924541243797</c:v>
                </c:pt>
                <c:pt idx="36">
                  <c:v>517.76763064124964</c:v>
                </c:pt>
                <c:pt idx="37">
                  <c:v>529.63822214325558</c:v>
                </c:pt>
                <c:pt idx="38">
                  <c:v>541.50321514451991</c:v>
                </c:pt>
                <c:pt idx="39">
                  <c:v>553.36274958383808</c:v>
                </c:pt>
                <c:pt idx="40">
                  <c:v>565.21695891368051</c:v>
                </c:pt>
                <c:pt idx="41">
                  <c:v>563.30534449457014</c:v>
                </c:pt>
                <c:pt idx="42">
                  <c:v>574.77301329675186</c:v>
                </c:pt>
                <c:pt idx="43">
                  <c:v>586.23590668718793</c:v>
                </c:pt>
                <c:pt idx="44">
                  <c:v>597.69413118158775</c:v>
                </c:pt>
                <c:pt idx="45">
                  <c:v>609.1477888796602</c:v>
                </c:pt>
                <c:pt idx="46">
                  <c:v>595.78474694239264</c:v>
                </c:pt>
                <c:pt idx="47">
                  <c:v>595.78474694239264</c:v>
                </c:pt>
                <c:pt idx="48">
                  <c:v>595.78474694239264</c:v>
                </c:pt>
                <c:pt idx="49">
                  <c:v>595.78474694239264</c:v>
                </c:pt>
                <c:pt idx="50">
                  <c:v>595.78474694239264</c:v>
                </c:pt>
                <c:pt idx="51">
                  <c:v>595.78474694239264</c:v>
                </c:pt>
                <c:pt idx="52">
                  <c:v>595.78474694239264</c:v>
                </c:pt>
                <c:pt idx="53">
                  <c:v>595.78474694239264</c:v>
                </c:pt>
                <c:pt idx="54">
                  <c:v>595.78474694239264</c:v>
                </c:pt>
                <c:pt idx="55">
                  <c:v>595.78474694239264</c:v>
                </c:pt>
                <c:pt idx="56">
                  <c:v>595.78474694239264</c:v>
                </c:pt>
                <c:pt idx="57">
                  <c:v>595.78474694239264</c:v>
                </c:pt>
                <c:pt idx="58">
                  <c:v>595.78474694239264</c:v>
                </c:pt>
                <c:pt idx="59">
                  <c:v>595.78474694239264</c:v>
                </c:pt>
                <c:pt idx="60">
                  <c:v>595.78474694239264</c:v>
                </c:pt>
                <c:pt idx="61">
                  <c:v>595.78474694239264</c:v>
                </c:pt>
                <c:pt idx="62">
                  <c:v>595.78474694239264</c:v>
                </c:pt>
                <c:pt idx="63">
                  <c:v>595.78474694239264</c:v>
                </c:pt>
                <c:pt idx="64">
                  <c:v>595.78474694239264</c:v>
                </c:pt>
                <c:pt idx="65">
                  <c:v>595.78474694239264</c:v>
                </c:pt>
                <c:pt idx="66">
                  <c:v>595.78474694239264</c:v>
                </c:pt>
                <c:pt idx="67">
                  <c:v>595.78474694239264</c:v>
                </c:pt>
                <c:pt idx="68">
                  <c:v>595.78474694239264</c:v>
                </c:pt>
                <c:pt idx="69">
                  <c:v>595.78474694239264</c:v>
                </c:pt>
                <c:pt idx="70">
                  <c:v>595.78474694239264</c:v>
                </c:pt>
                <c:pt idx="71">
                  <c:v>595.78474694239264</c:v>
                </c:pt>
                <c:pt idx="72">
                  <c:v>595.78474694239264</c:v>
                </c:pt>
                <c:pt idx="73">
                  <c:v>595.78474694239264</c:v>
                </c:pt>
                <c:pt idx="74">
                  <c:v>595.78474694239264</c:v>
                </c:pt>
                <c:pt idx="75">
                  <c:v>595.78474694239264</c:v>
                </c:pt>
                <c:pt idx="76">
                  <c:v>595.78474694239264</c:v>
                </c:pt>
                <c:pt idx="77">
                  <c:v>595.78474694239264</c:v>
                </c:pt>
                <c:pt idx="78">
                  <c:v>595.78474694239264</c:v>
                </c:pt>
                <c:pt idx="79">
                  <c:v>595.78474694239264</c:v>
                </c:pt>
                <c:pt idx="80">
                  <c:v>595.78474694239264</c:v>
                </c:pt>
                <c:pt idx="81">
                  <c:v>595.78474694239264</c:v>
                </c:pt>
                <c:pt idx="82">
                  <c:v>595.78474694239264</c:v>
                </c:pt>
                <c:pt idx="83">
                  <c:v>595.78474694239264</c:v>
                </c:pt>
                <c:pt idx="84">
                  <c:v>595.78474694239264</c:v>
                </c:pt>
                <c:pt idx="85">
                  <c:v>595.78474694239264</c:v>
                </c:pt>
                <c:pt idx="86">
                  <c:v>595.78474694239264</c:v>
                </c:pt>
                <c:pt idx="87">
                  <c:v>595.78474694239264</c:v>
                </c:pt>
                <c:pt idx="88">
                  <c:v>595.78474694239264</c:v>
                </c:pt>
                <c:pt idx="89">
                  <c:v>595.78474694239264</c:v>
                </c:pt>
                <c:pt idx="90">
                  <c:v>595.78474694239264</c:v>
                </c:pt>
                <c:pt idx="91">
                  <c:v>595.78474694239264</c:v>
                </c:pt>
                <c:pt idx="92">
                  <c:v>595.78474694239264</c:v>
                </c:pt>
                <c:pt idx="93">
                  <c:v>595.78474694239264</c:v>
                </c:pt>
                <c:pt idx="94">
                  <c:v>595.78474694239264</c:v>
                </c:pt>
                <c:pt idx="95">
                  <c:v>595.78474694239264</c:v>
                </c:pt>
                <c:pt idx="96">
                  <c:v>595.78474694239264</c:v>
                </c:pt>
                <c:pt idx="97">
                  <c:v>595.78474694239264</c:v>
                </c:pt>
                <c:pt idx="98">
                  <c:v>595.78474694239264</c:v>
                </c:pt>
                <c:pt idx="99">
                  <c:v>595.78474694239264</c:v>
                </c:pt>
                <c:pt idx="100">
                  <c:v>595.78474694239264</c:v>
                </c:pt>
                <c:pt idx="101">
                  <c:v>595.78474694239264</c:v>
                </c:pt>
                <c:pt idx="102">
                  <c:v>595.78474694239264</c:v>
                </c:pt>
                <c:pt idx="103">
                  <c:v>595.78474694239264</c:v>
                </c:pt>
                <c:pt idx="104">
                  <c:v>595.78474694239264</c:v>
                </c:pt>
                <c:pt idx="105">
                  <c:v>595.78474694239264</c:v>
                </c:pt>
                <c:pt idx="106">
                  <c:v>595.78474694239264</c:v>
                </c:pt>
                <c:pt idx="107">
                  <c:v>595.78474694239264</c:v>
                </c:pt>
                <c:pt idx="108">
                  <c:v>595.78474694239264</c:v>
                </c:pt>
                <c:pt idx="109">
                  <c:v>595.78474694239264</c:v>
                </c:pt>
                <c:pt idx="110">
                  <c:v>595.78474694239264</c:v>
                </c:pt>
                <c:pt idx="111">
                  <c:v>595.78474694239264</c:v>
                </c:pt>
                <c:pt idx="112">
                  <c:v>595.78474694239264</c:v>
                </c:pt>
                <c:pt idx="113">
                  <c:v>595.78474694239264</c:v>
                </c:pt>
                <c:pt idx="114">
                  <c:v>595.78474694239264</c:v>
                </c:pt>
                <c:pt idx="115">
                  <c:v>595.78474694239264</c:v>
                </c:pt>
                <c:pt idx="116">
                  <c:v>595.78474694239264</c:v>
                </c:pt>
                <c:pt idx="117">
                  <c:v>595.78474694239264</c:v>
                </c:pt>
                <c:pt idx="118">
                  <c:v>595.78474694239264</c:v>
                </c:pt>
                <c:pt idx="119">
                  <c:v>595.78474694239264</c:v>
                </c:pt>
                <c:pt idx="120">
                  <c:v>595.78474694239264</c:v>
                </c:pt>
                <c:pt idx="121">
                  <c:v>595.78474694239264</c:v>
                </c:pt>
                <c:pt idx="122">
                  <c:v>595.78474694239264</c:v>
                </c:pt>
                <c:pt idx="123">
                  <c:v>595.78474694239264</c:v>
                </c:pt>
                <c:pt idx="124">
                  <c:v>595.78474694239264</c:v>
                </c:pt>
                <c:pt idx="125">
                  <c:v>595.78474694239264</c:v>
                </c:pt>
                <c:pt idx="126">
                  <c:v>595.78474694239264</c:v>
                </c:pt>
                <c:pt idx="127">
                  <c:v>595.78474694239264</c:v>
                </c:pt>
                <c:pt idx="128">
                  <c:v>595.78474694239264</c:v>
                </c:pt>
                <c:pt idx="129">
                  <c:v>595.78474694239264</c:v>
                </c:pt>
                <c:pt idx="130">
                  <c:v>595.78474694239264</c:v>
                </c:pt>
                <c:pt idx="131">
                  <c:v>595.78474694239264</c:v>
                </c:pt>
                <c:pt idx="132">
                  <c:v>595.78474694239264</c:v>
                </c:pt>
                <c:pt idx="133">
                  <c:v>595.78474694239264</c:v>
                </c:pt>
                <c:pt idx="134">
                  <c:v>595.78474694239264</c:v>
                </c:pt>
                <c:pt idx="135">
                  <c:v>595.78474694239264</c:v>
                </c:pt>
                <c:pt idx="136">
                  <c:v>595.78474694239264</c:v>
                </c:pt>
                <c:pt idx="137">
                  <c:v>595.78474694239264</c:v>
                </c:pt>
                <c:pt idx="138">
                  <c:v>595.78474694239264</c:v>
                </c:pt>
                <c:pt idx="139">
                  <c:v>595.78474694239264</c:v>
                </c:pt>
                <c:pt idx="140">
                  <c:v>595.78474694239264</c:v>
                </c:pt>
                <c:pt idx="141">
                  <c:v>595.78474694239264</c:v>
                </c:pt>
                <c:pt idx="142">
                  <c:v>595.78474694239264</c:v>
                </c:pt>
                <c:pt idx="143">
                  <c:v>595.78474694239264</c:v>
                </c:pt>
                <c:pt idx="144">
                  <c:v>595.78474694239264</c:v>
                </c:pt>
                <c:pt idx="145">
                  <c:v>595.78474694239264</c:v>
                </c:pt>
                <c:pt idx="146">
                  <c:v>595.78474694239264</c:v>
                </c:pt>
                <c:pt idx="147">
                  <c:v>595.78474694239264</c:v>
                </c:pt>
                <c:pt idx="148">
                  <c:v>595.78474694239264</c:v>
                </c:pt>
                <c:pt idx="149">
                  <c:v>595.78474694239264</c:v>
                </c:pt>
                <c:pt idx="150">
                  <c:v>595.78474694239264</c:v>
                </c:pt>
                <c:pt idx="151">
                  <c:v>595.78474694239264</c:v>
                </c:pt>
                <c:pt idx="152">
                  <c:v>595.78474694239264</c:v>
                </c:pt>
                <c:pt idx="153">
                  <c:v>595.78474694239264</c:v>
                </c:pt>
                <c:pt idx="154">
                  <c:v>595.78474694239264</c:v>
                </c:pt>
                <c:pt idx="155">
                  <c:v>595.78474694239264</c:v>
                </c:pt>
                <c:pt idx="156">
                  <c:v>595.78474694239264</c:v>
                </c:pt>
                <c:pt idx="157">
                  <c:v>595.78474694239264</c:v>
                </c:pt>
                <c:pt idx="158">
                  <c:v>595.78474694239264</c:v>
                </c:pt>
                <c:pt idx="159">
                  <c:v>595.78474694239264</c:v>
                </c:pt>
                <c:pt idx="160">
                  <c:v>595.78474694239264</c:v>
                </c:pt>
                <c:pt idx="161">
                  <c:v>595.78474694239264</c:v>
                </c:pt>
                <c:pt idx="162">
                  <c:v>595.78474694239264</c:v>
                </c:pt>
                <c:pt idx="163">
                  <c:v>595.78474694239264</c:v>
                </c:pt>
                <c:pt idx="164">
                  <c:v>595.78474694239264</c:v>
                </c:pt>
                <c:pt idx="165">
                  <c:v>595.78474694239264</c:v>
                </c:pt>
                <c:pt idx="166">
                  <c:v>595.78474694239264</c:v>
                </c:pt>
                <c:pt idx="167">
                  <c:v>595.78474694239264</c:v>
                </c:pt>
                <c:pt idx="168">
                  <c:v>595.78474694239264</c:v>
                </c:pt>
                <c:pt idx="169">
                  <c:v>595.78474694239264</c:v>
                </c:pt>
                <c:pt idx="170">
                  <c:v>595.78474694239264</c:v>
                </c:pt>
                <c:pt idx="171">
                  <c:v>595.78474694239264</c:v>
                </c:pt>
                <c:pt idx="172">
                  <c:v>595.78474694239264</c:v>
                </c:pt>
                <c:pt idx="173">
                  <c:v>595.78474694239264</c:v>
                </c:pt>
                <c:pt idx="174">
                  <c:v>595.78474694239264</c:v>
                </c:pt>
                <c:pt idx="175">
                  <c:v>595.78474694239264</c:v>
                </c:pt>
                <c:pt idx="176">
                  <c:v>595.78474694239264</c:v>
                </c:pt>
                <c:pt idx="177">
                  <c:v>595.78474694239264</c:v>
                </c:pt>
                <c:pt idx="178">
                  <c:v>595.78474694239264</c:v>
                </c:pt>
                <c:pt idx="179">
                  <c:v>595.78474694239264</c:v>
                </c:pt>
                <c:pt idx="180">
                  <c:v>595.78474694239264</c:v>
                </c:pt>
                <c:pt idx="181">
                  <c:v>595.78474694239264</c:v>
                </c:pt>
                <c:pt idx="182">
                  <c:v>595.78474694239264</c:v>
                </c:pt>
                <c:pt idx="183">
                  <c:v>595.78474694239264</c:v>
                </c:pt>
                <c:pt idx="184">
                  <c:v>595.78474694239264</c:v>
                </c:pt>
                <c:pt idx="185">
                  <c:v>595.78474694239264</c:v>
                </c:pt>
                <c:pt idx="186">
                  <c:v>595.78474694239264</c:v>
                </c:pt>
                <c:pt idx="187">
                  <c:v>595.78474694239264</c:v>
                </c:pt>
                <c:pt idx="188">
                  <c:v>595.78474694239264</c:v>
                </c:pt>
                <c:pt idx="189">
                  <c:v>595.78474694239264</c:v>
                </c:pt>
                <c:pt idx="190">
                  <c:v>595.78474694239264</c:v>
                </c:pt>
                <c:pt idx="191">
                  <c:v>595.78474694239264</c:v>
                </c:pt>
                <c:pt idx="192">
                  <c:v>595.78474694239264</c:v>
                </c:pt>
                <c:pt idx="193">
                  <c:v>595.78474694239264</c:v>
                </c:pt>
                <c:pt idx="194">
                  <c:v>595.78474694239264</c:v>
                </c:pt>
                <c:pt idx="195">
                  <c:v>595.78474694239264</c:v>
                </c:pt>
                <c:pt idx="196">
                  <c:v>595.78474694239264</c:v>
                </c:pt>
                <c:pt idx="197">
                  <c:v>595.78474694239264</c:v>
                </c:pt>
                <c:pt idx="198">
                  <c:v>595.78474694239264</c:v>
                </c:pt>
                <c:pt idx="199">
                  <c:v>595.78474694239264</c:v>
                </c:pt>
                <c:pt idx="200">
                  <c:v>595.78474694239264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1.7202304100925723</c:v>
                </c:pt>
                <c:pt idx="2">
                  <c:v>2.2298741320266284</c:v>
                </c:pt>
                <c:pt idx="3">
                  <c:v>2.8911257088074844</c:v>
                </c:pt>
                <c:pt idx="4">
                  <c:v>3.7492588904152253</c:v>
                </c:pt>
                <c:pt idx="5">
                  <c:v>9.4527708386346081</c:v>
                </c:pt>
                <c:pt idx="6">
                  <c:v>16.799486671896954</c:v>
                </c:pt>
                <c:pt idx="7">
                  <c:v>25.664243314453273</c:v>
                </c:pt>
                <c:pt idx="8">
                  <c:v>35.922764560948956</c:v>
                </c:pt>
                <c:pt idx="9">
                  <c:v>47.453531707676156</c:v>
                </c:pt>
                <c:pt idx="10">
                  <c:v>60.137455844870459</c:v>
                </c:pt>
                <c:pt idx="11">
                  <c:v>73.857406838666478</c:v>
                </c:pt>
                <c:pt idx="12">
                  <c:v>88.497823262041379</c:v>
                </c:pt>
                <c:pt idx="13">
                  <c:v>103.94441176932362</c:v>
                </c:pt>
                <c:pt idx="14">
                  <c:v>120.08391644444065</c:v>
                </c:pt>
                <c:pt idx="15">
                  <c:v>136.80393960137704</c:v>
                </c:pt>
                <c:pt idx="16">
                  <c:v>153.99280012767676</c:v>
                </c:pt>
                <c:pt idx="17">
                  <c:v>171.53941943248637</c:v>
                </c:pt>
                <c:pt idx="18">
                  <c:v>189.3332279334883</c:v>
                </c:pt>
                <c:pt idx="19">
                  <c:v>207.26408700923182</c:v>
                </c:pt>
                <c:pt idx="20">
                  <c:v>225.22222271584272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I6" sqref="I6"/>
    </sheetView>
  </sheetViews>
  <sheetFormatPr baseColWidth="10" defaultColWidth="11.42578125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65" t="s">
        <v>0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25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25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25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25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25">
      <c r="B18" s="265" t="s">
        <v>1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25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25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25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25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25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25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25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25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25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25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25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25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25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C76" sqref="C76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6" t="s">
        <v>2</v>
      </c>
      <c r="D1" s="266"/>
      <c r="E1" s="26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71" t="s">
        <v>4</v>
      </c>
      <c r="C3" s="272"/>
      <c r="D3" s="272"/>
      <c r="E3" s="272"/>
      <c r="F3" s="273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76" t="s">
        <v>7</v>
      </c>
      <c r="B5" s="276"/>
      <c r="C5" s="24">
        <v>10.050000000000001</v>
      </c>
      <c r="D5" s="277" t="s">
        <v>8</v>
      </c>
      <c r="E5" s="278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75" t="s">
        <v>9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15</v>
      </c>
      <c r="B9" s="31" t="s">
        <v>16</v>
      </c>
      <c r="C9" s="32">
        <v>0.53</v>
      </c>
      <c r="D9" s="33">
        <f t="shared" ref="D9:D18" si="0">C9*$C$5</f>
        <v>5.3265000000000002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18</v>
      </c>
      <c r="B10" s="31" t="s">
        <v>19</v>
      </c>
      <c r="C10" s="32">
        <v>0.47</v>
      </c>
      <c r="D10" s="33">
        <f t="shared" si="0"/>
        <v>4.7235000000000005</v>
      </c>
      <c r="E10" s="34">
        <v>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20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21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22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23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24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25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26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27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28</v>
      </c>
      <c r="C19" s="37">
        <f>SUM(C9:C18)</f>
        <v>1</v>
      </c>
      <c r="D19" s="38">
        <f>SUM(D9:D18)</f>
        <v>10.050000000000001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74" t="s">
        <v>29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30</v>
      </c>
      <c r="B24" s="42" t="s">
        <v>31</v>
      </c>
      <c r="C24" s="43">
        <v>0</v>
      </c>
      <c r="D24" s="44" t="s">
        <v>32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33</v>
      </c>
      <c r="B25" s="42" t="s">
        <v>34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35</v>
      </c>
      <c r="B26" s="42" t="s">
        <v>36</v>
      </c>
      <c r="C26" s="43">
        <v>0.05</v>
      </c>
      <c r="D26" s="44" t="s">
        <v>37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38</v>
      </c>
      <c r="B27" s="42" t="s">
        <v>39</v>
      </c>
      <c r="C27" s="43">
        <v>0</v>
      </c>
      <c r="D27" s="44" t="s">
        <v>40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75" t="s">
        <v>41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15</v>
      </c>
      <c r="B32" s="47" t="str">
        <f>IF(B9="","",B9)</f>
        <v>Robinier faux-acacia</v>
      </c>
      <c r="D32" s="229" t="s">
        <v>42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43</v>
      </c>
      <c r="C34" s="267" t="s">
        <v>44</v>
      </c>
      <c r="D34" s="267"/>
      <c r="E34" s="268" t="s">
        <v>45</v>
      </c>
      <c r="F34" s="269"/>
      <c r="G34" s="269"/>
      <c r="H34" s="27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46</v>
      </c>
      <c r="B35" s="36" t="s">
        <v>47</v>
      </c>
      <c r="C35" s="48" t="s">
        <v>48</v>
      </c>
      <c r="D35" s="48" t="s">
        <v>49</v>
      </c>
      <c r="E35" s="36" t="s">
        <v>50</v>
      </c>
      <c r="F35" s="36" t="s">
        <v>51</v>
      </c>
      <c r="G35" s="36" t="s">
        <v>52</v>
      </c>
      <c r="H35" s="36" t="s">
        <v>53</v>
      </c>
      <c r="I35" s="48" t="s">
        <v>54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5</v>
      </c>
      <c r="B36" s="60">
        <v>34</v>
      </c>
      <c r="C36" s="60">
        <v>1</v>
      </c>
      <c r="D36" s="60">
        <v>6</v>
      </c>
      <c r="E36" s="51">
        <v>0</v>
      </c>
      <c r="F36" s="51">
        <v>0</v>
      </c>
      <c r="G36" s="51">
        <v>0</v>
      </c>
      <c r="H36" s="51">
        <v>1</v>
      </c>
      <c r="I36" s="49">
        <f>IFERROR(B36/A36,"")</f>
        <v>6.8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10</v>
      </c>
      <c r="B37" s="60">
        <v>99</v>
      </c>
      <c r="C37" s="60">
        <v>2</v>
      </c>
      <c r="D37" s="60">
        <v>29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14.2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15</v>
      </c>
      <c r="B38" s="60">
        <v>140</v>
      </c>
      <c r="C38" s="60">
        <v>3</v>
      </c>
      <c r="D38" s="60">
        <v>23</v>
      </c>
      <c r="E38" s="51">
        <v>0</v>
      </c>
      <c r="F38" s="51">
        <v>0</v>
      </c>
      <c r="G38" s="51">
        <v>0</v>
      </c>
      <c r="H38" s="51">
        <v>1</v>
      </c>
      <c r="I38" s="53">
        <f t="shared" si="1"/>
        <v>14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20</v>
      </c>
      <c r="B39" s="60">
        <v>180</v>
      </c>
      <c r="C39" s="60">
        <v>4</v>
      </c>
      <c r="D39" s="60">
        <v>19</v>
      </c>
      <c r="E39" s="51">
        <v>0</v>
      </c>
      <c r="F39" s="51">
        <v>0</v>
      </c>
      <c r="G39" s="51">
        <v>0</v>
      </c>
      <c r="H39" s="51">
        <v>1</v>
      </c>
      <c r="I39" s="49">
        <f t="shared" si="1"/>
        <v>12.6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25</v>
      </c>
      <c r="B40" s="60">
        <v>214</v>
      </c>
      <c r="C40" s="60">
        <v>5</v>
      </c>
      <c r="D40" s="60">
        <v>14</v>
      </c>
      <c r="E40" s="51">
        <v>0</v>
      </c>
      <c r="F40" s="51">
        <v>0.5</v>
      </c>
      <c r="G40" s="51">
        <v>0</v>
      </c>
      <c r="H40" s="51">
        <v>0.5</v>
      </c>
      <c r="I40" s="49">
        <f t="shared" si="1"/>
        <v>10.6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30</v>
      </c>
      <c r="B41" s="60">
        <v>243</v>
      </c>
      <c r="C41" s="60">
        <v>6</v>
      </c>
      <c r="D41" s="60">
        <v>11</v>
      </c>
      <c r="E41" s="51">
        <v>0</v>
      </c>
      <c r="F41" s="51">
        <v>0.5</v>
      </c>
      <c r="G41" s="51">
        <v>0</v>
      </c>
      <c r="H41" s="51">
        <v>0.5</v>
      </c>
      <c r="I41" s="53">
        <f t="shared" si="1"/>
        <v>8.6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35</v>
      </c>
      <c r="B42" s="60">
        <v>267</v>
      </c>
      <c r="C42" s="60">
        <v>7</v>
      </c>
      <c r="D42" s="60">
        <v>9</v>
      </c>
      <c r="E42" s="51">
        <v>0</v>
      </c>
      <c r="F42" s="51">
        <v>0.5</v>
      </c>
      <c r="G42" s="51">
        <v>0</v>
      </c>
      <c r="H42" s="51">
        <v>0.5</v>
      </c>
      <c r="I42" s="53">
        <f t="shared" si="1"/>
        <v>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40</v>
      </c>
      <c r="B43" s="60">
        <v>289</v>
      </c>
      <c r="C43" s="60">
        <v>8</v>
      </c>
      <c r="D43" s="60">
        <v>7</v>
      </c>
      <c r="E43" s="51">
        <v>0.3</v>
      </c>
      <c r="F43" s="51">
        <v>0.4</v>
      </c>
      <c r="G43" s="51">
        <v>0</v>
      </c>
      <c r="H43" s="51">
        <v>0.3</v>
      </c>
      <c r="I43" s="49">
        <f t="shared" si="1"/>
        <v>6.2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45</v>
      </c>
      <c r="B44" s="60">
        <v>312</v>
      </c>
      <c r="C44" s="60">
        <v>9</v>
      </c>
      <c r="D44" s="60">
        <v>7</v>
      </c>
      <c r="E44" s="51">
        <v>0.3</v>
      </c>
      <c r="F44" s="51">
        <v>0.4</v>
      </c>
      <c r="G44" s="51">
        <v>0</v>
      </c>
      <c r="H44" s="51">
        <v>0.3</v>
      </c>
      <c r="I44" s="49">
        <f t="shared" si="1"/>
        <v>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18</v>
      </c>
      <c r="B58" s="52" t="str">
        <f>IF(B10="","",B10)</f>
        <v>Peuplier Koster</v>
      </c>
      <c r="D58" s="229" t="s">
        <v>42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43</v>
      </c>
      <c r="C60" s="267" t="s">
        <v>44</v>
      </c>
      <c r="D60" s="267"/>
      <c r="E60" s="268" t="s">
        <v>45</v>
      </c>
      <c r="F60" s="269"/>
      <c r="G60" s="269"/>
      <c r="H60" s="27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46</v>
      </c>
      <c r="B61" s="36" t="s">
        <v>47</v>
      </c>
      <c r="C61" s="48" t="s">
        <v>48</v>
      </c>
      <c r="D61" s="48" t="s">
        <v>49</v>
      </c>
      <c r="E61" s="36" t="s">
        <v>50</v>
      </c>
      <c r="F61" s="36" t="s">
        <v>51</v>
      </c>
      <c r="G61" s="36" t="s">
        <v>52</v>
      </c>
      <c r="H61" s="36" t="s">
        <v>53</v>
      </c>
      <c r="I61" s="48" t="s">
        <v>54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257">
        <v>4</v>
      </c>
      <c r="B62" s="258">
        <v>2.94</v>
      </c>
      <c r="C62" s="258">
        <v>0</v>
      </c>
      <c r="D62" s="258">
        <v>0</v>
      </c>
      <c r="E62" s="259">
        <v>0</v>
      </c>
      <c r="F62" s="259">
        <v>0</v>
      </c>
      <c r="G62" s="259">
        <v>0</v>
      </c>
      <c r="H62" s="259">
        <v>0</v>
      </c>
      <c r="I62" s="53">
        <f>IFERROR(B62/A62,"")</f>
        <v>0.73499999999999999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257">
        <v>5</v>
      </c>
      <c r="B63" s="258">
        <v>7.6591666666666711</v>
      </c>
      <c r="C63" s="258">
        <v>0</v>
      </c>
      <c r="D63" s="258">
        <v>0</v>
      </c>
      <c r="E63" s="259">
        <v>0</v>
      </c>
      <c r="F63" s="259">
        <v>0</v>
      </c>
      <c r="G63" s="259">
        <v>0</v>
      </c>
      <c r="H63" s="259">
        <v>0</v>
      </c>
      <c r="I63" s="49">
        <f>IF(A63&lt;&gt;0,(B63-(B62-D62))/(A63-A62),"")</f>
        <v>4.7191666666666716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257">
        <v>6</v>
      </c>
      <c r="B64" s="258">
        <v>13.873589743589744</v>
      </c>
      <c r="C64" s="258">
        <v>0</v>
      </c>
      <c r="D64" s="258">
        <v>0</v>
      </c>
      <c r="E64" s="259">
        <v>0</v>
      </c>
      <c r="F64" s="259">
        <v>0</v>
      </c>
      <c r="G64" s="259">
        <v>0</v>
      </c>
      <c r="H64" s="259">
        <v>0</v>
      </c>
      <c r="I64" s="49">
        <f>IF(A64&lt;&gt;0,(B64-(B63-D63))/(A64-A63),"")</f>
        <v>6.2144230769230724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257">
        <v>7</v>
      </c>
      <c r="B65" s="258">
        <v>21.480576923076921</v>
      </c>
      <c r="C65" s="258">
        <v>0</v>
      </c>
      <c r="D65" s="258">
        <v>0</v>
      </c>
      <c r="E65" s="259">
        <v>0</v>
      </c>
      <c r="F65" s="259">
        <v>0</v>
      </c>
      <c r="G65" s="259">
        <v>0</v>
      </c>
      <c r="H65" s="259">
        <v>0</v>
      </c>
      <c r="I65" s="49">
        <f>IF(A65&lt;&gt;0,(B65-(B64-D64))/(A65-A64),"")</f>
        <v>7.6069871794871773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257">
        <v>8</v>
      </c>
      <c r="B66" s="258">
        <v>30.377435897435895</v>
      </c>
      <c r="C66" s="258">
        <v>0</v>
      </c>
      <c r="D66" s="258">
        <v>0</v>
      </c>
      <c r="E66" s="259">
        <v>0</v>
      </c>
      <c r="F66" s="259">
        <v>0</v>
      </c>
      <c r="G66" s="259">
        <v>0</v>
      </c>
      <c r="H66" s="259">
        <v>0</v>
      </c>
      <c r="I66" s="49">
        <f t="shared" ref="I66:I81" si="2">IF(A66&lt;&gt;0,(B66-(B65-D65))/(A66-A65),"")</f>
        <v>8.8968589743589739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257">
        <v>9</v>
      </c>
      <c r="B67" s="258">
        <v>40.46147435897435</v>
      </c>
      <c r="C67" s="258">
        <v>0</v>
      </c>
      <c r="D67" s="258">
        <v>0</v>
      </c>
      <c r="E67" s="260">
        <v>0</v>
      </c>
      <c r="F67" s="260">
        <v>0</v>
      </c>
      <c r="G67" s="260">
        <v>0</v>
      </c>
      <c r="H67" s="260">
        <v>0</v>
      </c>
      <c r="I67" s="49">
        <f t="shared" si="2"/>
        <v>10.084038461538455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257">
        <v>10</v>
      </c>
      <c r="B68" s="258">
        <v>51.630000000000017</v>
      </c>
      <c r="C68" s="258">
        <v>0</v>
      </c>
      <c r="D68" s="258">
        <v>0</v>
      </c>
      <c r="E68" s="260">
        <v>0</v>
      </c>
      <c r="F68" s="260">
        <v>0</v>
      </c>
      <c r="G68" s="260">
        <v>0</v>
      </c>
      <c r="H68" s="260">
        <v>0</v>
      </c>
      <c r="I68" s="49">
        <f t="shared" si="2"/>
        <v>11.168525641025667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261">
        <v>11</v>
      </c>
      <c r="B69" s="261">
        <v>63.780320512820509</v>
      </c>
      <c r="C69" s="261">
        <v>0</v>
      </c>
      <c r="D69" s="261">
        <v>0</v>
      </c>
      <c r="E69" s="260">
        <v>0</v>
      </c>
      <c r="F69" s="260">
        <v>0</v>
      </c>
      <c r="G69" s="260">
        <v>0</v>
      </c>
      <c r="H69" s="260">
        <v>0</v>
      </c>
      <c r="I69" s="49">
        <f t="shared" si="2"/>
        <v>12.150320512820493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261">
        <v>12</v>
      </c>
      <c r="B70" s="261">
        <v>76.80974358974359</v>
      </c>
      <c r="C70" s="261">
        <v>0</v>
      </c>
      <c r="D70" s="261">
        <v>0</v>
      </c>
      <c r="E70" s="260">
        <v>0</v>
      </c>
      <c r="F70" s="260">
        <v>0</v>
      </c>
      <c r="G70" s="260">
        <v>0</v>
      </c>
      <c r="H70" s="260">
        <v>0</v>
      </c>
      <c r="I70" s="49">
        <f t="shared" si="2"/>
        <v>13.029423076923081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13</v>
      </c>
      <c r="B71" s="50">
        <v>90.615576923076929</v>
      </c>
      <c r="C71" s="50">
        <v>0</v>
      </c>
      <c r="D71" s="50">
        <v>0</v>
      </c>
      <c r="E71" s="51">
        <v>0</v>
      </c>
      <c r="F71" s="51">
        <v>0</v>
      </c>
      <c r="G71" s="51">
        <v>0</v>
      </c>
      <c r="H71" s="51">
        <v>0</v>
      </c>
      <c r="I71" s="49">
        <f t="shared" si="2"/>
        <v>13.805833333333339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14</v>
      </c>
      <c r="B72" s="50">
        <v>105.09512820512822</v>
      </c>
      <c r="C72" s="50">
        <v>0</v>
      </c>
      <c r="D72" s="50">
        <v>0</v>
      </c>
      <c r="E72" s="51">
        <v>0</v>
      </c>
      <c r="F72" s="51">
        <v>0</v>
      </c>
      <c r="G72" s="51">
        <v>0</v>
      </c>
      <c r="H72" s="51">
        <v>0</v>
      </c>
      <c r="I72" s="49">
        <f t="shared" si="2"/>
        <v>14.47955128205129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15</v>
      </c>
      <c r="B73" s="50">
        <v>120.14570512820511</v>
      </c>
      <c r="C73" s="50">
        <v>0</v>
      </c>
      <c r="D73" s="50">
        <v>0</v>
      </c>
      <c r="E73" s="51">
        <v>0</v>
      </c>
      <c r="F73" s="51">
        <v>0</v>
      </c>
      <c r="G73" s="51">
        <v>0</v>
      </c>
      <c r="H73" s="51">
        <v>0</v>
      </c>
      <c r="I73" s="49">
        <f t="shared" si="2"/>
        <v>15.050576923076889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16</v>
      </c>
      <c r="B74" s="50">
        <v>135.66461538461539</v>
      </c>
      <c r="C74" s="50">
        <v>0</v>
      </c>
      <c r="D74" s="50">
        <v>0</v>
      </c>
      <c r="E74" s="51">
        <v>0</v>
      </c>
      <c r="F74" s="51">
        <v>0</v>
      </c>
      <c r="G74" s="51">
        <v>0</v>
      </c>
      <c r="H74" s="51">
        <v>0</v>
      </c>
      <c r="I74" s="49">
        <f t="shared" si="2"/>
        <v>15.51891025641028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17</v>
      </c>
      <c r="B75" s="50">
        <v>151.54916666666668</v>
      </c>
      <c r="C75" s="50">
        <v>0</v>
      </c>
      <c r="D75" s="50">
        <v>0</v>
      </c>
      <c r="E75" s="51">
        <v>0</v>
      </c>
      <c r="F75" s="51">
        <v>0</v>
      </c>
      <c r="G75" s="51">
        <v>0</v>
      </c>
      <c r="H75" s="51">
        <v>0</v>
      </c>
      <c r="I75" s="49">
        <f t="shared" si="2"/>
        <v>15.884551282051291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18</v>
      </c>
      <c r="B76" s="50">
        <v>167.69666666666663</v>
      </c>
      <c r="C76" s="50">
        <v>0</v>
      </c>
      <c r="D76" s="50">
        <v>0</v>
      </c>
      <c r="E76" s="51">
        <v>0</v>
      </c>
      <c r="F76" s="51">
        <v>0</v>
      </c>
      <c r="G76" s="51">
        <v>0</v>
      </c>
      <c r="H76" s="51">
        <v>0</v>
      </c>
      <c r="I76" s="49">
        <f t="shared" si="2"/>
        <v>16.147499999999951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19</v>
      </c>
      <c r="B77" s="50">
        <v>184.00442307692299</v>
      </c>
      <c r="C77" s="50">
        <v>0</v>
      </c>
      <c r="D77" s="50">
        <v>0</v>
      </c>
      <c r="E77" s="51">
        <v>0</v>
      </c>
      <c r="F77" s="51">
        <v>0</v>
      </c>
      <c r="G77" s="51">
        <v>0</v>
      </c>
      <c r="H77" s="51">
        <v>0</v>
      </c>
      <c r="I77" s="49">
        <f t="shared" si="2"/>
        <v>16.30775641025636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>
        <v>20</v>
      </c>
      <c r="B78" s="50">
        <v>200.36974358974356</v>
      </c>
      <c r="C78" s="50" t="s">
        <v>55</v>
      </c>
      <c r="D78" s="50">
        <v>200.36974358974356</v>
      </c>
      <c r="E78" s="51">
        <v>0.7</v>
      </c>
      <c r="F78" s="51">
        <v>0.15</v>
      </c>
      <c r="G78" s="51">
        <v>0.15</v>
      </c>
      <c r="H78" s="51">
        <v>0</v>
      </c>
      <c r="I78" s="49">
        <f t="shared" si="2"/>
        <v>16.365320512820574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20</v>
      </c>
      <c r="B84" s="52" t="str">
        <f>IF(B11="","",B11)</f>
        <v/>
      </c>
      <c r="D84" s="229" t="s">
        <v>42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43</v>
      </c>
      <c r="C86" s="267" t="s">
        <v>44</v>
      </c>
      <c r="D86" s="267"/>
      <c r="E86" s="268" t="s">
        <v>45</v>
      </c>
      <c r="F86" s="269"/>
      <c r="G86" s="269"/>
      <c r="H86" s="27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46</v>
      </c>
      <c r="B87" s="36" t="s">
        <v>47</v>
      </c>
      <c r="C87" s="48" t="s">
        <v>48</v>
      </c>
      <c r="D87" s="48" t="s">
        <v>49</v>
      </c>
      <c r="E87" s="36" t="s">
        <v>50</v>
      </c>
      <c r="F87" s="36" t="s">
        <v>51</v>
      </c>
      <c r="G87" s="36" t="s">
        <v>52</v>
      </c>
      <c r="H87" s="36" t="s">
        <v>53</v>
      </c>
      <c r="I87" s="48" t="s">
        <v>54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257"/>
      <c r="B88" s="258"/>
      <c r="C88" s="258"/>
      <c r="D88" s="258"/>
      <c r="E88" s="259"/>
      <c r="F88" s="259"/>
      <c r="G88" s="259"/>
      <c r="H88" s="262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257"/>
      <c r="B89" s="258"/>
      <c r="C89" s="258"/>
      <c r="D89" s="258"/>
      <c r="E89" s="259"/>
      <c r="F89" s="259"/>
      <c r="G89" s="259"/>
      <c r="H89" s="262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257"/>
      <c r="B90" s="258"/>
      <c r="C90" s="258"/>
      <c r="D90" s="258"/>
      <c r="E90" s="262"/>
      <c r="F90" s="262"/>
      <c r="G90" s="262"/>
      <c r="H90" s="262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257"/>
      <c r="B91" s="258"/>
      <c r="C91" s="258"/>
      <c r="D91" s="258"/>
      <c r="E91" s="262"/>
      <c r="F91" s="262"/>
      <c r="G91" s="262"/>
      <c r="H91" s="262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257"/>
      <c r="B92" s="258"/>
      <c r="C92" s="258"/>
      <c r="D92" s="258"/>
      <c r="E92" s="262"/>
      <c r="F92" s="262"/>
      <c r="G92" s="262"/>
      <c r="H92" s="262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257"/>
      <c r="B93" s="258"/>
      <c r="C93" s="258"/>
      <c r="D93" s="258"/>
      <c r="E93" s="263"/>
      <c r="F93" s="263"/>
      <c r="G93" s="263"/>
      <c r="H93" s="263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257"/>
      <c r="B94" s="258"/>
      <c r="C94" s="258"/>
      <c r="D94" s="258"/>
      <c r="E94" s="263"/>
      <c r="F94" s="263"/>
      <c r="G94" s="263"/>
      <c r="H94" s="263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21</v>
      </c>
      <c r="B110" s="52" t="str">
        <f>IF(B12="","",B12)</f>
        <v/>
      </c>
      <c r="D110" s="229" t="s">
        <v>42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43</v>
      </c>
      <c r="C112" s="267" t="s">
        <v>44</v>
      </c>
      <c r="D112" s="267"/>
      <c r="E112" s="268" t="s">
        <v>45</v>
      </c>
      <c r="F112" s="269"/>
      <c r="G112" s="269"/>
      <c r="H112" s="27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46</v>
      </c>
      <c r="B113" s="36" t="s">
        <v>47</v>
      </c>
      <c r="C113" s="48" t="s">
        <v>48</v>
      </c>
      <c r="D113" s="48" t="s">
        <v>49</v>
      </c>
      <c r="E113" s="36" t="s">
        <v>50</v>
      </c>
      <c r="F113" s="36" t="s">
        <v>51</v>
      </c>
      <c r="G113" s="36" t="s">
        <v>52</v>
      </c>
      <c r="H113" s="36" t="s">
        <v>53</v>
      </c>
      <c r="I113" s="48" t="s">
        <v>54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257"/>
      <c r="B114" s="258"/>
      <c r="C114" s="257"/>
      <c r="D114" s="258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257"/>
      <c r="B115" s="258"/>
      <c r="C115" s="257"/>
      <c r="D115" s="258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257"/>
      <c r="B116" s="258"/>
      <c r="C116" s="257"/>
      <c r="D116" s="258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257"/>
      <c r="B117" s="258"/>
      <c r="C117" s="257"/>
      <c r="D117" s="258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257"/>
      <c r="B118" s="258"/>
      <c r="C118" s="257"/>
      <c r="D118" s="258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257"/>
      <c r="B119" s="258"/>
      <c r="C119" s="257"/>
      <c r="D119" s="258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258"/>
      <c r="B120" s="258"/>
      <c r="C120" s="258"/>
      <c r="D120" s="258"/>
      <c r="E120" s="263"/>
      <c r="F120" s="263"/>
      <c r="G120" s="263"/>
      <c r="H120" s="263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264"/>
      <c r="B121" s="264"/>
      <c r="C121" s="264"/>
      <c r="D121" s="264"/>
      <c r="E121" s="263"/>
      <c r="F121" s="263"/>
      <c r="G121" s="263"/>
      <c r="H121" s="263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264"/>
      <c r="B122" s="264"/>
      <c r="C122" s="264"/>
      <c r="D122" s="264"/>
      <c r="E122" s="263"/>
      <c r="F122" s="263"/>
      <c r="G122" s="263"/>
      <c r="H122" s="263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22</v>
      </c>
      <c r="B136" s="52" t="str">
        <f>IF(B13="","",B13)</f>
        <v/>
      </c>
      <c r="D136" s="229" t="s">
        <v>42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43</v>
      </c>
      <c r="C138" s="267" t="s">
        <v>44</v>
      </c>
      <c r="D138" s="267"/>
      <c r="E138" s="268" t="s">
        <v>45</v>
      </c>
      <c r="F138" s="269"/>
      <c r="G138" s="269"/>
      <c r="H138" s="27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46</v>
      </c>
      <c r="B139" s="36" t="s">
        <v>47</v>
      </c>
      <c r="C139" s="48" t="s">
        <v>48</v>
      </c>
      <c r="D139" s="48" t="s">
        <v>49</v>
      </c>
      <c r="E139" s="36" t="s">
        <v>50</v>
      </c>
      <c r="F139" s="36" t="s">
        <v>51</v>
      </c>
      <c r="G139" s="36" t="s">
        <v>52</v>
      </c>
      <c r="H139" s="36" t="s">
        <v>53</v>
      </c>
      <c r="I139" s="48" t="s">
        <v>54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257"/>
      <c r="B140" s="258"/>
      <c r="C140" s="257"/>
      <c r="D140" s="258"/>
      <c r="E140" s="259"/>
      <c r="F140" s="259"/>
      <c r="G140" s="259"/>
      <c r="H140" s="259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257"/>
      <c r="B141" s="258"/>
      <c r="C141" s="257"/>
      <c r="D141" s="258"/>
      <c r="E141" s="259"/>
      <c r="F141" s="259"/>
      <c r="G141" s="259"/>
      <c r="H141" s="259"/>
      <c r="I141" s="57" t="str">
        <f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257"/>
      <c r="B142" s="258"/>
      <c r="C142" s="257"/>
      <c r="D142" s="258"/>
      <c r="E142" s="259"/>
      <c r="F142" s="259"/>
      <c r="G142" s="259"/>
      <c r="H142" s="259"/>
      <c r="I142" s="57" t="str">
        <f>IF(A142&lt;&gt;0,(B142-(B141-D141))/(A142-A141),"")</f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257"/>
      <c r="B143" s="258"/>
      <c r="C143" s="257"/>
      <c r="D143" s="258"/>
      <c r="E143" s="259"/>
      <c r="F143" s="259"/>
      <c r="G143" s="259"/>
      <c r="H143" s="259"/>
      <c r="I143" s="57" t="str">
        <f t="shared" ref="I143:I159" si="5">IF(A143&lt;&gt;0,(B143-(B142-D142))/(A143-A142),"")</f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257"/>
      <c r="B144" s="258"/>
      <c r="C144" s="257"/>
      <c r="D144" s="258"/>
      <c r="E144" s="259"/>
      <c r="F144" s="259"/>
      <c r="G144" s="259"/>
      <c r="H144" s="259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23</v>
      </c>
      <c r="B162" s="52" t="str">
        <f>IF(B14="","",B14)</f>
        <v/>
      </c>
      <c r="D162" s="229" t="s">
        <v>42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43</v>
      </c>
      <c r="C164" s="267" t="s">
        <v>44</v>
      </c>
      <c r="D164" s="267"/>
      <c r="E164" s="268" t="s">
        <v>45</v>
      </c>
      <c r="F164" s="269"/>
      <c r="G164" s="269"/>
      <c r="H164" s="27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46</v>
      </c>
      <c r="B165" s="36" t="s">
        <v>47</v>
      </c>
      <c r="C165" s="48" t="s">
        <v>48</v>
      </c>
      <c r="D165" s="48" t="s">
        <v>49</v>
      </c>
      <c r="E165" s="36" t="s">
        <v>50</v>
      </c>
      <c r="F165" s="36" t="s">
        <v>51</v>
      </c>
      <c r="G165" s="36" t="s">
        <v>52</v>
      </c>
      <c r="H165" s="36" t="s">
        <v>53</v>
      </c>
      <c r="I165" s="48" t="s">
        <v>54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24</v>
      </c>
      <c r="B188" s="52" t="str">
        <f>IF(B15="","",B15)</f>
        <v/>
      </c>
      <c r="D188" s="229" t="s">
        <v>42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43</v>
      </c>
      <c r="C190" s="267" t="s">
        <v>44</v>
      </c>
      <c r="D190" s="267"/>
      <c r="E190" s="268" t="s">
        <v>45</v>
      </c>
      <c r="F190" s="269"/>
      <c r="G190" s="269"/>
      <c r="H190" s="27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46</v>
      </c>
      <c r="B191" s="36" t="s">
        <v>47</v>
      </c>
      <c r="C191" s="48" t="s">
        <v>48</v>
      </c>
      <c r="D191" s="48" t="s">
        <v>49</v>
      </c>
      <c r="E191" s="36" t="s">
        <v>50</v>
      </c>
      <c r="F191" s="36" t="s">
        <v>51</v>
      </c>
      <c r="G191" s="36" t="s">
        <v>52</v>
      </c>
      <c r="H191" s="36" t="s">
        <v>53</v>
      </c>
      <c r="I191" s="48" t="s">
        <v>54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25</v>
      </c>
      <c r="B214" s="52" t="str">
        <f>IF(B16="","",B16)</f>
        <v/>
      </c>
      <c r="D214" s="229" t="s">
        <v>42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43</v>
      </c>
      <c r="C216" s="267" t="s">
        <v>44</v>
      </c>
      <c r="D216" s="267"/>
      <c r="E216" s="268" t="s">
        <v>45</v>
      </c>
      <c r="F216" s="269"/>
      <c r="G216" s="269"/>
      <c r="H216" s="27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46</v>
      </c>
      <c r="B217" s="36" t="s">
        <v>47</v>
      </c>
      <c r="C217" s="48" t="s">
        <v>48</v>
      </c>
      <c r="D217" s="48" t="s">
        <v>49</v>
      </c>
      <c r="E217" s="36" t="s">
        <v>50</v>
      </c>
      <c r="F217" s="36" t="s">
        <v>51</v>
      </c>
      <c r="G217" s="36" t="s">
        <v>52</v>
      </c>
      <c r="H217" s="36" t="s">
        <v>53</v>
      </c>
      <c r="I217" s="48" t="s">
        <v>54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26</v>
      </c>
      <c r="B240" s="52" t="str">
        <f>IF(B17="","",B17)</f>
        <v/>
      </c>
      <c r="D240" s="229" t="s">
        <v>42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43</v>
      </c>
      <c r="C242" s="267" t="s">
        <v>44</v>
      </c>
      <c r="D242" s="267"/>
      <c r="E242" s="268" t="s">
        <v>45</v>
      </c>
      <c r="F242" s="269"/>
      <c r="G242" s="269"/>
      <c r="H242" s="27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46</v>
      </c>
      <c r="B243" s="36" t="s">
        <v>47</v>
      </c>
      <c r="C243" s="48" t="s">
        <v>48</v>
      </c>
      <c r="D243" s="48" t="s">
        <v>49</v>
      </c>
      <c r="E243" s="36" t="s">
        <v>50</v>
      </c>
      <c r="F243" s="36" t="s">
        <v>51</v>
      </c>
      <c r="G243" s="36" t="s">
        <v>52</v>
      </c>
      <c r="H243" s="36" t="s">
        <v>53</v>
      </c>
      <c r="I243" s="48" t="s">
        <v>54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27</v>
      </c>
      <c r="B266" s="52" t="str">
        <f>IF(B18="","",B18)</f>
        <v/>
      </c>
      <c r="D266" s="229" t="s">
        <v>42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43</v>
      </c>
      <c r="C268" s="267" t="s">
        <v>44</v>
      </c>
      <c r="D268" s="267"/>
      <c r="E268" s="268" t="s">
        <v>45</v>
      </c>
      <c r="F268" s="269"/>
      <c r="G268" s="269"/>
      <c r="H268" s="27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46</v>
      </c>
      <c r="B269" s="36" t="s">
        <v>47</v>
      </c>
      <c r="C269" s="48" t="s">
        <v>48</v>
      </c>
      <c r="D269" s="48" t="s">
        <v>49</v>
      </c>
      <c r="E269" s="36" t="s">
        <v>50</v>
      </c>
      <c r="F269" s="36" t="s">
        <v>51</v>
      </c>
      <c r="G269" s="36" t="s">
        <v>52</v>
      </c>
      <c r="H269" s="36" t="s">
        <v>53</v>
      </c>
      <c r="I269" s="48" t="s">
        <v>54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3" sqref="B1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80" t="s">
        <v>56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57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58</v>
      </c>
      <c r="C7" s="100" t="s">
        <v>59</v>
      </c>
      <c r="D7" s="215"/>
      <c r="E7" s="101"/>
      <c r="F7" s="26" t="s">
        <v>58</v>
      </c>
      <c r="G7" s="100" t="s">
        <v>60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61</v>
      </c>
      <c r="D8" s="23"/>
      <c r="E8" s="105">
        <v>4</v>
      </c>
      <c r="F8" s="61">
        <v>0</v>
      </c>
      <c r="G8" s="102" t="s">
        <v>62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63</v>
      </c>
      <c r="D9" s="23"/>
      <c r="E9" s="105">
        <v>5</v>
      </c>
      <c r="F9" s="61">
        <v>0</v>
      </c>
      <c r="G9" s="103" t="s">
        <v>64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65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66</v>
      </c>
      <c r="D13" s="216"/>
      <c r="E13" s="99"/>
      <c r="F13" s="107"/>
      <c r="G13" s="98" t="s">
        <v>67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68</v>
      </c>
      <c r="D14" s="216"/>
      <c r="E14" s="99"/>
      <c r="F14" s="107"/>
      <c r="G14" s="98" t="s">
        <v>69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58</v>
      </c>
      <c r="C15" s="4"/>
      <c r="D15" s="23"/>
      <c r="E15" s="4"/>
      <c r="F15" s="4"/>
      <c r="G15" s="2" t="s">
        <v>70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1</v>
      </c>
      <c r="C16" s="110" t="s">
        <v>71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72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73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86" t="s">
        <v>74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Robinier faux-acacia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Peuplier Koster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/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/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/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75.75" thickBot="1" x14ac:dyDescent="0.3">
      <c r="A2" s="71" t="s">
        <v>75</v>
      </c>
      <c r="B2" s="72" t="s">
        <v>76</v>
      </c>
      <c r="C2" s="5" t="s">
        <v>77</v>
      </c>
      <c r="D2" s="5" t="s">
        <v>78</v>
      </c>
      <c r="E2" s="5" t="s">
        <v>79</v>
      </c>
      <c r="F2" s="5" t="s">
        <v>80</v>
      </c>
      <c r="G2" s="5" t="s">
        <v>81</v>
      </c>
      <c r="H2" s="66" t="s">
        <v>82</v>
      </c>
      <c r="I2" s="68" t="s">
        <v>79</v>
      </c>
      <c r="J2" s="69" t="s">
        <v>80</v>
      </c>
      <c r="K2" s="6" t="s">
        <v>83</v>
      </c>
      <c r="L2" s="6" t="s">
        <v>84</v>
      </c>
      <c r="M2" s="6" t="s">
        <v>84</v>
      </c>
      <c r="N2" s="6" t="s">
        <v>85</v>
      </c>
      <c r="O2" s="6" t="s">
        <v>86</v>
      </c>
      <c r="P2" s="6" t="s">
        <v>87</v>
      </c>
      <c r="Q2" s="6" t="s">
        <v>81</v>
      </c>
      <c r="R2" s="6" t="s">
        <v>88</v>
      </c>
      <c r="S2" s="6" t="s">
        <v>89</v>
      </c>
      <c r="T2" s="6" t="s">
        <v>90</v>
      </c>
      <c r="U2" s="7" t="s">
        <v>91</v>
      </c>
      <c r="V2" s="8" t="s">
        <v>92</v>
      </c>
      <c r="W2" s="7" t="s">
        <v>50</v>
      </c>
      <c r="X2" s="7" t="s">
        <v>51</v>
      </c>
      <c r="Y2" s="7" t="s">
        <v>93</v>
      </c>
      <c r="Z2" s="8" t="s">
        <v>94</v>
      </c>
      <c r="AA2" s="8" t="s">
        <v>95</v>
      </c>
      <c r="AB2" s="8" t="s">
        <v>96</v>
      </c>
      <c r="AC2" s="9" t="s">
        <v>97</v>
      </c>
      <c r="AD2" s="69" t="s">
        <v>79</v>
      </c>
      <c r="AE2" s="69" t="s">
        <v>80</v>
      </c>
      <c r="AF2" s="6" t="s">
        <v>83</v>
      </c>
      <c r="AG2" s="6" t="s">
        <v>84</v>
      </c>
      <c r="AH2" s="6" t="s">
        <v>84</v>
      </c>
      <c r="AI2" s="6" t="s">
        <v>85</v>
      </c>
      <c r="AJ2" s="6" t="s">
        <v>86</v>
      </c>
      <c r="AK2" s="6" t="s">
        <v>87</v>
      </c>
      <c r="AL2" s="6" t="s">
        <v>81</v>
      </c>
      <c r="AM2" s="6" t="s">
        <v>88</v>
      </c>
      <c r="AN2" s="6" t="s">
        <v>89</v>
      </c>
      <c r="AO2" s="6" t="s">
        <v>90</v>
      </c>
      <c r="AP2" s="7" t="s">
        <v>91</v>
      </c>
      <c r="AQ2" s="8" t="s">
        <v>92</v>
      </c>
      <c r="AR2" s="7" t="s">
        <v>50</v>
      </c>
      <c r="AS2" s="7" t="s">
        <v>51</v>
      </c>
      <c r="AT2" s="8" t="s">
        <v>98</v>
      </c>
      <c r="AU2" s="8" t="s">
        <v>94</v>
      </c>
      <c r="AV2" s="8" t="s">
        <v>95</v>
      </c>
      <c r="AW2" s="8" t="s">
        <v>96</v>
      </c>
      <c r="AX2" s="8" t="s">
        <v>97</v>
      </c>
      <c r="AY2" s="68" t="s">
        <v>79</v>
      </c>
      <c r="AZ2" s="69" t="s">
        <v>80</v>
      </c>
      <c r="BA2" s="6" t="s">
        <v>83</v>
      </c>
      <c r="BB2" s="6" t="s">
        <v>84</v>
      </c>
      <c r="BC2" s="6" t="s">
        <v>84</v>
      </c>
      <c r="BD2" s="6" t="s">
        <v>85</v>
      </c>
      <c r="BE2" s="6" t="s">
        <v>86</v>
      </c>
      <c r="BF2" s="6" t="s">
        <v>87</v>
      </c>
      <c r="BG2" s="6" t="s">
        <v>81</v>
      </c>
      <c r="BH2" s="6" t="s">
        <v>88</v>
      </c>
      <c r="BI2" s="6" t="s">
        <v>89</v>
      </c>
      <c r="BJ2" s="6" t="s">
        <v>90</v>
      </c>
      <c r="BK2" s="7" t="s">
        <v>91</v>
      </c>
      <c r="BL2" s="8" t="s">
        <v>92</v>
      </c>
      <c r="BM2" s="7" t="s">
        <v>50</v>
      </c>
      <c r="BN2" s="7" t="s">
        <v>51</v>
      </c>
      <c r="BO2" s="8" t="s">
        <v>98</v>
      </c>
      <c r="BP2" s="8" t="s">
        <v>94</v>
      </c>
      <c r="BQ2" s="8" t="s">
        <v>95</v>
      </c>
      <c r="BR2" s="8" t="s">
        <v>96</v>
      </c>
      <c r="BS2" s="9" t="s">
        <v>97</v>
      </c>
      <c r="BT2" s="68" t="s">
        <v>79</v>
      </c>
      <c r="BU2" s="69" t="s">
        <v>80</v>
      </c>
      <c r="BV2" s="6" t="s">
        <v>83</v>
      </c>
      <c r="BW2" s="6" t="s">
        <v>84</v>
      </c>
      <c r="BX2" s="6" t="s">
        <v>84</v>
      </c>
      <c r="BY2" s="6" t="s">
        <v>85</v>
      </c>
      <c r="BZ2" s="6" t="s">
        <v>86</v>
      </c>
      <c r="CA2" s="6" t="s">
        <v>87</v>
      </c>
      <c r="CB2" s="6" t="s">
        <v>81</v>
      </c>
      <c r="CC2" s="6" t="s">
        <v>88</v>
      </c>
      <c r="CD2" s="6" t="s">
        <v>89</v>
      </c>
      <c r="CE2" s="6" t="s">
        <v>90</v>
      </c>
      <c r="CF2" s="7" t="s">
        <v>91</v>
      </c>
      <c r="CG2" s="8" t="s">
        <v>92</v>
      </c>
      <c r="CH2" s="7" t="s">
        <v>50</v>
      </c>
      <c r="CI2" s="7" t="s">
        <v>51</v>
      </c>
      <c r="CJ2" s="8" t="s">
        <v>98</v>
      </c>
      <c r="CK2" s="8" t="s">
        <v>94</v>
      </c>
      <c r="CL2" s="8" t="s">
        <v>95</v>
      </c>
      <c r="CM2" s="8" t="s">
        <v>96</v>
      </c>
      <c r="CN2" s="9" t="s">
        <v>97</v>
      </c>
      <c r="CO2" s="68" t="s">
        <v>79</v>
      </c>
      <c r="CP2" s="69" t="s">
        <v>80</v>
      </c>
      <c r="CQ2" s="6" t="s">
        <v>83</v>
      </c>
      <c r="CR2" s="6" t="s">
        <v>84</v>
      </c>
      <c r="CS2" s="6" t="s">
        <v>84</v>
      </c>
      <c r="CT2" s="6" t="s">
        <v>85</v>
      </c>
      <c r="CU2" s="6" t="s">
        <v>86</v>
      </c>
      <c r="CV2" s="6" t="s">
        <v>87</v>
      </c>
      <c r="CW2" s="6" t="s">
        <v>81</v>
      </c>
      <c r="CX2" s="6" t="s">
        <v>88</v>
      </c>
      <c r="CY2" s="6" t="s">
        <v>89</v>
      </c>
      <c r="CZ2" s="6" t="s">
        <v>90</v>
      </c>
      <c r="DA2" s="7" t="s">
        <v>91</v>
      </c>
      <c r="DB2" s="8" t="s">
        <v>92</v>
      </c>
      <c r="DC2" s="7" t="s">
        <v>50</v>
      </c>
      <c r="DD2" s="7" t="s">
        <v>51</v>
      </c>
      <c r="DE2" s="8" t="s">
        <v>98</v>
      </c>
      <c r="DF2" s="8" t="s">
        <v>94</v>
      </c>
      <c r="DG2" s="8" t="s">
        <v>95</v>
      </c>
      <c r="DH2" s="8" t="s">
        <v>96</v>
      </c>
      <c r="DI2" s="9" t="s">
        <v>97</v>
      </c>
      <c r="DJ2" s="68" t="s">
        <v>79</v>
      </c>
      <c r="DK2" s="69" t="s">
        <v>80</v>
      </c>
      <c r="DL2" s="6" t="s">
        <v>83</v>
      </c>
      <c r="DM2" s="6" t="s">
        <v>84</v>
      </c>
      <c r="DN2" s="6" t="s">
        <v>84</v>
      </c>
      <c r="DO2" s="6" t="s">
        <v>85</v>
      </c>
      <c r="DP2" s="6" t="s">
        <v>86</v>
      </c>
      <c r="DQ2" s="6" t="s">
        <v>87</v>
      </c>
      <c r="DR2" s="6" t="s">
        <v>81</v>
      </c>
      <c r="DS2" s="6" t="s">
        <v>88</v>
      </c>
      <c r="DT2" s="6" t="s">
        <v>89</v>
      </c>
      <c r="DU2" s="6" t="s">
        <v>90</v>
      </c>
      <c r="DV2" s="7" t="s">
        <v>91</v>
      </c>
      <c r="DW2" s="8" t="s">
        <v>92</v>
      </c>
      <c r="DX2" s="7" t="s">
        <v>50</v>
      </c>
      <c r="DY2" s="7" t="s">
        <v>51</v>
      </c>
      <c r="DZ2" s="8" t="s">
        <v>98</v>
      </c>
      <c r="EA2" s="8" t="s">
        <v>94</v>
      </c>
      <c r="EB2" s="8" t="s">
        <v>95</v>
      </c>
      <c r="EC2" s="8" t="s">
        <v>96</v>
      </c>
      <c r="ED2" s="9" t="s">
        <v>97</v>
      </c>
      <c r="EE2" s="68" t="s">
        <v>79</v>
      </c>
      <c r="EF2" s="69" t="s">
        <v>80</v>
      </c>
      <c r="EG2" s="6" t="s">
        <v>83</v>
      </c>
      <c r="EH2" s="6" t="s">
        <v>84</v>
      </c>
      <c r="EI2" s="6" t="s">
        <v>84</v>
      </c>
      <c r="EJ2" s="6" t="s">
        <v>85</v>
      </c>
      <c r="EK2" s="6" t="s">
        <v>86</v>
      </c>
      <c r="EL2" s="6" t="s">
        <v>87</v>
      </c>
      <c r="EM2" s="6" t="s">
        <v>81</v>
      </c>
      <c r="EN2" s="6" t="s">
        <v>88</v>
      </c>
      <c r="EO2" s="6" t="s">
        <v>89</v>
      </c>
      <c r="EP2" s="6" t="s">
        <v>90</v>
      </c>
      <c r="EQ2" s="7" t="s">
        <v>91</v>
      </c>
      <c r="ER2" s="8" t="s">
        <v>92</v>
      </c>
      <c r="ES2" s="7" t="s">
        <v>50</v>
      </c>
      <c r="ET2" s="7" t="s">
        <v>51</v>
      </c>
      <c r="EU2" s="8" t="s">
        <v>98</v>
      </c>
      <c r="EV2" s="8" t="s">
        <v>94</v>
      </c>
      <c r="EW2" s="8" t="s">
        <v>95</v>
      </c>
      <c r="EX2" s="8" t="s">
        <v>96</v>
      </c>
      <c r="EY2" s="9" t="s">
        <v>97</v>
      </c>
      <c r="EZ2" s="68" t="s">
        <v>79</v>
      </c>
      <c r="FA2" s="69" t="s">
        <v>80</v>
      </c>
      <c r="FB2" s="6" t="s">
        <v>83</v>
      </c>
      <c r="FC2" s="6" t="s">
        <v>84</v>
      </c>
      <c r="FD2" s="6" t="s">
        <v>84</v>
      </c>
      <c r="FE2" s="6" t="s">
        <v>85</v>
      </c>
      <c r="FF2" s="6" t="s">
        <v>86</v>
      </c>
      <c r="FG2" s="6" t="s">
        <v>87</v>
      </c>
      <c r="FH2" s="6" t="s">
        <v>81</v>
      </c>
      <c r="FI2" s="6" t="s">
        <v>88</v>
      </c>
      <c r="FJ2" s="6" t="s">
        <v>89</v>
      </c>
      <c r="FK2" s="6" t="s">
        <v>90</v>
      </c>
      <c r="FL2" s="7" t="s">
        <v>91</v>
      </c>
      <c r="FM2" s="8" t="s">
        <v>92</v>
      </c>
      <c r="FN2" s="7" t="s">
        <v>50</v>
      </c>
      <c r="FO2" s="7" t="s">
        <v>51</v>
      </c>
      <c r="FP2" s="8" t="s">
        <v>99</v>
      </c>
      <c r="FQ2" s="8" t="s">
        <v>94</v>
      </c>
      <c r="FR2" s="8" t="s">
        <v>95</v>
      </c>
      <c r="FS2" s="8" t="s">
        <v>96</v>
      </c>
      <c r="FT2" s="9" t="s">
        <v>97</v>
      </c>
      <c r="FU2" s="68" t="s">
        <v>79</v>
      </c>
      <c r="FV2" s="69" t="s">
        <v>80</v>
      </c>
      <c r="FW2" s="6" t="s">
        <v>83</v>
      </c>
      <c r="FX2" s="6" t="s">
        <v>84</v>
      </c>
      <c r="FY2" s="6" t="s">
        <v>84</v>
      </c>
      <c r="FZ2" s="6" t="s">
        <v>85</v>
      </c>
      <c r="GA2" s="6" t="s">
        <v>86</v>
      </c>
      <c r="GB2" s="6" t="s">
        <v>87</v>
      </c>
      <c r="GC2" s="6" t="s">
        <v>81</v>
      </c>
      <c r="GD2" s="6" t="s">
        <v>88</v>
      </c>
      <c r="GE2" s="6" t="s">
        <v>89</v>
      </c>
      <c r="GF2" s="6" t="s">
        <v>90</v>
      </c>
      <c r="GG2" s="7" t="s">
        <v>91</v>
      </c>
      <c r="GH2" s="8" t="s">
        <v>92</v>
      </c>
      <c r="GI2" s="7" t="s">
        <v>50</v>
      </c>
      <c r="GJ2" s="7" t="s">
        <v>51</v>
      </c>
      <c r="GK2" s="8" t="s">
        <v>98</v>
      </c>
      <c r="GL2" s="8" t="s">
        <v>94</v>
      </c>
      <c r="GM2" s="8" t="s">
        <v>95</v>
      </c>
      <c r="GN2" s="8" t="s">
        <v>96</v>
      </c>
      <c r="GO2" s="8" t="s">
        <v>97</v>
      </c>
      <c r="GP2" s="68" t="s">
        <v>79</v>
      </c>
      <c r="GQ2" s="69" t="s">
        <v>80</v>
      </c>
      <c r="GR2" s="6" t="s">
        <v>83</v>
      </c>
      <c r="GS2" s="6" t="s">
        <v>84</v>
      </c>
      <c r="GT2" s="6" t="s">
        <v>84</v>
      </c>
      <c r="GU2" s="6" t="s">
        <v>85</v>
      </c>
      <c r="GV2" s="6" t="s">
        <v>86</v>
      </c>
      <c r="GW2" s="6" t="s">
        <v>87</v>
      </c>
      <c r="GX2" s="6" t="s">
        <v>81</v>
      </c>
      <c r="GY2" s="6" t="s">
        <v>88</v>
      </c>
      <c r="GZ2" s="6" t="s">
        <v>89</v>
      </c>
      <c r="HA2" s="6" t="s">
        <v>90</v>
      </c>
      <c r="HB2" s="7" t="s">
        <v>91</v>
      </c>
      <c r="HC2" s="8" t="s">
        <v>92</v>
      </c>
      <c r="HD2" s="7" t="s">
        <v>50</v>
      </c>
      <c r="HE2" s="7" t="s">
        <v>51</v>
      </c>
      <c r="HF2" s="8" t="s">
        <v>98</v>
      </c>
      <c r="HG2" s="8" t="s">
        <v>94</v>
      </c>
      <c r="HH2" s="8" t="s">
        <v>95</v>
      </c>
      <c r="HI2" s="8" t="s">
        <v>96</v>
      </c>
      <c r="HJ2" s="9" t="s">
        <v>97</v>
      </c>
    </row>
    <row r="3" spans="1:218" x14ac:dyDescent="0.2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376.51107072413777</v>
      </c>
      <c r="T3" s="59">
        <f>IF('Données projet'!E9&gt;30,$R$33-$H$33,LOOKUP('Données projet'!$E$9,$A$3:$A$203,R3:R203)-LOOKUP('Données projet'!$E$9,$A$3:$A$203,$H$3:$H$203))</f>
        <v>532.90758914457615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88.008749437127449</v>
      </c>
      <c r="AO3" s="59">
        <f>IF('Données projet'!E10&gt;30,$AM$33-$H$33,LOOKUP('Données projet'!$E$10,$A$3:$A$203,AM3:AM203)-LOOKUP('Données projet'!$E$10,$A$3:$A$203,$H$3:$H$203))</f>
        <v>258.40359226940507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6.8</v>
      </c>
      <c r="N4" s="13">
        <f>IF('Données projet'!$A$36&gt;35,N3+M4-V3,IF(A4&lt;'Données projet'!$A$36,$K$205^A4,IF(A4='Données projet'!$A$36,'Données projet'!$B$36,N3+M4-V3)))</f>
        <v>2.0243974584998852</v>
      </c>
      <c r="O4" s="13">
        <f>N4*VLOOKUP('Données projet'!$B$9,Paramètres!$A$1:$I$89,3,0)*VLOOKUP('Données projet'!$B$9,Paramètres!$A$1:$I$89,5,0)</f>
        <v>1.8316748204506961</v>
      </c>
      <c r="P4" s="13">
        <f>EXP(-1.0587+0.8836*LN(O4)+0.284)</f>
        <v>0.78669228172688432</v>
      </c>
      <c r="Q4" s="20">
        <f t="shared" ref="Q4:Q34" si="2">(O4+P4)*0.475*44/12</f>
        <v>4.5603227029592857</v>
      </c>
      <c r="R4" s="59">
        <f t="shared" si="0"/>
        <v>172.37275665588314</v>
      </c>
      <c r="S4" s="59">
        <f ca="1">AVERAGE(OFFSET($R$3,0,0,'Données projet'!$E$9+1,1))-AVERAGE(OFFSET($H$3,0,0,'Données projet'!$E$9+1,1))</f>
        <v>376.51107072413777</v>
      </c>
      <c r="T4" s="59">
        <f>$T$3</f>
        <v>532.90758914457615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0.73499999999999999</v>
      </c>
      <c r="AI4" s="13">
        <f>IF('Données projet'!$A$62&gt;35,AI3+AH4-AQ3,IF(A4&lt;'Données projet'!$A$62,$AF$205^A4,IF(A4='Données projet'!$A$62,'Données projet'!$B$62,AI3+AH4-AQ3)))</f>
        <v>1.3094437062921891</v>
      </c>
      <c r="AJ4" s="13">
        <f>AI4*VLOOKUP('Données projet'!$B$10,Paramètres!$A$1:$I$89,3,0)*VLOOKUP('Données projet'!$B$10,Paramètres!$A$1:$I$89,5,0)</f>
        <v>0.6659306912719557</v>
      </c>
      <c r="AK4" s="13">
        <f>EXP(-1.0587+0.8836*LN(AJ4)+0.284)</f>
        <v>0.32176141021660248</v>
      </c>
      <c r="AL4" s="20">
        <f t="shared" ref="AL4:AL67" si="4">(AJ4+AK4)*0.475*44/12</f>
        <v>1.7202304100925723</v>
      </c>
      <c r="AM4" s="59">
        <f t="shared" ref="AM4:AM67" si="5">AL4+(AD4+AE4)*44/12</f>
        <v>169.53266436301641</v>
      </c>
      <c r="AN4" s="59">
        <f ca="1">AVERAGE(OFFSET($AM$3,0,0,'Données projet'!$E$10+1,1))-AVERAGE(OFFSET($H$3,0,0,'Données projet'!$E$10+1,1))</f>
        <v>88.008749437127449</v>
      </c>
      <c r="AO4" s="59">
        <f>$AO$3</f>
        <v>258.40359226940507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6.8</v>
      </c>
      <c r="N5" s="13">
        <f>IF('Données projet'!$A$36&gt;35,N4+M5-V4,IF(A5&lt;'Données projet'!$A$36,$K$205^A5,IF(A5='Données projet'!$A$36,'Données projet'!$B$36,N4+M5-V4)))</f>
        <v>4.0981850699807945</v>
      </c>
      <c r="O5" s="13">
        <f>N5*VLOOKUP('Données projet'!$B$9,Paramètres!$A$1:$I$89,3,0)*VLOOKUP('Données projet'!$B$9,Paramètres!$A$1:$I$89,5,0)</f>
        <v>3.7080378513186227</v>
      </c>
      <c r="P5" s="13">
        <f t="shared" ref="P5:P68" si="33">EXP(-1.0587+0.8836*LN(O5)+0.284)</f>
        <v>1.4670598901857457</v>
      </c>
      <c r="Q5" s="20">
        <f t="shared" si="2"/>
        <v>9.0132952331201093</v>
      </c>
      <c r="R5" s="59">
        <f t="shared" si="0"/>
        <v>179.61057652062095</v>
      </c>
      <c r="S5" s="59">
        <f ca="1">AVERAGE(OFFSET($R$3,0,0,'Données projet'!$E$9+1,1))-AVERAGE(OFFSET($H$3,0,0,'Données projet'!$E$9+1,1))</f>
        <v>376.51107072413777</v>
      </c>
      <c r="T5" s="59">
        <f t="shared" ref="T5:T68" si="34">$T$3</f>
        <v>532.90758914457615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0.73499999999999999</v>
      </c>
      <c r="AI5" s="13">
        <f>IF('Données projet'!$A$62&gt;35,AI4+AH5-AQ4,IF(A5&lt;'Données projet'!$A$62,$AF$205^A5,IF(A5='Données projet'!$A$62,'Données projet'!$B$62,AI4+AH5-AQ4)))</f>
        <v>1.7146428199482249</v>
      </c>
      <c r="AJ5" s="13">
        <f>AI5*VLOOKUP('Données projet'!$B$10,Paramètres!$A$1:$I$89,3,0)*VLOOKUP('Données projet'!$B$10,Paramètres!$A$1:$I$89,5,0)</f>
        <v>0.87199875251286929</v>
      </c>
      <c r="AK5" s="13">
        <f t="shared" ref="AK5:AK68" si="35">EXP(-1.0587+0.8836*LN(AJ5)+0.284)</f>
        <v>0.40831175391390312</v>
      </c>
      <c r="AL5" s="20">
        <f t="shared" si="4"/>
        <v>2.2298741320266284</v>
      </c>
      <c r="AM5" s="59">
        <f t="shared" si="5"/>
        <v>172.82715541952746</v>
      </c>
      <c r="AN5" s="59">
        <f ca="1">AVERAGE(OFFSET($AM$3,0,0,'Données projet'!$E$10+1,1))-AVERAGE(OFFSET($H$3,0,0,'Données projet'!$E$10+1,1))</f>
        <v>88.008749437127449</v>
      </c>
      <c r="AO5" s="59">
        <f t="shared" ref="AO5:AO68" si="36">$AO$3</f>
        <v>258.40359226940507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6.8</v>
      </c>
      <c r="N6" s="13">
        <f>IF('Données projet'!$A$36&gt;35,N5+M6-V5,IF(A6&lt;'Données projet'!$A$36,$K$205^A6,IF(A6='Données projet'!$A$36,'Données projet'!$B$36,N5+M6-V5)))</f>
        <v>8.2963554401312951</v>
      </c>
      <c r="O6" s="13">
        <f>N6*VLOOKUP('Données projet'!$B$9,Paramètres!$A$1:$I$89,3,0)*VLOOKUP('Données projet'!$B$9,Paramètres!$A$1:$I$89,5,0)</f>
        <v>7.5065424022307949</v>
      </c>
      <c r="P6" s="13">
        <f t="shared" si="33"/>
        <v>2.7358406474604431</v>
      </c>
      <c r="Q6" s="20">
        <f t="shared" si="2"/>
        <v>17.838817144878906</v>
      </c>
      <c r="R6" s="59">
        <f t="shared" si="0"/>
        <v>191.19383771476379</v>
      </c>
      <c r="S6" s="59">
        <f ca="1">AVERAGE(OFFSET($R$3,0,0,'Données projet'!$E$9+1,1))-AVERAGE(OFFSET($H$3,0,0,'Données projet'!$E$9+1,1))</f>
        <v>376.51107072413777</v>
      </c>
      <c r="T6" s="59">
        <f t="shared" si="34"/>
        <v>532.90758914457615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0.73499999999999999</v>
      </c>
      <c r="AI6" s="13">
        <f>IF('Données projet'!$A$62&gt;35,AI5+AH6-AQ5,IF(A6&lt;'Données projet'!$A$62,$AF$205^A6,IF(A6='Données projet'!$A$62,'Données projet'!$B$62,AI5+AH6-AQ5)))</f>
        <v>2.2452282491202942</v>
      </c>
      <c r="AJ6" s="13">
        <f>AI6*VLOOKUP('Données projet'!$B$10,Paramètres!$A$1:$I$89,3,0)*VLOOKUP('Données projet'!$B$10,Paramètres!$A$1:$I$89,5,0)</f>
        <v>1.1418332783726168</v>
      </c>
      <c r="AK6" s="13">
        <f t="shared" si="35"/>
        <v>0.51814320515321177</v>
      </c>
      <c r="AL6" s="20">
        <f t="shared" si="4"/>
        <v>2.8911257088074844</v>
      </c>
      <c r="AM6" s="59">
        <f t="shared" si="5"/>
        <v>176.24614627869238</v>
      </c>
      <c r="AN6" s="59">
        <f ca="1">AVERAGE(OFFSET($AM$3,0,0,'Données projet'!$E$10+1,1))-AVERAGE(OFFSET($H$3,0,0,'Données projet'!$E$10+1,1))</f>
        <v>88.008749437127449</v>
      </c>
      <c r="AO6" s="59">
        <f t="shared" si="36"/>
        <v>258.40359226940507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6.8</v>
      </c>
      <c r="N7" s="13">
        <f>IF('Données projet'!$A$36&gt;35,N6+M7-V6,IF(A7&lt;'Données projet'!$A$36,$K$205^A7,IF(A7='Données projet'!$A$36,'Données projet'!$B$36,N6+M7-V6)))</f>
        <v>16.795120867813488</v>
      </c>
      <c r="O7" s="13">
        <f>N7*VLOOKUP('Données projet'!$B$9,Paramètres!$A$1:$I$89,3,0)*VLOOKUP('Données projet'!$B$9,Paramètres!$A$1:$I$89,5,0)</f>
        <v>15.196225361197643</v>
      </c>
      <c r="P7" s="13">
        <f t="shared" si="33"/>
        <v>5.1019212633160578</v>
      </c>
      <c r="Q7" s="20">
        <f t="shared" si="2"/>
        <v>35.352605371028027</v>
      </c>
      <c r="R7" s="59">
        <f t="shared" si="0"/>
        <v>211.43872743520498</v>
      </c>
      <c r="S7" s="59">
        <f ca="1">AVERAGE(OFFSET($R$3,0,0,'Données projet'!$E$9+1,1))-AVERAGE(OFFSET($H$3,0,0,'Données projet'!$E$9+1,1))</f>
        <v>376.51107072413777</v>
      </c>
      <c r="T7" s="59">
        <f t="shared" si="34"/>
        <v>532.90758914457615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>
        <f>VLOOKUP(A7,'Données projet'!$A$61:$I$81,2,0)</f>
        <v>2.94</v>
      </c>
      <c r="AG7" s="12">
        <f>VLOOKUP(A7,'Données projet'!$A$61:$I$81,9,0)</f>
        <v>0.73499999999999999</v>
      </c>
      <c r="AH7" s="12">
        <f t="array" ref="AH7">INDEX(AG:AG,MIN(IF(ISNUMBER(AG7:AG203),ROW(AG7:AG203),"")))</f>
        <v>0.73499999999999999</v>
      </c>
      <c r="AI7" s="13">
        <f>IF('Données projet'!$A$62&gt;35,AI6+AH7-AQ6,IF(A7&lt;'Données projet'!$A$62,$AF$205^A7,IF(A7='Données projet'!$A$62,'Données projet'!$B$62,AI6+AH7-AQ6)))</f>
        <v>2.94</v>
      </c>
      <c r="AJ7" s="13">
        <f>AI7*VLOOKUP('Données projet'!$B$10,Paramètres!$A$1:$I$89,3,0)*VLOOKUP('Données projet'!$B$10,Paramètres!$A$1:$I$89,5,0)</f>
        <v>1.4951664000000002</v>
      </c>
      <c r="AK7" s="13">
        <f t="shared" si="35"/>
        <v>0.65751813038194717</v>
      </c>
      <c r="AL7" s="20">
        <f t="shared" si="4"/>
        <v>3.7492588904152253</v>
      </c>
      <c r="AM7" s="59">
        <f t="shared" si="5"/>
        <v>179.83538095459218</v>
      </c>
      <c r="AN7" s="59">
        <f ca="1">AVERAGE(OFFSET($AM$3,0,0,'Données projet'!$E$10+1,1))-AVERAGE(OFFSET($H$3,0,0,'Données projet'!$E$10+1,1))</f>
        <v>88.008749437127449</v>
      </c>
      <c r="AO7" s="59">
        <f t="shared" si="36"/>
        <v>258.40359226940507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34</v>
      </c>
      <c r="L8" s="12">
        <f>VLOOKUP(A8,'Données projet'!$A$35:$I$55,9,0)</f>
        <v>6.8</v>
      </c>
      <c r="M8" s="12">
        <f t="array" ref="M8">INDEX(L:L,MIN(IF(ISNUMBER(L8:L204),ROW(L8:L204),"")))</f>
        <v>6.8</v>
      </c>
      <c r="N8" s="13">
        <f>IF('Données projet'!$A$36&gt;35,N7+M8-V7,IF(A8&lt;'Données projet'!$A$36,$K$205^A8,IF(A8='Données projet'!$A$36,'Données projet'!$B$36,N7+M8-V7)))</f>
        <v>34</v>
      </c>
      <c r="O8" s="13">
        <f>N8*VLOOKUP('Données projet'!$B$9,Paramètres!$A$1:$I$89,3,0)*VLOOKUP('Données projet'!$B$9,Paramètres!$A$1:$I$89,5,0)</f>
        <v>30.763199999999998</v>
      </c>
      <c r="P8" s="13">
        <f t="shared" si="33"/>
        <v>9.5142970411082253</v>
      </c>
      <c r="Q8" s="20">
        <f t="shared" si="2"/>
        <v>70.149974013263474</v>
      </c>
      <c r="R8" s="59">
        <f t="shared" si="0"/>
        <v>248.94102188971084</v>
      </c>
      <c r="S8" s="59">
        <f ca="1">AVERAGE(OFFSET($R$3,0,0,'Données projet'!$E$9+1,1))-AVERAGE(OFFSET($H$3,0,0,'Données projet'!$E$9+1,1))</f>
        <v>376.51107072413777</v>
      </c>
      <c r="T8" s="59">
        <f t="shared" si="34"/>
        <v>532.90758914457615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6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7.6591666666666711</v>
      </c>
      <c r="AG8" s="12">
        <f>VLOOKUP(A8,'Données projet'!$A$61:$I$81,9,0)</f>
        <v>4.7191666666666716</v>
      </c>
      <c r="AH8" s="12">
        <f t="array" ref="AH8">INDEX(AG:AG,MIN(IF(ISNUMBER(AG8:AG204),ROW(AG8:AG204),"")))</f>
        <v>4.7191666666666716</v>
      </c>
      <c r="AI8" s="13">
        <f>IF('Données projet'!$A$62&gt;35,AI7+AH8-AQ7,IF(A8&lt;'Données projet'!$A$62,$AF$205^A8,IF(A8='Données projet'!$A$62,'Données projet'!$B$62,AI7+AH8-AQ7)))</f>
        <v>7.6591666666666711</v>
      </c>
      <c r="AJ8" s="13">
        <f>AI8*VLOOKUP('Données projet'!$B$10,Paramètres!$A$1:$I$89,3,0)*VLOOKUP('Données projet'!$B$10,Paramètres!$A$1:$I$89,5,0)</f>
        <v>3.8951458000000025</v>
      </c>
      <c r="AK8" s="13">
        <f t="shared" si="35"/>
        <v>1.5322824327088642</v>
      </c>
      <c r="AL8" s="20">
        <f t="shared" si="4"/>
        <v>9.4527708386346081</v>
      </c>
      <c r="AM8" s="59">
        <f t="shared" si="5"/>
        <v>188.24381871508197</v>
      </c>
      <c r="AN8" s="59">
        <f ca="1">AVERAGE(OFFSET($AM$3,0,0,'Données projet'!$E$10+1,1))-AVERAGE(OFFSET($H$3,0,0,'Données projet'!$E$10+1,1))</f>
        <v>88.008749437127449</v>
      </c>
      <c r="AO8" s="59">
        <f t="shared" si="36"/>
        <v>258.40359226940507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14.2</v>
      </c>
      <c r="N9" s="13">
        <f>IF('Données projet'!$A$36&gt;35,N8+M9-V8,IF(A9&lt;'Données projet'!$A$36,$K$205^A9,IF(A9='Données projet'!$A$36,'Données projet'!$B$36,N8+M9-V8)))</f>
        <v>42.2</v>
      </c>
      <c r="O9" s="13">
        <f>N9*VLOOKUP('Données projet'!$B$9,Paramètres!$A$1:$I$89,3,0)*VLOOKUP('Données projet'!$B$9,Paramètres!$A$1:$I$89,5,0)</f>
        <v>38.182560000000002</v>
      </c>
      <c r="P9" s="13">
        <f t="shared" si="33"/>
        <v>11.515638334288104</v>
      </c>
      <c r="Q9" s="20">
        <f t="shared" si="2"/>
        <v>86.557695432218452</v>
      </c>
      <c r="R9" s="59">
        <f t="shared" si="0"/>
        <v>268.0279475284774</v>
      </c>
      <c r="S9" s="59">
        <f ca="1">AVERAGE(OFFSET($R$3,0,0,'Données projet'!$E$9+1,1))-AVERAGE(OFFSET($H$3,0,0,'Données projet'!$E$9+1,1))</f>
        <v>376.51107072413777</v>
      </c>
      <c r="T9" s="59">
        <f t="shared" si="34"/>
        <v>532.90758914457615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>
        <f>VLOOKUP(A9,'Données projet'!$A$61:$I$81,2,0)</f>
        <v>13.873589743589744</v>
      </c>
      <c r="AG9" s="12">
        <f>VLOOKUP(A9,'Données projet'!$A$61:$I$81,9,0)</f>
        <v>6.2144230769230724</v>
      </c>
      <c r="AH9" s="12">
        <f t="array" ref="AH9">INDEX(AG:AG,MIN(IF(ISNUMBER(AG9:AG205),ROW(AG9:AG205),"")))</f>
        <v>6.2144230769230724</v>
      </c>
      <c r="AI9" s="13">
        <f>IF('Données projet'!$A$62&gt;35,AI8+AH9-AQ8,IF(A9&lt;'Données projet'!$A$62,$AF$205^A9,IF(A9='Données projet'!$A$62,'Données projet'!$B$62,AI8+AH9-AQ8)))</f>
        <v>13.873589743589744</v>
      </c>
      <c r="AJ9" s="13">
        <f>AI9*VLOOKUP('Données projet'!$B$10,Paramètres!$A$1:$I$89,3,0)*VLOOKUP('Données projet'!$B$10,Paramètres!$A$1:$I$89,5,0)</f>
        <v>7.0555528000000001</v>
      </c>
      <c r="AK9" s="13">
        <f t="shared" si="35"/>
        <v>2.5900854805149982</v>
      </c>
      <c r="AL9" s="20">
        <f t="shared" si="4"/>
        <v>16.799486671896954</v>
      </c>
      <c r="AM9" s="59">
        <f t="shared" si="5"/>
        <v>198.26973876815592</v>
      </c>
      <c r="AN9" s="59">
        <f ca="1">AVERAGE(OFFSET($AM$3,0,0,'Données projet'!$E$10+1,1))-AVERAGE(OFFSET($H$3,0,0,'Données projet'!$E$10+1,1))</f>
        <v>88.008749437127449</v>
      </c>
      <c r="AO9" s="59">
        <f t="shared" si="36"/>
        <v>258.40359226940507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14.2</v>
      </c>
      <c r="N10" s="13">
        <f>IF('Données projet'!$A$36&gt;35,N9+M10-V9,IF(A10&lt;'Données projet'!$A$36,$K$205^A10,IF(A10='Données projet'!$A$36,'Données projet'!$B$36,N9+M10-V9)))</f>
        <v>56.400000000000006</v>
      </c>
      <c r="O10" s="13">
        <f>N10*VLOOKUP('Données projet'!$B$9,Paramètres!$A$1:$I$89,3,0)*VLOOKUP('Données projet'!$B$9,Paramètres!$A$1:$I$89,5,0)</f>
        <v>51.030720000000009</v>
      </c>
      <c r="P10" s="13">
        <f t="shared" si="33"/>
        <v>14.879630660597618</v>
      </c>
      <c r="Q10" s="20">
        <f t="shared" si="2"/>
        <v>114.79386073387418</v>
      </c>
      <c r="R10" s="59">
        <f t="shared" si="0"/>
        <v>298.91804166961043</v>
      </c>
      <c r="S10" s="59">
        <f ca="1">AVERAGE(OFFSET($R$3,0,0,'Données projet'!$E$9+1,1))-AVERAGE(OFFSET($H$3,0,0,'Données projet'!$E$9+1,1))</f>
        <v>376.51107072413777</v>
      </c>
      <c r="T10" s="59">
        <f t="shared" si="34"/>
        <v>532.90758914457615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>
        <f>VLOOKUP(A10,'Données projet'!$A$61:$I$81,2,0)</f>
        <v>21.480576923076921</v>
      </c>
      <c r="AG10" s="12">
        <f>VLOOKUP(A10,'Données projet'!$A$61:$I$81,9,0)</f>
        <v>7.6069871794871773</v>
      </c>
      <c r="AH10" s="12">
        <f t="array" ref="AH10">INDEX(AG:AG,MIN(IF(ISNUMBER(AG10:AG206),ROW(AG10:AG206),"")))</f>
        <v>7.6069871794871773</v>
      </c>
      <c r="AI10" s="13">
        <f>IF('Données projet'!$A$62&gt;35,AI9+AH10-AQ9,IF(A10&lt;'Données projet'!$A$62,$AF$205^A10,IF(A10='Données projet'!$A$62,'Données projet'!$B$62,AI9+AH10-AQ9)))</f>
        <v>21.480576923076921</v>
      </c>
      <c r="AJ10" s="13">
        <f>AI10*VLOOKUP('Données projet'!$B$10,Paramètres!$A$1:$I$89,3,0)*VLOOKUP('Données projet'!$B$10,Paramètres!$A$1:$I$89,5,0)</f>
        <v>10.9241622</v>
      </c>
      <c r="AK10" s="13">
        <f t="shared" si="35"/>
        <v>3.8112885068631246</v>
      </c>
      <c r="AL10" s="20">
        <f t="shared" si="4"/>
        <v>25.664243314453273</v>
      </c>
      <c r="AM10" s="59">
        <f t="shared" si="5"/>
        <v>209.78842425018951</v>
      </c>
      <c r="AN10" s="59">
        <f ca="1">AVERAGE(OFFSET($AM$3,0,0,'Données projet'!$E$10+1,1))-AVERAGE(OFFSET($H$3,0,0,'Données projet'!$E$10+1,1))</f>
        <v>88.008749437127449</v>
      </c>
      <c r="AO10" s="59">
        <f t="shared" si="36"/>
        <v>258.40359226940507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14.2</v>
      </c>
      <c r="N11" s="13">
        <f>IF('Données projet'!$A$36&gt;35,N10+M11-V10,IF(A11&lt;'Données projet'!$A$36,$K$205^A11,IF(A11='Données projet'!$A$36,'Données projet'!$B$36,N10+M11-V10)))</f>
        <v>70.600000000000009</v>
      </c>
      <c r="O11" s="13">
        <f>N11*VLOOKUP('Données projet'!$B$9,Paramètres!$A$1:$I$89,3,0)*VLOOKUP('Données projet'!$B$9,Paramètres!$A$1:$I$89,5,0)</f>
        <v>63.878880000000002</v>
      </c>
      <c r="P11" s="13">
        <f t="shared" si="33"/>
        <v>18.145367520913332</v>
      </c>
      <c r="Q11" s="20">
        <f t="shared" si="2"/>
        <v>142.85889776559074</v>
      </c>
      <c r="R11" s="59">
        <f t="shared" si="0"/>
        <v>329.6121706318113</v>
      </c>
      <c r="S11" s="59">
        <f ca="1">AVERAGE(OFFSET($R$3,0,0,'Données projet'!$E$9+1,1))-AVERAGE(OFFSET($H$3,0,0,'Données projet'!$E$9+1,1))</f>
        <v>376.51107072413777</v>
      </c>
      <c r="T11" s="59">
        <f t="shared" si="34"/>
        <v>532.90758914457615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>
        <f>VLOOKUP(A11,'Données projet'!$A$61:$I$81,2,0)</f>
        <v>30.377435897435895</v>
      </c>
      <c r="AG11" s="12">
        <f>VLOOKUP(A11,'Données projet'!$A$61:$I$81,9,0)</f>
        <v>8.8968589743589739</v>
      </c>
      <c r="AH11" s="12">
        <f t="array" ref="AH11">INDEX(AG:AG,MIN(IF(ISNUMBER(AG11:AG207),ROW(AG11:AG207),"")))</f>
        <v>8.8968589743589739</v>
      </c>
      <c r="AI11" s="13">
        <f>IF('Données projet'!$A$62&gt;35,AI10+AH11-AQ10,IF(A11&lt;'Données projet'!$A$62,$AF$205^A11,IF(A11='Données projet'!$A$62,'Données projet'!$B$62,AI10+AH11-AQ10)))</f>
        <v>30.377435897435895</v>
      </c>
      <c r="AJ11" s="13">
        <f>AI11*VLOOKUP('Données projet'!$B$10,Paramètres!$A$1:$I$89,3,0)*VLOOKUP('Données projet'!$B$10,Paramètres!$A$1:$I$89,5,0)</f>
        <v>15.448748800000001</v>
      </c>
      <c r="AK11" s="13">
        <f t="shared" si="35"/>
        <v>5.1767619526979693</v>
      </c>
      <c r="AL11" s="20">
        <f t="shared" si="4"/>
        <v>35.922764560948956</v>
      </c>
      <c r="AM11" s="59">
        <f t="shared" si="5"/>
        <v>222.67603742716952</v>
      </c>
      <c r="AN11" s="59">
        <f ca="1">AVERAGE(OFFSET($AM$3,0,0,'Données projet'!$E$10+1,1))-AVERAGE(OFFSET($H$3,0,0,'Données projet'!$E$10+1,1))</f>
        <v>88.008749437127449</v>
      </c>
      <c r="AO11" s="59">
        <f t="shared" si="36"/>
        <v>258.40359226940507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14.2</v>
      </c>
      <c r="N12" s="13">
        <f>IF('Données projet'!$A$36&gt;35,N11+M12-V11,IF(A12&lt;'Données projet'!$A$36,$K$205^A12,IF(A12='Données projet'!$A$36,'Données projet'!$B$36,N11+M12-V11)))</f>
        <v>84.800000000000011</v>
      </c>
      <c r="O12" s="13">
        <f>N12*VLOOKUP('Données projet'!$B$9,Paramètres!$A$1:$I$89,3,0)*VLOOKUP('Données projet'!$B$9,Paramètres!$A$1:$I$89,5,0)</f>
        <v>76.727040000000017</v>
      </c>
      <c r="P12" s="13">
        <f t="shared" si="33"/>
        <v>21.334993267156719</v>
      </c>
      <c r="Q12" s="20">
        <f t="shared" si="2"/>
        <v>170.79137460696464</v>
      </c>
      <c r="R12" s="59">
        <f t="shared" si="0"/>
        <v>360.14933335952071</v>
      </c>
      <c r="S12" s="59">
        <f ca="1">AVERAGE(OFFSET($R$3,0,0,'Données projet'!$E$9+1,1))-AVERAGE(OFFSET($H$3,0,0,'Données projet'!$E$9+1,1))</f>
        <v>376.51107072413777</v>
      </c>
      <c r="T12" s="59">
        <f t="shared" si="34"/>
        <v>532.90758914457615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>
        <f>VLOOKUP(A12,'Données projet'!$A$61:$I$81,2,0)</f>
        <v>40.46147435897435</v>
      </c>
      <c r="AG12" s="12">
        <f>VLOOKUP(A12,'Données projet'!$A$61:$I$81,9,0)</f>
        <v>10.084038461538455</v>
      </c>
      <c r="AH12" s="12">
        <f t="array" ref="AH12">INDEX(AG:AG,MIN(IF(ISNUMBER(AG12:AG208),ROW(AG12:AG208),"")))</f>
        <v>10.084038461538455</v>
      </c>
      <c r="AI12" s="13">
        <f>IF('Données projet'!$A$62&gt;35,AI11+AH12-AQ11,IF(A12&lt;'Données projet'!$A$62,$AF$205^A12,IF(A12='Données projet'!$A$62,'Données projet'!$B$62,AI11+AH12-AQ11)))</f>
        <v>40.46147435897435</v>
      </c>
      <c r="AJ12" s="13">
        <f>AI12*VLOOKUP('Données projet'!$B$10,Paramètres!$A$1:$I$89,3,0)*VLOOKUP('Données projet'!$B$10,Paramètres!$A$1:$I$89,5,0)</f>
        <v>20.577087399999996</v>
      </c>
      <c r="AK12" s="13">
        <f t="shared" si="35"/>
        <v>6.668959513498276</v>
      </c>
      <c r="AL12" s="20">
        <f t="shared" si="4"/>
        <v>47.453531707676156</v>
      </c>
      <c r="AM12" s="59">
        <f t="shared" si="5"/>
        <v>236.81149046023222</v>
      </c>
      <c r="AN12" s="59">
        <f ca="1">AVERAGE(OFFSET($AM$3,0,0,'Données projet'!$E$10+1,1))-AVERAGE(OFFSET($H$3,0,0,'Données projet'!$E$10+1,1))</f>
        <v>88.008749437127449</v>
      </c>
      <c r="AO12" s="59">
        <f t="shared" si="36"/>
        <v>258.40359226940507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99</v>
      </c>
      <c r="L13" s="12">
        <f>VLOOKUP(A13,'Données projet'!$A$35:$I$55,9,0)</f>
        <v>14.2</v>
      </c>
      <c r="M13" s="12">
        <f t="array" ref="M13">INDEX(L:L,MIN(IF(ISNUMBER(L13:L209),ROW(L13:L209),"")))</f>
        <v>14.2</v>
      </c>
      <c r="N13" s="13">
        <f>IF('Données projet'!$A$36&gt;35,N12+M13-V12,IF(A13&lt;'Données projet'!$A$36,$K$205^A13,IF(A13='Données projet'!$A$36,'Données projet'!$B$36,N12+M13-V12)))</f>
        <v>99.000000000000014</v>
      </c>
      <c r="O13" s="13">
        <f>N13*VLOOKUP('Données projet'!$B$9,Paramètres!$A$1:$I$89,3,0)*VLOOKUP('Données projet'!$B$9,Paramètres!$A$1:$I$89,5,0)</f>
        <v>89.575200000000009</v>
      </c>
      <c r="P13" s="13">
        <f t="shared" si="33"/>
        <v>24.462745269668691</v>
      </c>
      <c r="Q13" s="20">
        <f t="shared" si="2"/>
        <v>198.61608801133966</v>
      </c>
      <c r="R13" s="59">
        <f t="shared" si="0"/>
        <v>390.55474999638454</v>
      </c>
      <c r="S13" s="59">
        <f ca="1">AVERAGE(OFFSET($R$3,0,0,'Données projet'!$E$9+1,1))-AVERAGE(OFFSET($H$3,0,0,'Données projet'!$E$9+1,1))</f>
        <v>376.51107072413777</v>
      </c>
      <c r="T13" s="59">
        <f t="shared" si="34"/>
        <v>532.90758914457615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29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51.630000000000017</v>
      </c>
      <c r="AG13" s="12">
        <f>VLOOKUP(A13,'Données projet'!$A$61:$I$81,9,0)</f>
        <v>11.168525641025667</v>
      </c>
      <c r="AH13" s="12">
        <f t="array" ref="AH13">INDEX(AG:AG,MIN(IF(ISNUMBER(AG13:AG209),ROW(AG13:AG209),"")))</f>
        <v>11.168525641025667</v>
      </c>
      <c r="AI13" s="13">
        <f>IF('Données projet'!$A$62&gt;35,AI12+AH13-AQ12,IF(A13&lt;'Données projet'!$A$62,$AF$205^A13,IF(A13='Données projet'!$A$62,'Données projet'!$B$62,AI12+AH13-AQ12)))</f>
        <v>51.630000000000017</v>
      </c>
      <c r="AJ13" s="13">
        <f>AI13*VLOOKUP('Données projet'!$B$10,Paramètres!$A$1:$I$89,3,0)*VLOOKUP('Données projet'!$B$10,Paramètres!$A$1:$I$89,5,0)</f>
        <v>26.256952800000011</v>
      </c>
      <c r="AK13" s="13">
        <f t="shared" si="35"/>
        <v>8.2717299817437926</v>
      </c>
      <c r="AL13" s="20">
        <f t="shared" si="4"/>
        <v>60.137455844870459</v>
      </c>
      <c r="AM13" s="59">
        <f t="shared" si="5"/>
        <v>252.07611782991535</v>
      </c>
      <c r="AN13" s="59">
        <f ca="1">AVERAGE(OFFSET($AM$3,0,0,'Données projet'!$E$10+1,1))-AVERAGE(OFFSET($H$3,0,0,'Données projet'!$E$10+1,1))</f>
        <v>88.008749437127449</v>
      </c>
      <c r="AO13" s="59">
        <f t="shared" si="36"/>
        <v>258.40359226940507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14</v>
      </c>
      <c r="N14" s="13">
        <f>IF('Données projet'!$A$36&gt;35,N13+M14-V13,IF(A14&lt;'Données projet'!$A$36,$K$205^A14,IF(A14='Données projet'!$A$36,'Données projet'!$B$36,N13+M14-V13)))</f>
        <v>84.000000000000014</v>
      </c>
      <c r="O14" s="13">
        <f>N14*VLOOKUP('Données projet'!$B$9,Paramètres!$A$1:$I$89,3,0)*VLOOKUP('Données projet'!$B$9,Paramètres!$A$1:$I$89,5,0)</f>
        <v>76.003200000000007</v>
      </c>
      <c r="P14" s="13">
        <f t="shared" si="33"/>
        <v>21.157049992000456</v>
      </c>
      <c r="Q14" s="20">
        <f t="shared" si="2"/>
        <v>169.22076873606747</v>
      </c>
      <c r="R14" s="59">
        <f t="shared" si="0"/>
        <v>363.7165673451816</v>
      </c>
      <c r="S14" s="59">
        <f ca="1">AVERAGE(OFFSET($R$3,0,0,'Données projet'!$E$9+1,1))-AVERAGE(OFFSET($H$3,0,0,'Données projet'!$E$9+1,1))</f>
        <v>376.51107072413777</v>
      </c>
      <c r="T14" s="59">
        <f t="shared" si="34"/>
        <v>532.90758914457615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>
        <f>VLOOKUP(A14,'Données projet'!$A$61:$I$81,2,0)</f>
        <v>63.780320512820509</v>
      </c>
      <c r="AG14" s="12">
        <f>VLOOKUP(A14,'Données projet'!$A$61:$I$81,9,0)</f>
        <v>12.150320512820493</v>
      </c>
      <c r="AH14" s="12">
        <f t="array" ref="AH14">INDEX(AG:AG,MIN(IF(ISNUMBER(AG14:AG210),ROW(AG14:AG210),"")))</f>
        <v>12.150320512820493</v>
      </c>
      <c r="AI14" s="13">
        <f>IF('Données projet'!$A$62&gt;35,AI13+AH14-AQ13,IF(A14&lt;'Données projet'!$A$62,$AF$205^A14,IF(A14='Données projet'!$A$62,'Données projet'!$B$62,AI13+AH14-AQ13)))</f>
        <v>63.780320512820509</v>
      </c>
      <c r="AJ14" s="13">
        <f>AI14*VLOOKUP('Données projet'!$B$10,Paramètres!$A$1:$I$89,3,0)*VLOOKUP('Données projet'!$B$10,Paramètres!$A$1:$I$89,5,0)</f>
        <v>32.4361198</v>
      </c>
      <c r="AK14" s="13">
        <f t="shared" si="35"/>
        <v>9.9700468059329115</v>
      </c>
      <c r="AL14" s="20">
        <f t="shared" si="4"/>
        <v>73.857406838666478</v>
      </c>
      <c r="AM14" s="59">
        <f t="shared" si="5"/>
        <v>268.35320544778062</v>
      </c>
      <c r="AN14" s="59">
        <f ca="1">AVERAGE(OFFSET($AM$3,0,0,'Données projet'!$E$10+1,1))-AVERAGE(OFFSET($H$3,0,0,'Données projet'!$E$10+1,1))</f>
        <v>88.008749437127449</v>
      </c>
      <c r="AO14" s="59">
        <f t="shared" si="36"/>
        <v>258.40359226940507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14</v>
      </c>
      <c r="N15" s="13">
        <f>IF('Données projet'!$A$36&gt;35,N14+M15-V14,IF(A15&lt;'Données projet'!$A$36,$K$205^A15,IF(A15='Données projet'!$A$36,'Données projet'!$B$36,N14+M15-V14)))</f>
        <v>98.000000000000014</v>
      </c>
      <c r="O15" s="13">
        <f>N15*VLOOKUP('Données projet'!$B$9,Paramètres!$A$1:$I$89,3,0)*VLOOKUP('Données projet'!$B$9,Paramètres!$A$1:$I$89,5,0)</f>
        <v>88.670400000000015</v>
      </c>
      <c r="P15" s="13">
        <f t="shared" si="33"/>
        <v>24.244280250395512</v>
      </c>
      <c r="Q15" s="20">
        <f t="shared" si="2"/>
        <v>196.65973476943884</v>
      </c>
      <c r="R15" s="59">
        <f t="shared" si="0"/>
        <v>393.68951222217174</v>
      </c>
      <c r="S15" s="59">
        <f ca="1">AVERAGE(OFFSET($R$3,0,0,'Données projet'!$E$9+1,1))-AVERAGE(OFFSET($H$3,0,0,'Données projet'!$E$9+1,1))</f>
        <v>376.51107072413777</v>
      </c>
      <c r="T15" s="59">
        <f t="shared" si="34"/>
        <v>532.90758914457615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>
        <f>VLOOKUP(A15,'Données projet'!$A$61:$I$81,2,0)</f>
        <v>76.80974358974359</v>
      </c>
      <c r="AG15" s="12">
        <f>VLOOKUP(A15,'Données projet'!$A$61:$I$81,9,0)</f>
        <v>13.029423076923081</v>
      </c>
      <c r="AH15" s="12">
        <f t="array" ref="AH15">INDEX(AG:AG,MIN(IF(ISNUMBER(AG15:AG211),ROW(AG15:AG211),"")))</f>
        <v>13.029423076923081</v>
      </c>
      <c r="AI15" s="13">
        <f>IF('Données projet'!$A$62&gt;35,AI14+AH15-AQ14,IF(A15&lt;'Données projet'!$A$62,$AF$205^A15,IF(A15='Données projet'!$A$62,'Données projet'!$B$62,AI14+AH15-AQ14)))</f>
        <v>76.80974358974359</v>
      </c>
      <c r="AJ15" s="13">
        <f>AI15*VLOOKUP('Données projet'!$B$10,Paramètres!$A$1:$I$89,3,0)*VLOOKUP('Données projet'!$B$10,Paramètres!$A$1:$I$89,5,0)</f>
        <v>39.0623632</v>
      </c>
      <c r="AK15" s="13">
        <f t="shared" si="35"/>
        <v>11.749784127487876</v>
      </c>
      <c r="AL15" s="20">
        <f t="shared" si="4"/>
        <v>88.497823262041379</v>
      </c>
      <c r="AM15" s="59">
        <f t="shared" si="5"/>
        <v>285.52760071477428</v>
      </c>
      <c r="AN15" s="59">
        <f ca="1">AVERAGE(OFFSET($AM$3,0,0,'Données projet'!$E$10+1,1))-AVERAGE(OFFSET($H$3,0,0,'Données projet'!$E$10+1,1))</f>
        <v>88.008749437127449</v>
      </c>
      <c r="AO15" s="59">
        <f t="shared" si="36"/>
        <v>258.40359226940507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14</v>
      </c>
      <c r="N16" s="13">
        <f>IF('Données projet'!$A$36&gt;35,N15+M16-V15,IF(A16&lt;'Données projet'!$A$36,$K$205^A16,IF(A16='Données projet'!$A$36,'Données projet'!$B$36,N15+M16-V15)))</f>
        <v>112.00000000000001</v>
      </c>
      <c r="O16" s="13">
        <f>N16*VLOOKUP('Données projet'!$B$9,Paramètres!$A$1:$I$89,3,0)*VLOOKUP('Données projet'!$B$9,Paramètres!$A$1:$I$89,5,0)</f>
        <v>101.33760000000001</v>
      </c>
      <c r="P16" s="13">
        <f t="shared" si="33"/>
        <v>27.280415454305565</v>
      </c>
      <c r="Q16" s="20">
        <f t="shared" si="2"/>
        <v>224.00971024958221</v>
      </c>
      <c r="R16" s="59">
        <f t="shared" si="0"/>
        <v>423.55071050120102</v>
      </c>
      <c r="S16" s="59">
        <f ca="1">AVERAGE(OFFSET($R$3,0,0,'Données projet'!$E$9+1,1))-AVERAGE(OFFSET($H$3,0,0,'Données projet'!$E$9+1,1))</f>
        <v>376.51107072413777</v>
      </c>
      <c r="T16" s="59">
        <f t="shared" si="34"/>
        <v>532.90758914457615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>
        <f>VLOOKUP(A16,'Données projet'!$A$61:$I$81,2,0)</f>
        <v>90.615576923076929</v>
      </c>
      <c r="AG16" s="12">
        <f>VLOOKUP(A16,'Données projet'!$A$61:$I$81,9,0)</f>
        <v>13.805833333333339</v>
      </c>
      <c r="AH16" s="12">
        <f t="array" ref="AH16">INDEX(AG:AG,MIN(IF(ISNUMBER(AG16:AG212),ROW(AG16:AG212),"")))</f>
        <v>13.805833333333339</v>
      </c>
      <c r="AI16" s="13">
        <f>IF('Données projet'!$A$62&gt;35,AI15+AH16-AQ15,IF(A16&lt;'Données projet'!$A$62,$AF$205^A16,IF(A16='Données projet'!$A$62,'Données projet'!$B$62,AI15+AH16-AQ15)))</f>
        <v>90.615576923076929</v>
      </c>
      <c r="AJ16" s="13">
        <f>AI16*VLOOKUP('Données projet'!$B$10,Paramètres!$A$1:$I$89,3,0)*VLOOKUP('Données projet'!$B$10,Paramètres!$A$1:$I$89,5,0)</f>
        <v>46.083457800000005</v>
      </c>
      <c r="AK16" s="13">
        <f t="shared" si="35"/>
        <v>13.597544172817395</v>
      </c>
      <c r="AL16" s="20">
        <f t="shared" si="4"/>
        <v>103.94441176932362</v>
      </c>
      <c r="AM16" s="59">
        <f t="shared" si="5"/>
        <v>303.48541202094242</v>
      </c>
      <c r="AN16" s="59">
        <f ca="1">AVERAGE(OFFSET($AM$3,0,0,'Données projet'!$E$10+1,1))-AVERAGE(OFFSET($H$3,0,0,'Données projet'!$E$10+1,1))</f>
        <v>88.008749437127449</v>
      </c>
      <c r="AO16" s="59">
        <f t="shared" si="36"/>
        <v>258.40359226940507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14</v>
      </c>
      <c r="N17" s="13">
        <f>IF('Données projet'!$A$36&gt;35,N16+M17-V16,IF(A17&lt;'Données projet'!$A$36,$K$205^A17,IF(A17='Données projet'!$A$36,'Données projet'!$B$36,N16+M17-V16)))</f>
        <v>126.00000000000001</v>
      </c>
      <c r="O17" s="13">
        <f>N17*VLOOKUP('Données projet'!$B$9,Paramètres!$A$1:$I$89,3,0)*VLOOKUP('Données projet'!$B$9,Paramètres!$A$1:$I$89,5,0)</f>
        <v>114.0048</v>
      </c>
      <c r="P17" s="13">
        <f t="shared" si="33"/>
        <v>30.272573949217303</v>
      </c>
      <c r="Q17" s="20">
        <f t="shared" si="2"/>
        <v>251.28309296155342</v>
      </c>
      <c r="R17" s="59">
        <f t="shared" si="0"/>
        <v>453.31295473382659</v>
      </c>
      <c r="S17" s="59">
        <f ca="1">AVERAGE(OFFSET($R$3,0,0,'Données projet'!$E$9+1,1))-AVERAGE(OFFSET($H$3,0,0,'Données projet'!$E$9+1,1))</f>
        <v>376.51107072413777</v>
      </c>
      <c r="T17" s="59">
        <f t="shared" si="34"/>
        <v>532.90758914457615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105.09512820512822</v>
      </c>
      <c r="AG17" s="12">
        <f>VLOOKUP(A17,'Données projet'!$A$61:$I$81,9,0)</f>
        <v>14.47955128205129</v>
      </c>
      <c r="AH17" s="12">
        <f t="array" ref="AH17">INDEX(AG:AG,MIN(IF(ISNUMBER(AG17:AG213),ROW(AG17:AG213),"")))</f>
        <v>14.47955128205129</v>
      </c>
      <c r="AI17" s="13">
        <f>IF('Données projet'!$A$62&gt;35,AI16+AH17-AQ16,IF(A17&lt;'Données projet'!$A$62,$AF$205^A17,IF(A17='Données projet'!$A$62,'Données projet'!$B$62,AI16+AH17-AQ16)))</f>
        <v>105.09512820512822</v>
      </c>
      <c r="AJ17" s="13">
        <f>AI17*VLOOKUP('Données projet'!$B$10,Paramètres!$A$1:$I$89,3,0)*VLOOKUP('Données projet'!$B$10,Paramètres!$A$1:$I$89,5,0)</f>
        <v>53.447178400000006</v>
      </c>
      <c r="AK17" s="13">
        <f t="shared" si="35"/>
        <v>15.500524821688407</v>
      </c>
      <c r="AL17" s="20">
        <f t="shared" si="4"/>
        <v>120.08391644444065</v>
      </c>
      <c r="AM17" s="59">
        <f t="shared" si="5"/>
        <v>322.11377821671385</v>
      </c>
      <c r="AN17" s="59">
        <f ca="1">AVERAGE(OFFSET($AM$3,0,0,'Données projet'!$E$10+1,1))-AVERAGE(OFFSET($H$3,0,0,'Données projet'!$E$10+1,1))</f>
        <v>88.008749437127449</v>
      </c>
      <c r="AO17" s="59">
        <f t="shared" si="36"/>
        <v>258.40359226940507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140</v>
      </c>
      <c r="L18" s="12">
        <f>VLOOKUP(A18,'Données projet'!$A$35:$I$55,9,0)</f>
        <v>14</v>
      </c>
      <c r="M18" s="12">
        <f t="array" ref="M18">INDEX(L:L,MIN(IF(ISNUMBER(L18:L214),ROW(L18:L214),"")))</f>
        <v>14</v>
      </c>
      <c r="N18" s="13">
        <f>IF('Données projet'!$A$36&gt;35,N17+M18-V17,IF(A18&lt;'Données projet'!$A$36,$K$205^A18,IF(A18='Données projet'!$A$36,'Données projet'!$B$36,N17+M18-V17)))</f>
        <v>140</v>
      </c>
      <c r="O18" s="13">
        <f>N18*VLOOKUP('Données projet'!$B$9,Paramètres!$A$1:$I$89,3,0)*VLOOKUP('Données projet'!$B$9,Paramètres!$A$1:$I$89,5,0)</f>
        <v>126.67199999999998</v>
      </c>
      <c r="P18" s="13">
        <f t="shared" si="33"/>
        <v>33.226199426361347</v>
      </c>
      <c r="Q18" s="20">
        <f t="shared" si="2"/>
        <v>278.48936400091264</v>
      </c>
      <c r="R18" s="59">
        <f t="shared" si="0"/>
        <v>482.98611393379372</v>
      </c>
      <c r="S18" s="59">
        <f ca="1">AVERAGE(OFFSET($R$3,0,0,'Données projet'!$E$9+1,1))-AVERAGE(OFFSET($H$3,0,0,'Données projet'!$E$9+1,1))</f>
        <v>376.51107072413777</v>
      </c>
      <c r="T18" s="59">
        <f t="shared" si="34"/>
        <v>532.90758914457615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23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120.14570512820511</v>
      </c>
      <c r="AG18" s="12">
        <f>VLOOKUP(A18,'Données projet'!$A$61:$I$81,9,0)</f>
        <v>15.050576923076889</v>
      </c>
      <c r="AH18" s="12">
        <f t="array" ref="AH18">INDEX(AG:AG,MIN(IF(ISNUMBER(AG18:AG214),ROW(AG18:AG214),"")))</f>
        <v>15.050576923076889</v>
      </c>
      <c r="AI18" s="13">
        <f>IF('Données projet'!$A$62&gt;35,AI17+AH18-AQ17,IF(A18&lt;'Données projet'!$A$62,$AF$205^A18,IF(A18='Données projet'!$A$62,'Données projet'!$B$62,AI17+AH18-AQ17)))</f>
        <v>120.14570512820511</v>
      </c>
      <c r="AJ18" s="13">
        <f>AI18*VLOOKUP('Données projet'!$B$10,Paramètres!$A$1:$I$89,3,0)*VLOOKUP('Données projet'!$B$10,Paramètres!$A$1:$I$89,5,0)</f>
        <v>61.101299799999993</v>
      </c>
      <c r="AK18" s="13">
        <f t="shared" si="35"/>
        <v>17.446416717537055</v>
      </c>
      <c r="AL18" s="20">
        <f t="shared" si="4"/>
        <v>136.80393960137704</v>
      </c>
      <c r="AM18" s="59">
        <f t="shared" si="5"/>
        <v>341.30068953425808</v>
      </c>
      <c r="AN18" s="59">
        <f ca="1">AVERAGE(OFFSET($AM$3,0,0,'Données projet'!$E$10+1,1))-AVERAGE(OFFSET($H$3,0,0,'Données projet'!$E$10+1,1))</f>
        <v>88.008749437127449</v>
      </c>
      <c r="AO18" s="59">
        <f t="shared" si="36"/>
        <v>258.40359226940507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12.6</v>
      </c>
      <c r="N19" s="13">
        <f>IF('Données projet'!$A$36&gt;35,N18+M19-V18,IF(A19&lt;'Données projet'!$A$36,$K$205^A19,IF(A19='Données projet'!$A$36,'Données projet'!$B$36,N18+M19-V18)))</f>
        <v>129.6</v>
      </c>
      <c r="O19" s="13">
        <f>N19*VLOOKUP('Données projet'!$B$9,Paramètres!$A$1:$I$89,3,0)*VLOOKUP('Données projet'!$B$9,Paramètres!$A$1:$I$89,5,0)</f>
        <v>117.26208</v>
      </c>
      <c r="P19" s="13">
        <f t="shared" si="33"/>
        <v>31.035569170075775</v>
      </c>
      <c r="Q19" s="20">
        <f t="shared" si="2"/>
        <v>258.28507230454863</v>
      </c>
      <c r="R19" s="59">
        <f t="shared" si="0"/>
        <v>465.2271182266627</v>
      </c>
      <c r="S19" s="59">
        <f ca="1">AVERAGE(OFFSET($R$3,0,0,'Données projet'!$E$9+1,1))-AVERAGE(OFFSET($H$3,0,0,'Données projet'!$E$9+1,1))</f>
        <v>376.51107072413777</v>
      </c>
      <c r="T19" s="59">
        <f t="shared" si="34"/>
        <v>532.90758914457615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>
        <f>VLOOKUP(A19,'Données projet'!$A$61:$I$81,2,0)</f>
        <v>135.66461538461539</v>
      </c>
      <c r="AG19" s="12">
        <f>VLOOKUP(A19,'Données projet'!$A$61:$I$81,9,0)</f>
        <v>15.51891025641028</v>
      </c>
      <c r="AH19" s="12">
        <f t="array" ref="AH19">INDEX(AG:AG,MIN(IF(ISNUMBER(AG19:AG215),ROW(AG19:AG215),"")))</f>
        <v>15.51891025641028</v>
      </c>
      <c r="AI19" s="13">
        <f>IF('Données projet'!$A$62&gt;35,AI18+AH19-AQ18,IF(A19&lt;'Données projet'!$A$62,$AF$205^A19,IF(A19='Données projet'!$A$62,'Données projet'!$B$62,AI18+AH19-AQ18)))</f>
        <v>135.66461538461539</v>
      </c>
      <c r="AJ19" s="13">
        <f>AI19*VLOOKUP('Données projet'!$B$10,Paramètres!$A$1:$I$89,3,0)*VLOOKUP('Données projet'!$B$10,Paramètres!$A$1:$I$89,5,0)</f>
        <v>68.993596800000006</v>
      </c>
      <c r="AK19" s="13">
        <f t="shared" si="35"/>
        <v>19.423321933594313</v>
      </c>
      <c r="AL19" s="20">
        <f t="shared" si="4"/>
        <v>153.99280012767676</v>
      </c>
      <c r="AM19" s="59">
        <f t="shared" si="5"/>
        <v>360.93484604979085</v>
      </c>
      <c r="AN19" s="59">
        <f ca="1">AVERAGE(OFFSET($AM$3,0,0,'Données projet'!$E$10+1,1))-AVERAGE(OFFSET($H$3,0,0,'Données projet'!$E$10+1,1))</f>
        <v>88.008749437127449</v>
      </c>
      <c r="AO19" s="59">
        <f t="shared" si="36"/>
        <v>258.40359226940507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12.6</v>
      </c>
      <c r="N20" s="13">
        <f>IF('Données projet'!$A$36&gt;35,N19+M20-V19,IF(A20&lt;'Données projet'!$A$36,$K$205^A20,IF(A20='Données projet'!$A$36,'Données projet'!$B$36,N19+M20-V19)))</f>
        <v>142.19999999999999</v>
      </c>
      <c r="O20" s="13">
        <f>N20*VLOOKUP('Données projet'!$B$9,Paramètres!$A$1:$I$89,3,0)*VLOOKUP('Données projet'!$B$9,Paramètres!$A$1:$I$89,5,0)</f>
        <v>128.66255999999998</v>
      </c>
      <c r="P20" s="13">
        <f t="shared" si="33"/>
        <v>33.687130461083775</v>
      </c>
      <c r="Q20" s="20">
        <f t="shared" si="2"/>
        <v>282.75904421972086</v>
      </c>
      <c r="R20" s="59">
        <f t="shared" si="0"/>
        <v>492.12516853559362</v>
      </c>
      <c r="S20" s="59">
        <f ca="1">AVERAGE(OFFSET($R$3,0,0,'Données projet'!$E$9+1,1))-AVERAGE(OFFSET($H$3,0,0,'Données projet'!$E$9+1,1))</f>
        <v>376.51107072413777</v>
      </c>
      <c r="T20" s="59">
        <f t="shared" si="34"/>
        <v>532.90758914457615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151.54916666666668</v>
      </c>
      <c r="AG20" s="12">
        <f>VLOOKUP(A20,'Données projet'!$A$61:$I$81,9,0)</f>
        <v>15.884551282051291</v>
      </c>
      <c r="AH20" s="12">
        <f t="array" ref="AH20">INDEX(AG:AG,MIN(IF(ISNUMBER(AG20:AG216),ROW(AG20:AG216),"")))</f>
        <v>15.884551282051291</v>
      </c>
      <c r="AI20" s="13">
        <f>IF('Données projet'!$A$62&gt;35,AI19+AH20-AQ19,IF(A20&lt;'Données projet'!$A$62,$AF$205^A20,IF(A20='Données projet'!$A$62,'Données projet'!$B$62,AI19+AH20-AQ19)))</f>
        <v>151.54916666666668</v>
      </c>
      <c r="AJ20" s="13">
        <f>AI20*VLOOKUP('Données projet'!$B$10,Paramètres!$A$1:$I$89,3,0)*VLOOKUP('Données projet'!$B$10,Paramètres!$A$1:$I$89,5,0)</f>
        <v>77.071844200000015</v>
      </c>
      <c r="AK20" s="13">
        <f t="shared" si="35"/>
        <v>21.419688488508918</v>
      </c>
      <c r="AL20" s="20">
        <f t="shared" si="4"/>
        <v>171.53941943248637</v>
      </c>
      <c r="AM20" s="59">
        <f t="shared" si="5"/>
        <v>380.90554374835909</v>
      </c>
      <c r="AN20" s="59">
        <f ca="1">AVERAGE(OFFSET($AM$3,0,0,'Données projet'!$E$10+1,1))-AVERAGE(OFFSET($H$3,0,0,'Données projet'!$E$10+1,1))</f>
        <v>88.008749437127449</v>
      </c>
      <c r="AO20" s="59">
        <f t="shared" si="36"/>
        <v>258.40359226940507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12.6</v>
      </c>
      <c r="N21" s="13">
        <f>IF('Données projet'!$A$36&gt;35,N20+M21-V20,IF(A21&lt;'Données projet'!$A$36,$K$205^A21,IF(A21='Données projet'!$A$36,'Données projet'!$B$36,N20+M21-V20)))</f>
        <v>154.79999999999998</v>
      </c>
      <c r="O21" s="13">
        <f>N21*VLOOKUP('Données projet'!$B$9,Paramètres!$A$1:$I$89,3,0)*VLOOKUP('Données projet'!$B$9,Paramètres!$A$1:$I$89,5,0)</f>
        <v>140.06303999999997</v>
      </c>
      <c r="P21" s="13">
        <f t="shared" si="33"/>
        <v>36.31144669536954</v>
      </c>
      <c r="Q21" s="20">
        <f t="shared" si="2"/>
        <v>307.18556432776853</v>
      </c>
      <c r="R21" s="59">
        <f t="shared" si="0"/>
        <v>518.9549175197717</v>
      </c>
      <c r="S21" s="59">
        <f ca="1">AVERAGE(OFFSET($R$3,0,0,'Données projet'!$E$9+1,1))-AVERAGE(OFFSET($H$3,0,0,'Données projet'!$E$9+1,1))</f>
        <v>376.51107072413777</v>
      </c>
      <c r="T21" s="59">
        <f t="shared" si="34"/>
        <v>532.90758914457615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167.69666666666663</v>
      </c>
      <c r="AG21" s="12">
        <f>VLOOKUP(A21,'Données projet'!$A$61:$I$81,9,0)</f>
        <v>16.147499999999951</v>
      </c>
      <c r="AH21" s="12">
        <f t="array" ref="AH21">INDEX(AG:AG,MIN(IF(ISNUMBER(AG21:AG217),ROW(AG21:AG217),"")))</f>
        <v>16.147499999999951</v>
      </c>
      <c r="AI21" s="13">
        <f>IF('Données projet'!$A$62&gt;35,AI20+AH21-AQ20,IF(A21&lt;'Données projet'!$A$62,$AF$205^A21,IF(A21='Données projet'!$A$62,'Données projet'!$B$62,AI20+AH21-AQ20)))</f>
        <v>167.69666666666663</v>
      </c>
      <c r="AJ21" s="13">
        <f>AI21*VLOOKUP('Données projet'!$B$10,Paramètres!$A$1:$I$89,3,0)*VLOOKUP('Données projet'!$B$10,Paramètres!$A$1:$I$89,5,0)</f>
        <v>85.283816799999983</v>
      </c>
      <c r="AK21" s="13">
        <f t="shared" si="35"/>
        <v>23.424256654634469</v>
      </c>
      <c r="AL21" s="20">
        <f t="shared" si="4"/>
        <v>189.3332279334883</v>
      </c>
      <c r="AM21" s="59">
        <f t="shared" si="5"/>
        <v>401.10258112549138</v>
      </c>
      <c r="AN21" s="59">
        <f ca="1">AVERAGE(OFFSET($AM$3,0,0,'Données projet'!$E$10+1,1))-AVERAGE(OFFSET($H$3,0,0,'Données projet'!$E$10+1,1))</f>
        <v>88.008749437127449</v>
      </c>
      <c r="AO21" s="59">
        <f t="shared" si="36"/>
        <v>258.40359226940507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12.6</v>
      </c>
      <c r="N22" s="13">
        <f>IF('Données projet'!$A$36&gt;35,N21+M22-V21,IF(A22&lt;'Données projet'!$A$36,$K$205^A22,IF(A22='Données projet'!$A$36,'Données projet'!$B$36,N21+M22-V21)))</f>
        <v>167.39999999999998</v>
      </c>
      <c r="O22" s="13">
        <f>N22*VLOOKUP('Données projet'!$B$9,Paramètres!$A$1:$I$89,3,0)*VLOOKUP('Données projet'!$B$9,Paramètres!$A$1:$I$89,5,0)</f>
        <v>151.46351999999999</v>
      </c>
      <c r="P22" s="13">
        <f t="shared" si="33"/>
        <v>38.910987614777085</v>
      </c>
      <c r="Q22" s="20">
        <f t="shared" si="2"/>
        <v>331.56893409573678</v>
      </c>
      <c r="R22" s="59">
        <f t="shared" si="0"/>
        <v>545.72102833876033</v>
      </c>
      <c r="S22" s="59">
        <f ca="1">AVERAGE(OFFSET($R$3,0,0,'Données projet'!$E$9+1,1))-AVERAGE(OFFSET($H$3,0,0,'Données projet'!$E$9+1,1))</f>
        <v>376.51107072413777</v>
      </c>
      <c r="T22" s="59">
        <f t="shared" si="34"/>
        <v>532.90758914457615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184.00442307692299</v>
      </c>
      <c r="AG22" s="12">
        <f>VLOOKUP(A22,'Données projet'!$A$61:$I$81,9,0)</f>
        <v>16.30775641025636</v>
      </c>
      <c r="AH22" s="12">
        <f t="array" ref="AH22">INDEX(AG:AG,MIN(IF(ISNUMBER(AG22:AG218),ROW(AG22:AG218),"")))</f>
        <v>16.30775641025636</v>
      </c>
      <c r="AI22" s="13">
        <f>IF('Données projet'!$A$62&gt;35,AI21+AH22-AQ21,IF(A22&lt;'Données projet'!$A$62,$AF$205^A22,IF(A22='Données projet'!$A$62,'Données projet'!$B$62,AI21+AH22-AQ21)))</f>
        <v>184.00442307692299</v>
      </c>
      <c r="AJ22" s="13">
        <f>AI22*VLOOKUP('Données projet'!$B$10,Paramètres!$A$1:$I$89,3,0)*VLOOKUP('Données projet'!$B$10,Paramètres!$A$1:$I$89,5,0)</f>
        <v>93.57728939999997</v>
      </c>
      <c r="AK22" s="13">
        <f t="shared" si="35"/>
        <v>25.426014145970452</v>
      </c>
      <c r="AL22" s="20">
        <f t="shared" si="4"/>
        <v>207.26408700923182</v>
      </c>
      <c r="AM22" s="59">
        <f t="shared" si="5"/>
        <v>421.41618125225534</v>
      </c>
      <c r="AN22" s="59">
        <f ca="1">AVERAGE(OFFSET($AM$3,0,0,'Données projet'!$E$10+1,1))-AVERAGE(OFFSET($H$3,0,0,'Données projet'!$E$10+1,1))</f>
        <v>88.008749437127449</v>
      </c>
      <c r="AO22" s="59">
        <f t="shared" si="36"/>
        <v>258.40359226940507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180</v>
      </c>
      <c r="L23" s="12">
        <f>VLOOKUP(A23,'Données projet'!$A$35:$I$55,9,0)</f>
        <v>12.6</v>
      </c>
      <c r="M23" s="12">
        <f t="array" ref="M23">INDEX(L:L,MIN(IF(ISNUMBER(L23:L219),ROW(L23:L219),"")))</f>
        <v>12.6</v>
      </c>
      <c r="N23" s="13">
        <f>IF('Données projet'!$A$36&gt;35,N22+M23-V22,IF(A23&lt;'Données projet'!$A$36,$K$205^A23,IF(A23='Données projet'!$A$36,'Données projet'!$B$36,N22+M23-V22)))</f>
        <v>179.99999999999997</v>
      </c>
      <c r="O23" s="13">
        <f>N23*VLOOKUP('Données projet'!$B$9,Paramètres!$A$1:$I$89,3,0)*VLOOKUP('Données projet'!$B$9,Paramètres!$A$1:$I$89,5,0)</f>
        <v>162.86399999999998</v>
      </c>
      <c r="P23" s="13">
        <f t="shared" si="33"/>
        <v>41.487830069509123</v>
      </c>
      <c r="Q23" s="20">
        <f t="shared" si="2"/>
        <v>355.91277070439497</v>
      </c>
      <c r="R23" s="59">
        <f t="shared" si="0"/>
        <v>572.42747359129066</v>
      </c>
      <c r="S23" s="59">
        <f ca="1">AVERAGE(OFFSET($R$3,0,0,'Données projet'!$E$9+1,1))-AVERAGE(OFFSET($H$3,0,0,'Données projet'!$E$9+1,1))</f>
        <v>376.51107072413777</v>
      </c>
      <c r="T23" s="59">
        <f t="shared" si="34"/>
        <v>532.90758914457615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19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200.36974358974356</v>
      </c>
      <c r="AG23" s="12">
        <f>VLOOKUP(A23,'Données projet'!$A$61:$I$81,9,0)</f>
        <v>16.365320512820574</v>
      </c>
      <c r="AH23" s="12">
        <f t="array" ref="AH23">INDEX(AG:AG,MIN(IF(ISNUMBER(AG23:AG219),ROW(AG23:AG219),"")))</f>
        <v>16.365320512820574</v>
      </c>
      <c r="AI23" s="13">
        <f>IF('Données projet'!$A$62&gt;35,AI22+AH23-AQ22,IF(A23&lt;'Données projet'!$A$62,$AF$205^A23,IF(A23='Données projet'!$A$62,'Données projet'!$B$62,AI22+AH23-AQ22)))</f>
        <v>200.36974358974356</v>
      </c>
      <c r="AJ23" s="13">
        <f>AI23*VLOOKUP('Données projet'!$B$10,Paramètres!$A$1:$I$89,3,0)*VLOOKUP('Données projet'!$B$10,Paramètres!$A$1:$I$89,5,0)</f>
        <v>101.9000368</v>
      </c>
      <c r="AK23" s="13">
        <f t="shared" si="35"/>
        <v>27.414158060770966</v>
      </c>
      <c r="AL23" s="20">
        <f t="shared" si="4"/>
        <v>225.22222271584272</v>
      </c>
      <c r="AM23" s="59">
        <f t="shared" si="5"/>
        <v>441.73692560273844</v>
      </c>
      <c r="AN23" s="59">
        <f ca="1">AVERAGE(OFFSET($AM$3,0,0,'Données projet'!$E$10+1,1))-AVERAGE(OFFSET($H$3,0,0,'Données projet'!$E$10+1,1))</f>
        <v>88.008749437127449</v>
      </c>
      <c r="AO23" s="59">
        <f t="shared" si="36"/>
        <v>258.40359226940507</v>
      </c>
      <c r="AP23" s="15" t="str">
        <f>IF(ISNA(VLOOKUP(A23,'Données projet'!$A$61:$I$81,3,0)),0,VLOOKUP(A23,'Données projet'!$A$61:$I$81,3,0))</f>
        <v>CR</v>
      </c>
      <c r="AQ23" s="15">
        <f>IF(ISNA(VLOOKUP(A23,'Données projet'!$A$61:$I$81,4,0)),0,VLOOKUP(A23,'Données projet'!$A$61:$I$81,4,0))</f>
        <v>200.36974358974356</v>
      </c>
      <c r="AR23" s="16">
        <f>IF(ISNA(VLOOKUP(A23,'Données projet'!$A$61:$I$81,5,0)),0%,VLOOKUP(A23,'Données projet'!$A$61:$I$81,5,0)*VLOOKUP('Données projet'!$B$10,Paramètres!$A$1:$I$89,7,0))</f>
        <v>0.42</v>
      </c>
      <c r="AS23" s="16">
        <f>IF(ISNA(VLOOKUP(A23,'Données projet'!$A$61:$I$81,6,0)),0%,VLOOKUP(A23,'Données projet'!$A$61:$I$81,6,0)*VLOOKUP('Données projet'!$B$10,Paramètres!$A$1:$I$89,7,0))</f>
        <v>0.09</v>
      </c>
      <c r="AT23" s="16">
        <f>IF(ISNA(VLOOKUP(A23,'Données projet'!$A$61:$I$81,7,0)),0%,VLOOKUP(A23,'Données projet'!$A$61:$I$81,7,0))</f>
        <v>0.15</v>
      </c>
      <c r="AU23" s="21">
        <f>EXP(-LN(2)/35)*AU22+(1-EXP(-LN(2)/35))/(LN(2)/35)*AQ23*AR23*VLOOKUP('Données projet'!$B$10,Paramètres!$A$1:$I$89,3,0)*0.475*44/12</f>
        <v>47.311938389401384</v>
      </c>
      <c r="AV23" s="21">
        <f>EXP(-LN(2)/25)*AV22+(1-EXP(-LN(2)/25))/(LN(2)/25)*Calculateur!AQ23*Calculateur!AS23*VLOOKUP('Données projet'!$B$10,Paramètres!$A$1:$I$89,3,0)*0.475*44/12</f>
        <v>10.0983542701501</v>
      </c>
      <c r="AW23" s="21">
        <f>EXP(-LN(2)/2)*AW22+(1-EXP(-LN(2)/2))/(LN(2)/2)*AQ23*AT23*VLOOKUP('Données projet'!$B$10,Paramètres!$A$1:$I$89,3,0)*0.475*44/12</f>
        <v>14.421814098011927</v>
      </c>
      <c r="AX23" s="21">
        <f t="shared" si="6"/>
        <v>71.832106757563409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10.6</v>
      </c>
      <c r="N24" s="13">
        <f>IF('Données projet'!$A$36&gt;35,N23+M24-V23,IF(A24&lt;'Données projet'!$A$36,$K$205^A24,IF(A24='Données projet'!$A$36,'Données projet'!$B$36,N23+M24-V23)))</f>
        <v>171.59999999999997</v>
      </c>
      <c r="O24" s="13">
        <f>N24*VLOOKUP('Données projet'!$B$9,Paramètres!$A$1:$I$89,3,0)*VLOOKUP('Données projet'!$B$9,Paramètres!$A$1:$I$89,5,0)</f>
        <v>155.26367999999997</v>
      </c>
      <c r="P24" s="13">
        <f t="shared" si="33"/>
        <v>39.77236412265178</v>
      </c>
      <c r="Q24" s="20">
        <f t="shared" si="2"/>
        <v>339.68777684695175</v>
      </c>
      <c r="R24" s="59">
        <f t="shared" si="0"/>
        <v>558.54530522282607</v>
      </c>
      <c r="S24" s="59">
        <f ca="1">AVERAGE(OFFSET($R$3,0,0,'Données projet'!$E$9+1,1))-AVERAGE(OFFSET($H$3,0,0,'Données projet'!$E$9+1,1))</f>
        <v>376.51107072413777</v>
      </c>
      <c r="T24" s="59">
        <f t="shared" si="34"/>
        <v>532.90758914457615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88.008749437127449</v>
      </c>
      <c r="AO24" s="59">
        <f t="shared" si="36"/>
        <v>258.40359226940507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46.384180135018205</v>
      </c>
      <c r="AV24" s="21">
        <f>EXP(-LN(2)/25)*AV23+(1-EXP(-LN(2)/25))/(LN(2)/25)*Calculateur!AQ24*Calculateur!AS24*VLOOKUP('Données projet'!$B$10,Paramètres!$A$1:$I$89,3,0)*0.475*44/12</f>
        <v>9.8222142415834739</v>
      </c>
      <c r="AW24" s="21">
        <f>EXP(-LN(2)/2)*AW23+(1-EXP(-LN(2)/2))/(LN(2)/2)*AQ24*AT24*VLOOKUP('Données projet'!$B$10,Paramètres!$A$1:$I$89,3,0)*0.475*44/12</f>
        <v>10.197762545715987</v>
      </c>
      <c r="AX24" s="21">
        <f t="shared" si="6"/>
        <v>66.404156922317668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10.6</v>
      </c>
      <c r="N25" s="13">
        <f>IF('Données projet'!$A$36&gt;35,N24+M25-V24,IF(A25&lt;'Données projet'!$A$36,$K$205^A25,IF(A25='Données projet'!$A$36,'Données projet'!$B$36,N24+M25-V24)))</f>
        <v>182.19999999999996</v>
      </c>
      <c r="O25" s="13">
        <f>N25*VLOOKUP('Données projet'!$B$9,Paramètres!$A$1:$I$89,3,0)*VLOOKUP('Données projet'!$B$9,Paramètres!$A$1:$I$89,5,0)</f>
        <v>164.85455999999996</v>
      </c>
      <c r="P25" s="13">
        <f t="shared" si="33"/>
        <v>41.935562922532498</v>
      </c>
      <c r="Q25" s="20">
        <f t="shared" si="2"/>
        <v>360.15946409007734</v>
      </c>
      <c r="R25" s="59">
        <f t="shared" si="0"/>
        <v>581.34037799354576</v>
      </c>
      <c r="S25" s="59">
        <f ca="1">AVERAGE(OFFSET($R$3,0,0,'Données projet'!$E$9+1,1))-AVERAGE(OFFSET($H$3,0,0,'Données projet'!$E$9+1,1))</f>
        <v>376.51107072413777</v>
      </c>
      <c r="T25" s="59">
        <f t="shared" si="34"/>
        <v>532.90758914457615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88.008749437127449</v>
      </c>
      <c r="AO25" s="59">
        <f t="shared" si="36"/>
        <v>258.40359226940507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45.474614654126825</v>
      </c>
      <c r="AV25" s="21">
        <f>EXP(-LN(2)/25)*AV24+(1-EXP(-LN(2)/25))/(LN(2)/25)*Calculateur!AQ25*Calculateur!AS25*VLOOKUP('Données projet'!$B$10,Paramètres!$A$1:$I$89,3,0)*0.475*44/12</f>
        <v>9.5536252766195755</v>
      </c>
      <c r="AW25" s="21">
        <f>EXP(-LN(2)/2)*AW24+(1-EXP(-LN(2)/2))/(LN(2)/2)*AQ25*AT25*VLOOKUP('Données projet'!$B$10,Paramètres!$A$1:$I$89,3,0)*0.475*44/12</f>
        <v>7.2109070490059652</v>
      </c>
      <c r="AX25" s="21">
        <f t="shared" si="6"/>
        <v>62.23914697975237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10.6</v>
      </c>
      <c r="N26" s="13">
        <f>IF('Données projet'!$A$36&gt;35,N25+M26-V25,IF(A26&lt;'Données projet'!$A$36,$K$205^A26,IF(A26='Données projet'!$A$36,'Données projet'!$B$36,N25+M26-V25)))</f>
        <v>192.79999999999995</v>
      </c>
      <c r="O26" s="13">
        <f>N26*VLOOKUP('Données projet'!$B$9,Paramètres!$A$1:$I$89,3,0)*VLOOKUP('Données projet'!$B$9,Paramètres!$A$1:$I$89,5,0)</f>
        <v>174.44543999999996</v>
      </c>
      <c r="P26" s="13">
        <f t="shared" si="33"/>
        <v>44.08415354960767</v>
      </c>
      <c r="Q26" s="20">
        <f t="shared" si="2"/>
        <v>380.60570876556659</v>
      </c>
      <c r="R26" s="59">
        <f t="shared" si="0"/>
        <v>604.09090547511312</v>
      </c>
      <c r="S26" s="59">
        <f ca="1">AVERAGE(OFFSET($R$3,0,0,'Données projet'!$E$9+1,1))-AVERAGE(OFFSET($H$3,0,0,'Données projet'!$E$9+1,1))</f>
        <v>376.51107072413777</v>
      </c>
      <c r="T26" s="59">
        <f t="shared" si="34"/>
        <v>532.90758914457615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88.008749437127449</v>
      </c>
      <c r="AO26" s="59">
        <f t="shared" si="36"/>
        <v>258.40359226940507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44.58288519753556</v>
      </c>
      <c r="AV26" s="21">
        <f>EXP(-LN(2)/25)*AV25+(1-EXP(-LN(2)/25))/(LN(2)/25)*Calculateur!AQ26*Calculateur!AS26*VLOOKUP('Données projet'!$B$10,Paramètres!$A$1:$I$89,3,0)*0.475*44/12</f>
        <v>9.2923808910270953</v>
      </c>
      <c r="AW26" s="21">
        <f>EXP(-LN(2)/2)*AW25+(1-EXP(-LN(2)/2))/(LN(2)/2)*AQ26*AT26*VLOOKUP('Données projet'!$B$10,Paramètres!$A$1:$I$89,3,0)*0.475*44/12</f>
        <v>5.0988812728579944</v>
      </c>
      <c r="AX26" s="21">
        <f t="shared" si="6"/>
        <v>58.974147361420648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10.6</v>
      </c>
      <c r="N27" s="13">
        <f>IF('Données projet'!$A$36&gt;35,N26+M27-V26,IF(A27&lt;'Données projet'!$A$36,$K$205^A27,IF(A27='Données projet'!$A$36,'Données projet'!$B$36,N26+M27-V26)))</f>
        <v>203.39999999999995</v>
      </c>
      <c r="O27" s="13">
        <f>N27*VLOOKUP('Données projet'!$B$9,Paramètres!$A$1:$I$89,3,0)*VLOOKUP('Données projet'!$B$9,Paramètres!$A$1:$I$89,5,0)</f>
        <v>184.03631999999996</v>
      </c>
      <c r="P27" s="13">
        <f t="shared" si="33"/>
        <v>46.219030699200047</v>
      </c>
      <c r="Q27" s="20">
        <f t="shared" si="2"/>
        <v>401.02806913443993</v>
      </c>
      <c r="R27" s="59">
        <f t="shared" si="0"/>
        <v>626.79877731805971</v>
      </c>
      <c r="S27" s="59">
        <f ca="1">AVERAGE(OFFSET($R$3,0,0,'Données projet'!$E$9+1,1))-AVERAGE(OFFSET($H$3,0,0,'Données projet'!$E$9+1,1))</f>
        <v>376.51107072413777</v>
      </c>
      <c r="T27" s="59">
        <f t="shared" si="34"/>
        <v>532.90758914457615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88.008749437127449</v>
      </c>
      <c r="AO27" s="59">
        <f t="shared" si="36"/>
        <v>258.40359226940507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43.708642011686784</v>
      </c>
      <c r="AV27" s="21">
        <f>EXP(-LN(2)/25)*AV26+(1-EXP(-LN(2)/25))/(LN(2)/25)*Calculateur!AQ27*Calculateur!AS27*VLOOKUP('Données projet'!$B$10,Paramètres!$A$1:$I$89,3,0)*0.475*44/12</f>
        <v>9.0382802468968855</v>
      </c>
      <c r="AW27" s="21">
        <f>EXP(-LN(2)/2)*AW26+(1-EXP(-LN(2)/2))/(LN(2)/2)*AQ27*AT27*VLOOKUP('Données projet'!$B$10,Paramètres!$A$1:$I$89,3,0)*0.475*44/12</f>
        <v>3.6054535245029831</v>
      </c>
      <c r="AX27" s="21">
        <f t="shared" si="6"/>
        <v>56.35237578308665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214</v>
      </c>
      <c r="L28" s="12">
        <f>VLOOKUP(A28,'Données projet'!$A$35:$I$55,9,0)</f>
        <v>10.6</v>
      </c>
      <c r="M28" s="12">
        <f t="array" ref="M28">INDEX(L:L,MIN(IF(ISNUMBER(L28:L224),ROW(L28:L224),"")))</f>
        <v>10.6</v>
      </c>
      <c r="N28" s="13">
        <f>IF('Données projet'!$A$36&gt;35,N27+M28-V27,IF(A28&lt;'Données projet'!$A$36,$K$205^A28,IF(A28='Données projet'!$A$36,'Données projet'!$B$36,N27+M28-V27)))</f>
        <v>213.99999999999994</v>
      </c>
      <c r="O28" s="13">
        <f>N28*VLOOKUP('Données projet'!$B$9,Paramètres!$A$1:$I$89,3,0)*VLOOKUP('Données projet'!$B$9,Paramètres!$A$1:$I$89,5,0)</f>
        <v>193.62719999999996</v>
      </c>
      <c r="P28" s="13">
        <f t="shared" si="33"/>
        <v>48.340990547231193</v>
      </c>
      <c r="Q28" s="20">
        <f t="shared" si="2"/>
        <v>421.42793186976087</v>
      </c>
      <c r="R28" s="59">
        <f t="shared" si="0"/>
        <v>649.46570583609298</v>
      </c>
      <c r="S28" s="59">
        <f ca="1">AVERAGE(OFFSET($R$3,0,0,'Données projet'!$E$9+1,1))-AVERAGE(OFFSET($H$3,0,0,'Données projet'!$E$9+1,1))</f>
        <v>376.51107072413777</v>
      </c>
      <c r="T28" s="59">
        <f t="shared" si="34"/>
        <v>532.90758914457615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14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0.15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2.0922117601375478</v>
      </c>
      <c r="AB28" s="21">
        <f>EXP(-LN(2)/2)*AB27+(1-EXP(-LN(2)/2))/(LN(2)/2)*V28*Y28*VLOOKUP('Données projet'!$B$9,Paramètres!$A$1:$I$89,3,0)*0.475*44/12</f>
        <v>0</v>
      </c>
      <c r="AC28" s="22">
        <f t="shared" si="3"/>
        <v>2.0922117601375478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88.008749437127449</v>
      </c>
      <c r="AO28" s="59">
        <f t="shared" si="36"/>
        <v>258.40359226940507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42.851542201476811</v>
      </c>
      <c r="AV28" s="21">
        <f>EXP(-LN(2)/25)*AV27+(1-EXP(-LN(2)/25))/(LN(2)/25)*Calculateur!AQ28*Calculateur!AS28*VLOOKUP('Données projet'!$B$10,Paramètres!$A$1:$I$89,3,0)*0.475*44/12</f>
        <v>8.79112799824299</v>
      </c>
      <c r="AW28" s="21">
        <f>EXP(-LN(2)/2)*AW27+(1-EXP(-LN(2)/2))/(LN(2)/2)*AQ28*AT28*VLOOKUP('Données projet'!$B$10,Paramètres!$A$1:$I$89,3,0)*0.475*44/12</f>
        <v>2.5494406364289977</v>
      </c>
      <c r="AX28" s="21">
        <f t="shared" si="6"/>
        <v>54.1921108361488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8.6</v>
      </c>
      <c r="N29" s="13">
        <f>IF('Données projet'!$A$36&gt;35,N28+M29-V28,IF(A29&lt;'Données projet'!$A$36,$K$205^A29,IF(A29='Données projet'!$A$36,'Données projet'!$B$36,N28+M29-V28)))</f>
        <v>208.59999999999994</v>
      </c>
      <c r="O29" s="13">
        <f>N29*VLOOKUP('Données projet'!$B$9,Paramètres!$A$1:$I$89,3,0)*VLOOKUP('Données projet'!$B$9,Paramètres!$A$1:$I$89,5,0)</f>
        <v>188.74127999999993</v>
      </c>
      <c r="P29" s="13">
        <f t="shared" si="33"/>
        <v>47.261560168122358</v>
      </c>
      <c r="Q29" s="20">
        <f t="shared" si="2"/>
        <v>411.03827995947967</v>
      </c>
      <c r="R29" s="59">
        <f t="shared" si="0"/>
        <v>641.32499400866982</v>
      </c>
      <c r="S29" s="59">
        <f ca="1">AVERAGE(OFFSET($R$3,0,0,'Données projet'!$E$9+1,1))-AVERAGE(OFFSET($H$3,0,0,'Données projet'!$E$9+1,1))</f>
        <v>376.51107072413777</v>
      </c>
      <c r="T29" s="59">
        <f t="shared" si="34"/>
        <v>532.90758914457615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2.035000119531952</v>
      </c>
      <c r="AB29" s="21">
        <f>EXP(-LN(2)/2)*AB28+(1-EXP(-LN(2)/2))/(LN(2)/2)*V29*Y29*VLOOKUP('Données projet'!$B$9,Paramètres!$A$1:$I$89,3,0)*0.475*44/12</f>
        <v>0</v>
      </c>
      <c r="AC29" s="22">
        <f t="shared" si="3"/>
        <v>2.035000119531952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88.008749437127449</v>
      </c>
      <c r="AO29" s="59">
        <f t="shared" si="36"/>
        <v>258.40359226940507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42.01124959576579</v>
      </c>
      <c r="AV29" s="21">
        <f>EXP(-LN(2)/25)*AV28+(1-EXP(-LN(2)/25))/(LN(2)/25)*Calculateur!AQ29*Calculateur!AS29*VLOOKUP('Données projet'!$B$10,Paramètres!$A$1:$I$89,3,0)*0.475*44/12</f>
        <v>8.5507341408257069</v>
      </c>
      <c r="AW29" s="21">
        <f>EXP(-LN(2)/2)*AW28+(1-EXP(-LN(2)/2))/(LN(2)/2)*AQ29*AT29*VLOOKUP('Données projet'!$B$10,Paramètres!$A$1:$I$89,3,0)*0.475*44/12</f>
        <v>1.8027267622514918</v>
      </c>
      <c r="AX29" s="21">
        <f t="shared" si="6"/>
        <v>52.364710498842989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8.6</v>
      </c>
      <c r="N30" s="13">
        <f>IF('Données projet'!$A$36&gt;35,N29+M30-V29,IF(A30&lt;'Données projet'!$A$36,$K$205^A30,IF(A30='Données projet'!$A$36,'Données projet'!$B$36,N29+M30-V29)))</f>
        <v>217.19999999999993</v>
      </c>
      <c r="O30" s="13">
        <f>N30*VLOOKUP('Données projet'!$B$9,Paramètres!$A$1:$I$89,3,0)*VLOOKUP('Données projet'!$B$9,Paramètres!$A$1:$I$89,5,0)</f>
        <v>196.52255999999994</v>
      </c>
      <c r="P30" s="13">
        <f t="shared" si="33"/>
        <v>48.979153257338155</v>
      </c>
      <c r="Q30" s="20">
        <f t="shared" si="2"/>
        <v>427.58215058986383</v>
      </c>
      <c r="R30" s="59">
        <f t="shared" si="0"/>
        <v>660.09999346242739</v>
      </c>
      <c r="S30" s="59">
        <f ca="1">AVERAGE(OFFSET($R$3,0,0,'Données projet'!$E$9+1,1))-AVERAGE(OFFSET($H$3,0,0,'Données projet'!$E$9+1,1))</f>
        <v>376.51107072413777</v>
      </c>
      <c r="T30" s="59">
        <f t="shared" si="34"/>
        <v>532.90758914457615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1.9793529342473455</v>
      </c>
      <c r="AB30" s="21">
        <f>EXP(-LN(2)/2)*AB29+(1-EXP(-LN(2)/2))/(LN(2)/2)*V30*Y30*VLOOKUP('Données projet'!$B$9,Paramètres!$A$1:$I$89,3,0)*0.475*44/12</f>
        <v>0</v>
      </c>
      <c r="AC30" s="22">
        <f t="shared" si="3"/>
        <v>1.9793529342473455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88.008749437127449</v>
      </c>
      <c r="AO30" s="59">
        <f t="shared" si="36"/>
        <v>258.40359226940507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41.187434615524886</v>
      </c>
      <c r="AV30" s="21">
        <f>EXP(-LN(2)/25)*AV29+(1-EXP(-LN(2)/25))/(LN(2)/25)*Calculateur!AQ30*Calculateur!AS30*VLOOKUP('Données projet'!$B$10,Paramètres!$A$1:$I$89,3,0)*0.475*44/12</f>
        <v>8.3169138660812632</v>
      </c>
      <c r="AW30" s="21">
        <f>EXP(-LN(2)/2)*AW29+(1-EXP(-LN(2)/2))/(LN(2)/2)*AQ30*AT30*VLOOKUP('Données projet'!$B$10,Paramètres!$A$1:$I$89,3,0)*0.475*44/12</f>
        <v>1.274720318214499</v>
      </c>
      <c r="AX30" s="21">
        <f t="shared" si="6"/>
        <v>50.779068799820649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8.6</v>
      </c>
      <c r="N31" s="13">
        <f>IF('Données projet'!$A$36&gt;35,N30+M31-V30,IF(A31&lt;'Données projet'!$A$36,$K$205^A31,IF(A31='Données projet'!$A$36,'Données projet'!$B$36,N30+M31-V30)))</f>
        <v>225.79999999999993</v>
      </c>
      <c r="O31" s="13">
        <f>N31*VLOOKUP('Données projet'!$B$9,Paramètres!$A$1:$I$89,3,0)*VLOOKUP('Données projet'!$B$9,Paramètres!$A$1:$I$89,5,0)</f>
        <v>204.30383999999992</v>
      </c>
      <c r="P31" s="13">
        <f t="shared" si="33"/>
        <v>50.688846269088558</v>
      </c>
      <c r="Q31" s="20">
        <f t="shared" si="2"/>
        <v>444.11226191866245</v>
      </c>
      <c r="R31" s="59">
        <f t="shared" si="0"/>
        <v>678.84373134064651</v>
      </c>
      <c r="S31" s="59">
        <f ca="1">AVERAGE(OFFSET($R$3,0,0,'Données projet'!$E$9+1,1))-AVERAGE(OFFSET($H$3,0,0,'Données projet'!$E$9+1,1))</f>
        <v>376.51107072413777</v>
      </c>
      <c r="T31" s="59">
        <f t="shared" si="34"/>
        <v>532.90758914457615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1.9252274241707048</v>
      </c>
      <c r="AB31" s="21">
        <f>EXP(-LN(2)/2)*AB30+(1-EXP(-LN(2)/2))/(LN(2)/2)*V31*Y31*VLOOKUP('Données projet'!$B$9,Paramètres!$A$1:$I$89,3,0)*0.475*44/12</f>
        <v>0</v>
      </c>
      <c r="AC31" s="22">
        <f t="shared" si="3"/>
        <v>1.9252274241707048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88.008749437127449</v>
      </c>
      <c r="AO31" s="59">
        <f t="shared" si="36"/>
        <v>258.40359226940507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40.379774144568984</v>
      </c>
      <c r="AV31" s="21">
        <f>EXP(-LN(2)/25)*AV30+(1-EXP(-LN(2)/25))/(LN(2)/25)*Calculateur!AQ31*Calculateur!AS31*VLOOKUP('Données projet'!$B$10,Paramètres!$A$1:$I$89,3,0)*0.475*44/12</f>
        <v>8.0894874190457795</v>
      </c>
      <c r="AW31" s="21">
        <f>EXP(-LN(2)/2)*AW30+(1-EXP(-LN(2)/2))/(LN(2)/2)*AQ31*AT31*VLOOKUP('Données projet'!$B$10,Paramètres!$A$1:$I$89,3,0)*0.475*44/12</f>
        <v>0.9013633811257461</v>
      </c>
      <c r="AX31" s="21">
        <f t="shared" si="6"/>
        <v>49.370624944740513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8.6</v>
      </c>
      <c r="N32" s="13">
        <f>IF('Données projet'!$A$36&gt;35,N31+M32-V31,IF(A32&lt;'Données projet'!$A$36,$K$205^A32,IF(A32='Données projet'!$A$36,'Données projet'!$B$36,N31+M32-V31)))</f>
        <v>234.39999999999992</v>
      </c>
      <c r="O32" s="13">
        <f>N32*VLOOKUP('Données projet'!$B$9,Paramètres!$A$1:$I$89,3,0)*VLOOKUP('Données projet'!$B$9,Paramètres!$A$1:$I$89,5,0)</f>
        <v>212.0851199999999</v>
      </c>
      <c r="P32" s="13">
        <f t="shared" si="33"/>
        <v>52.390974537063038</v>
      </c>
      <c r="Q32" s="20">
        <f t="shared" si="2"/>
        <v>460.62919798538456</v>
      </c>
      <c r="R32" s="59">
        <f t="shared" si="0"/>
        <v>697.55709530816034</v>
      </c>
      <c r="S32" s="59">
        <f ca="1">AVERAGE(OFFSET($R$3,0,0,'Données projet'!$E$9+1,1))-AVERAGE(OFFSET($H$3,0,0,'Données projet'!$E$9+1,1))</f>
        <v>376.51107072413777</v>
      </c>
      <c r="T32" s="59">
        <f t="shared" si="34"/>
        <v>532.90758914457615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1.8725819790134468</v>
      </c>
      <c r="AB32" s="21">
        <f>EXP(-LN(2)/2)*AB31+(1-EXP(-LN(2)/2))/(LN(2)/2)*V32*Y32*VLOOKUP('Données projet'!$B$9,Paramètres!$A$1:$I$89,3,0)*0.475*44/12</f>
        <v>0</v>
      </c>
      <c r="AC32" s="22">
        <f t="shared" si="3"/>
        <v>1.8725819790134468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88.008749437127449</v>
      </c>
      <c r="AO32" s="59">
        <f t="shared" si="36"/>
        <v>258.40359226940507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39.587951402824281</v>
      </c>
      <c r="AV32" s="21">
        <f>EXP(-LN(2)/25)*AV31+(1-EXP(-LN(2)/25))/(LN(2)/25)*Calculateur!AQ32*Calculateur!AS32*VLOOKUP('Données projet'!$B$10,Paramètres!$A$1:$I$89,3,0)*0.475*44/12</f>
        <v>7.8682799601643181</v>
      </c>
      <c r="AW32" s="21">
        <f>EXP(-LN(2)/2)*AW31+(1-EXP(-LN(2)/2))/(LN(2)/2)*AQ32*AT32*VLOOKUP('Données projet'!$B$10,Paramètres!$A$1:$I$89,3,0)*0.475*44/12</f>
        <v>0.63736015910724964</v>
      </c>
      <c r="AX32" s="21">
        <f t="shared" si="6"/>
        <v>48.093591522095849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243</v>
      </c>
      <c r="L33" s="12">
        <f>VLOOKUP(A33,'Données projet'!$A$35:$I$55,9,0)</f>
        <v>8.6</v>
      </c>
      <c r="M33" s="12">
        <f t="array" ref="M33">INDEX(L:L,MIN(IF(ISNUMBER(L33:L229),ROW(L33:L229),"")))</f>
        <v>8.6</v>
      </c>
      <c r="N33" s="13">
        <f>IF('Données projet'!$A$36&gt;35,N32+M33-V32,IF(A33&lt;'Données projet'!$A$36,$K$205^A33,IF(A33='Données projet'!$A$36,'Données projet'!$B$36,N32+M33-V32)))</f>
        <v>242.99999999999991</v>
      </c>
      <c r="O33" s="13">
        <f>N33*VLOOKUP('Données projet'!$B$9,Paramètres!$A$1:$I$89,3,0)*VLOOKUP('Données projet'!$B$9,Paramètres!$A$1:$I$89,5,0)</f>
        <v>219.86639999999991</v>
      </c>
      <c r="P33" s="13">
        <f t="shared" si="33"/>
        <v>54.085847394182416</v>
      </c>
      <c r="Q33" s="20">
        <f t="shared" si="2"/>
        <v>477.13349754486757</v>
      </c>
      <c r="R33" s="59">
        <f t="shared" si="0"/>
        <v>716.24092247790952</v>
      </c>
      <c r="S33" s="59">
        <f ca="1">AVERAGE(OFFSET($R$3,0,0,'Données projet'!$E$9+1,1))-AVERAGE(OFFSET($H$3,0,0,'Données projet'!$E$9+1,1))</f>
        <v>376.51107072413777</v>
      </c>
      <c r="T33" s="59">
        <f t="shared" si="34"/>
        <v>532.90758914457615</v>
      </c>
      <c r="U33" s="15">
        <f>IF(ISNA(VLOOKUP(A33,'Données projet'!$A$35:$I$55,3,0)),0,VLOOKUP(A33,'Données projet'!$A$35:$I$55,3,0))</f>
        <v>6</v>
      </c>
      <c r="V33" s="15">
        <f>IF(ISNA(VLOOKUP(A33,'Données projet'!$A$35:$I$55,4,0)),0,VLOOKUP(A33,'Données projet'!$A$35:$I$55,4,0))</f>
        <v>11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0.15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3.4652567950020199</v>
      </c>
      <c r="AB33" s="21">
        <f>EXP(-LN(2)/2)*AB32+(1-EXP(-LN(2)/2))/(LN(2)/2)*V33*Y33*VLOOKUP('Données projet'!$B$9,Paramètres!$A$1:$I$89,3,0)*0.475*44/12</f>
        <v>0</v>
      </c>
      <c r="AC33" s="22">
        <f t="shared" si="3"/>
        <v>3.4652567950020199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88.008749437127449</v>
      </c>
      <c r="AO33" s="59">
        <f t="shared" si="36"/>
        <v>258.40359226940507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38.811655822081008</v>
      </c>
      <c r="AV33" s="21">
        <f>EXP(-LN(2)/25)*AV32+(1-EXP(-LN(2)/25))/(LN(2)/25)*Calculateur!AQ33*Calculateur!AS33*VLOOKUP('Données projet'!$B$10,Paramètres!$A$1:$I$89,3,0)*0.475*44/12</f>
        <v>7.6531214308787652</v>
      </c>
      <c r="AW33" s="21">
        <f>EXP(-LN(2)/2)*AW32+(1-EXP(-LN(2)/2))/(LN(2)/2)*AQ33*AT33*VLOOKUP('Données projet'!$B$10,Paramètres!$A$1:$I$89,3,0)*0.475*44/12</f>
        <v>0.45068169056287311</v>
      </c>
      <c r="AX33" s="21">
        <f t="shared" si="6"/>
        <v>46.915458943522644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7</v>
      </c>
      <c r="N34" s="13">
        <f>IF('Données projet'!$A$36&gt;35,N33+M34-V33,IF(A34&lt;'Données projet'!$A$36,$K$205^A34,IF(A34='Données projet'!$A$36,'Données projet'!$B$36,N33+M34-V33)))</f>
        <v>238.99999999999991</v>
      </c>
      <c r="O34" s="13">
        <f>N34*VLOOKUP('Données projet'!$B$9,Paramètres!$A$1:$I$89,3,0)*VLOOKUP('Données projet'!$B$9,Paramètres!$A$1:$I$89,5,0)</f>
        <v>216.24719999999994</v>
      </c>
      <c r="P34" s="13">
        <f t="shared" si="33"/>
        <v>53.298418226645289</v>
      </c>
      <c r="Q34" s="20">
        <f t="shared" si="2"/>
        <v>469.45861841140703</v>
      </c>
      <c r="R34" s="59">
        <f t="shared" si="0"/>
        <v>709.50674162422456</v>
      </c>
      <c r="S34" s="59">
        <f ca="1">AVERAGE(OFFSET($R$3,0,0,'Données projet'!$E$9+1,1))-AVERAGE(OFFSET($H$3,0,0,'Données projet'!$E$9+1,1))</f>
        <v>376.51107072413777</v>
      </c>
      <c r="T34" s="59">
        <f t="shared" si="34"/>
        <v>532.90758914457615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3.3704991657127548</v>
      </c>
      <c r="AB34" s="21">
        <f>EXP(-LN(2)/2)*AB33+(1-EXP(-LN(2)/2))/(LN(2)/2)*V34*Y34*VLOOKUP('Données projet'!$B$9,Paramètres!$A$1:$I$89,3,0)*0.475*44/12</f>
        <v>0</v>
      </c>
      <c r="AC34" s="22">
        <f t="shared" si="3"/>
        <v>3.3704991657127548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88.008749437127449</v>
      </c>
      <c r="AO34" s="59">
        <f t="shared" si="36"/>
        <v>258.40359226940507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38.050582924182557</v>
      </c>
      <c r="AV34" s="21">
        <f>EXP(-LN(2)/25)*AV33+(1-EXP(-LN(2)/25))/(LN(2)/25)*Calculateur!AQ34*Calculateur!AS34*VLOOKUP('Données projet'!$B$10,Paramètres!$A$1:$I$89,3,0)*0.475*44/12</f>
        <v>7.4438464228912204</v>
      </c>
      <c r="AW34" s="21">
        <f>EXP(-LN(2)/2)*AW33+(1-EXP(-LN(2)/2))/(LN(2)/2)*AQ34*AT34*VLOOKUP('Données projet'!$B$10,Paramètres!$A$1:$I$89,3,0)*0.475*44/12</f>
        <v>0.31868007955362487</v>
      </c>
      <c r="AX34" s="21">
        <f t="shared" si="6"/>
        <v>45.813109426627399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7</v>
      </c>
      <c r="N35" s="13">
        <f>IF('Données projet'!$A$36&gt;35,N34+M35-V34,IF(A35&lt;'Données projet'!$A$36,$K$205^A35,IF(A35='Données projet'!$A$36,'Données projet'!$B$36,N34+M35-V34)))</f>
        <v>245.99999999999991</v>
      </c>
      <c r="O35" s="13">
        <f>N35*VLOOKUP('Données projet'!$B$9,Paramètres!$A$1:$I$89,3,0)*VLOOKUP('Données projet'!$B$9,Paramètres!$A$1:$I$89,5,0)</f>
        <v>222.58079999999993</v>
      </c>
      <c r="P35" s="13">
        <f t="shared" si="33"/>
        <v>54.675428546153199</v>
      </c>
      <c r="Q35" s="20">
        <f t="shared" ref="Q35:Q66" si="53">(O35+P35)*0.475*44/12</f>
        <v>482.88793138454997</v>
      </c>
      <c r="R35" s="59">
        <f t="shared" si="0"/>
        <v>723.86043386507527</v>
      </c>
      <c r="S35" s="59">
        <f ca="1">AVERAGE(OFFSET($R$3,0,0,'Données projet'!$E$9+1,1))-AVERAGE(OFFSET($H$3,0,0,'Données projet'!$E$9+1,1))</f>
        <v>376.51107072413777</v>
      </c>
      <c r="T35" s="59">
        <f t="shared" si="34"/>
        <v>532.90758914457615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3.2783326887794919</v>
      </c>
      <c r="AB35" s="21">
        <f>EXP(-LN(2)/2)*AB34+(1-EXP(-LN(2)/2))/(LN(2)/2)*V35*Y35*VLOOKUP('Données projet'!$B$9,Paramètres!$A$1:$I$89,3,0)*0.475*44/12</f>
        <v>0</v>
      </c>
      <c r="AC35" s="22">
        <f t="shared" si="3"/>
        <v>3.2783326887794919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88.008749437127449</v>
      </c>
      <c r="AO35" s="59">
        <f t="shared" si="36"/>
        <v>258.40359226940507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37.304434201603264</v>
      </c>
      <c r="AV35" s="21">
        <f>EXP(-LN(2)/25)*AV34+(1-EXP(-LN(2)/25))/(LN(2)/25)*Calculateur!AQ35*Calculateur!AS35*VLOOKUP('Données projet'!$B$10,Paramètres!$A$1:$I$89,3,0)*0.475*44/12</f>
        <v>7.2402940510023894</v>
      </c>
      <c r="AW35" s="21">
        <f>EXP(-LN(2)/2)*AW34+(1-EXP(-LN(2)/2))/(LN(2)/2)*AQ35*AT35*VLOOKUP('Données projet'!$B$10,Paramètres!$A$1:$I$89,3,0)*0.475*44/12</f>
        <v>0.22534084528143661</v>
      </c>
      <c r="AX35" s="21">
        <f t="shared" si="6"/>
        <v>44.770069097887088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7</v>
      </c>
      <c r="N36" s="13">
        <f>IF('Données projet'!$A$36&gt;35,N35+M36-V35,IF(A36&lt;'Données projet'!$A$36,$K$205^A36,IF(A36='Données projet'!$A$36,'Données projet'!$B$36,N35+M36-V35)))</f>
        <v>252.99999999999991</v>
      </c>
      <c r="O36" s="13">
        <f>N36*VLOOKUP('Données projet'!$B$9,Paramètres!$A$1:$I$89,3,0)*VLOOKUP('Données projet'!$B$9,Paramètres!$A$1:$I$89,5,0)</f>
        <v>228.91439999999994</v>
      </c>
      <c r="P36" s="13">
        <f t="shared" si="33"/>
        <v>56.047884834417424</v>
      </c>
      <c r="Q36" s="20">
        <f t="shared" si="53"/>
        <v>496.30931275327686</v>
      </c>
      <c r="R36" s="59">
        <f t="shared" si="0"/>
        <v>738.19015858781756</v>
      </c>
      <c r="S36" s="59">
        <f ca="1">AVERAGE(OFFSET($R$3,0,0,'Données projet'!$E$9+1,1))-AVERAGE(OFFSET($H$3,0,0,'Données projet'!$E$9+1,1))</f>
        <v>376.51107072413777</v>
      </c>
      <c r="T36" s="59">
        <f t="shared" si="34"/>
        <v>532.90758914457615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3.1886865090047931</v>
      </c>
      <c r="AB36" s="21">
        <f>EXP(-LN(2)/2)*AB35+(1-EXP(-LN(2)/2))/(LN(2)/2)*V36*Y36*VLOOKUP('Données projet'!$B$9,Paramètres!$A$1:$I$89,3,0)*0.475*44/12</f>
        <v>0</v>
      </c>
      <c r="AC36" s="22">
        <f t="shared" si="3"/>
        <v>3.1886865090047931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88.008749437127449</v>
      </c>
      <c r="AO36" s="59">
        <f t="shared" si="36"/>
        <v>258.40359226940507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36.572917000367973</v>
      </c>
      <c r="AV36" s="21">
        <f>EXP(-LN(2)/25)*AV35+(1-EXP(-LN(2)/25))/(LN(2)/25)*Calculateur!AQ36*Calculateur!AS36*VLOOKUP('Données projet'!$B$10,Paramètres!$A$1:$I$89,3,0)*0.475*44/12</f>
        <v>7.0423078294272132</v>
      </c>
      <c r="AW36" s="21">
        <f>EXP(-LN(2)/2)*AW35+(1-EXP(-LN(2)/2))/(LN(2)/2)*AQ36*AT36*VLOOKUP('Données projet'!$B$10,Paramètres!$A$1:$I$89,3,0)*0.475*44/12</f>
        <v>0.15934003977681246</v>
      </c>
      <c r="AX36" s="21">
        <f t="shared" si="6"/>
        <v>43.774564869572004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7</v>
      </c>
      <c r="N37" s="13">
        <f>IF('Données projet'!$A$36&gt;35,N36+M37-V36,IF(A37&lt;'Données projet'!$A$36,$K$205^A37,IF(A37='Données projet'!$A$36,'Données projet'!$B$36,N36+M37-V36)))</f>
        <v>259.99999999999989</v>
      </c>
      <c r="O37" s="13">
        <f>N37*VLOOKUP('Données projet'!$B$9,Paramètres!$A$1:$I$89,3,0)*VLOOKUP('Données projet'!$B$9,Paramètres!$A$1:$I$89,5,0)</f>
        <v>235.24799999999991</v>
      </c>
      <c r="P37" s="13">
        <f t="shared" si="33"/>
        <v>57.41592756883739</v>
      </c>
      <c r="Q37" s="20">
        <f t="shared" si="53"/>
        <v>509.72300718239154</v>
      </c>
      <c r="R37" s="59">
        <f t="shared" si="0"/>
        <v>752.49643864450718</v>
      </c>
      <c r="S37" s="59">
        <f ca="1">AVERAGE(OFFSET($R$3,0,0,'Données projet'!$E$9+1,1))-AVERAGE(OFFSET($H$3,0,0,'Données projet'!$E$9+1,1))</f>
        <v>376.51107072413777</v>
      </c>
      <c r="T37" s="59">
        <f t="shared" si="34"/>
        <v>532.90758914457615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3.1014917087303213</v>
      </c>
      <c r="AB37" s="21">
        <f>EXP(-LN(2)/2)*AB36+(1-EXP(-LN(2)/2))/(LN(2)/2)*V37*Y37*VLOOKUP('Données projet'!$B$9,Paramètres!$A$1:$I$89,3,0)*0.475*44/12</f>
        <v>0</v>
      </c>
      <c r="AC37" s="22">
        <f t="shared" si="3"/>
        <v>3.1014917087303213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88.008749437127449</v>
      </c>
      <c r="AO37" s="59">
        <f t="shared" si="36"/>
        <v>258.40359226940507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35.855744405267465</v>
      </c>
      <c r="AV37" s="21">
        <f>EXP(-LN(2)/25)*AV36+(1-EXP(-LN(2)/25))/(LN(2)/25)*Calculateur!AQ37*Calculateur!AS37*VLOOKUP('Données projet'!$B$10,Paramètres!$A$1:$I$89,3,0)*0.475*44/12</f>
        <v>6.8497355514926523</v>
      </c>
      <c r="AW37" s="21">
        <f>EXP(-LN(2)/2)*AW36+(1-EXP(-LN(2)/2))/(LN(2)/2)*AQ37*AT37*VLOOKUP('Données projet'!$B$10,Paramètres!$A$1:$I$89,3,0)*0.475*44/12</f>
        <v>0.11267042264071832</v>
      </c>
      <c r="AX37" s="21">
        <f t="shared" si="6"/>
        <v>42.818150379400834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267</v>
      </c>
      <c r="L38" s="12">
        <f>VLOOKUP(A38,'Données projet'!$A$35:$I$55,9,0)</f>
        <v>7</v>
      </c>
      <c r="M38" s="12">
        <f t="array" ref="M38">INDEX(L:L,MIN(IF(ISNUMBER(L38:L234),ROW(L38:L234),"")))</f>
        <v>7</v>
      </c>
      <c r="N38" s="13">
        <f>IF('Données projet'!$A$36&gt;35,N37+M38-V37,IF(A38&lt;'Données projet'!$A$36,$K$205^A38,IF(A38='Données projet'!$A$36,'Données projet'!$B$36,N37+M38-V37)))</f>
        <v>266.99999999999989</v>
      </c>
      <c r="O38" s="13">
        <f>N38*VLOOKUP('Données projet'!$B$9,Paramètres!$A$1:$I$89,3,0)*VLOOKUP('Données projet'!$B$9,Paramètres!$A$1:$I$89,5,0)</f>
        <v>241.5815999999999</v>
      </c>
      <c r="P38" s="13">
        <f t="shared" si="33"/>
        <v>58.779689232021951</v>
      </c>
      <c r="Q38" s="20">
        <f t="shared" si="53"/>
        <v>523.12924541243797</v>
      </c>
      <c r="R38" s="59">
        <f t="shared" si="0"/>
        <v>766.7797781370125</v>
      </c>
      <c r="S38" s="59">
        <f ca="1">AVERAGE(OFFSET($R$3,0,0,'Données projet'!$E$9+1,1))-AVERAGE(OFFSET($H$3,0,0,'Données projet'!$E$9+1,1))</f>
        <v>376.51107072413777</v>
      </c>
      <c r="T38" s="59">
        <f t="shared" si="34"/>
        <v>532.90758914457615</v>
      </c>
      <c r="U38" s="15">
        <f>IF(ISNA(VLOOKUP(A38,'Données projet'!$A$35:$I$55,3,0)),0,VLOOKUP(A38,'Données projet'!$A$35:$I$55,3,0))</f>
        <v>7</v>
      </c>
      <c r="V38" s="15">
        <f>IF(ISNA(VLOOKUP(A38,'Données projet'!$A$35:$I$55,4,0)),0,VLOOKUP(A38,'Données projet'!$A$35:$I$55,4,0))</f>
        <v>9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0.15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4.3616745292288686</v>
      </c>
      <c r="AB38" s="21">
        <f>EXP(-LN(2)/2)*AB37+(1-EXP(-LN(2)/2))/(LN(2)/2)*V38*Y38*VLOOKUP('Données projet'!$B$9,Paramètres!$A$1:$I$89,3,0)*0.475*44/12</f>
        <v>0</v>
      </c>
      <c r="AC38" s="22">
        <f t="shared" si="3"/>
        <v>4.3616745292288686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88.008749437127449</v>
      </c>
      <c r="AO38" s="59">
        <f t="shared" si="36"/>
        <v>258.40359226940507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35.152635127324793</v>
      </c>
      <c r="AV38" s="21">
        <f>EXP(-LN(2)/25)*AV37+(1-EXP(-LN(2)/25))/(LN(2)/25)*Calculateur!AQ38*Calculateur!AS38*VLOOKUP('Données projet'!$B$10,Paramètres!$A$1:$I$89,3,0)*0.475*44/12</f>
        <v>6.6624291726251483</v>
      </c>
      <c r="AW38" s="21">
        <f>EXP(-LN(2)/2)*AW37+(1-EXP(-LN(2)/2))/(LN(2)/2)*AQ38*AT38*VLOOKUP('Données projet'!$B$10,Paramètres!$A$1:$I$89,3,0)*0.475*44/12</f>
        <v>7.9670019888406246E-2</v>
      </c>
      <c r="AX38" s="21">
        <f t="shared" si="6"/>
        <v>41.894734319838342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6.2</v>
      </c>
      <c r="N39" s="13">
        <f>IF('Données projet'!$A$36&gt;35,N38+M39-V38,IF(A39&lt;'Données projet'!$A$36,$K$205^A39,IF(A39='Données projet'!$A$36,'Données projet'!$B$36,N38+M39-V38)))</f>
        <v>264.19999999999987</v>
      </c>
      <c r="O39" s="13">
        <f>N39*VLOOKUP('Données projet'!$B$9,Paramètres!$A$1:$I$89,3,0)*VLOOKUP('Données projet'!$B$9,Paramètres!$A$1:$I$89,5,0)</f>
        <v>239.04815999999985</v>
      </c>
      <c r="P39" s="13">
        <f t="shared" si="33"/>
        <v>58.234690128947292</v>
      </c>
      <c r="Q39" s="20">
        <f t="shared" si="53"/>
        <v>517.76763064124964</v>
      </c>
      <c r="R39" s="59">
        <f t="shared" si="0"/>
        <v>762.28004888228406</v>
      </c>
      <c r="S39" s="59">
        <f ca="1">AVERAGE(OFFSET($R$3,0,0,'Données projet'!$E$9+1,1))-AVERAGE(OFFSET($H$3,0,0,'Données projet'!$E$9+1,1))</f>
        <v>376.51107072413777</v>
      </c>
      <c r="T39" s="59">
        <f t="shared" si="34"/>
        <v>532.90758914457615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4.2424043098566102</v>
      </c>
      <c r="AB39" s="21">
        <f>EXP(-LN(2)/2)*AB38+(1-EXP(-LN(2)/2))/(LN(2)/2)*V39*Y39*VLOOKUP('Données projet'!$B$9,Paramètres!$A$1:$I$89,3,0)*0.475*44/12</f>
        <v>0</v>
      </c>
      <c r="AC39" s="22">
        <f t="shared" si="3"/>
        <v>4.2424043098566102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88.008749437127449</v>
      </c>
      <c r="AO39" s="59">
        <f t="shared" si="36"/>
        <v>258.40359226940507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34.463313393468262</v>
      </c>
      <c r="AV39" s="21">
        <f>EXP(-LN(2)/25)*AV38+(1-EXP(-LN(2)/25))/(LN(2)/25)*Calculateur!AQ39*Calculateur!AS39*VLOOKUP('Données projet'!$B$10,Paramètres!$A$1:$I$89,3,0)*0.475*44/12</f>
        <v>6.4802446965377909</v>
      </c>
      <c r="AW39" s="21">
        <f>EXP(-LN(2)/2)*AW38+(1-EXP(-LN(2)/2))/(LN(2)/2)*AQ39*AT39*VLOOKUP('Données projet'!$B$10,Paramètres!$A$1:$I$89,3,0)*0.475*44/12</f>
        <v>5.6335211320359166E-2</v>
      </c>
      <c r="AX39" s="21">
        <f t="shared" si="6"/>
        <v>40.999893301326409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6.2</v>
      </c>
      <c r="N40" s="13">
        <f>IF('Données projet'!$A$36&gt;35,N39+M40-V39,IF(A40&lt;'Données projet'!$A$36,$K$205^A40,IF(A40='Données projet'!$A$36,'Données projet'!$B$36,N39+M40-V39)))</f>
        <v>270.39999999999986</v>
      </c>
      <c r="O40" s="13">
        <f>N40*VLOOKUP('Données projet'!$B$9,Paramètres!$A$1:$I$89,3,0)*VLOOKUP('Données projet'!$B$9,Paramètres!$A$1:$I$89,5,0)</f>
        <v>244.65791999999988</v>
      </c>
      <c r="P40" s="13">
        <f t="shared" si="33"/>
        <v>59.44058075210863</v>
      </c>
      <c r="Q40" s="20">
        <f t="shared" si="53"/>
        <v>529.63822214325558</v>
      </c>
      <c r="R40" s="59">
        <f t="shared" si="0"/>
        <v>774.9975741139267</v>
      </c>
      <c r="S40" s="59">
        <f ca="1">AVERAGE(OFFSET($R$3,0,0,'Données projet'!$E$9+1,1))-AVERAGE(OFFSET($H$3,0,0,'Données projet'!$E$9+1,1))</f>
        <v>376.51107072413777</v>
      </c>
      <c r="T40" s="59">
        <f t="shared" si="34"/>
        <v>532.90758914457615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4.1263955409052349</v>
      </c>
      <c r="AB40" s="21">
        <f>EXP(-LN(2)/2)*AB39+(1-EXP(-LN(2)/2))/(LN(2)/2)*V40*Y40*VLOOKUP('Données projet'!$B$9,Paramètres!$A$1:$I$89,3,0)*0.475*44/12</f>
        <v>0</v>
      </c>
      <c r="AC40" s="22">
        <f t="shared" si="3"/>
        <v>4.1263955409052349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88.008749437127449</v>
      </c>
      <c r="AO40" s="59">
        <f t="shared" si="36"/>
        <v>258.40359226940507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33.787508838367913</v>
      </c>
      <c r="AV40" s="21">
        <f>EXP(-LN(2)/25)*AV39+(1-EXP(-LN(2)/25))/(LN(2)/25)*Calculateur!AQ40*Calculateur!AS40*VLOOKUP('Données projet'!$B$10,Paramètres!$A$1:$I$89,3,0)*0.475*44/12</f>
        <v>6.3030420645297074</v>
      </c>
      <c r="AW40" s="21">
        <f>EXP(-LN(2)/2)*AW39+(1-EXP(-LN(2)/2))/(LN(2)/2)*AQ40*AT40*VLOOKUP('Données projet'!$B$10,Paramètres!$A$1:$I$89,3,0)*0.475*44/12</f>
        <v>3.983500994420313E-2</v>
      </c>
      <c r="AX40" s="21">
        <f t="shared" si="6"/>
        <v>40.130385912841824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6.2</v>
      </c>
      <c r="N41" s="13">
        <f>IF('Données projet'!$A$36&gt;35,N40+M41-V40,IF(A41&lt;'Données projet'!$A$36,$K$205^A41,IF(A41='Données projet'!$A$36,'Données projet'!$B$36,N40+M41-V40)))</f>
        <v>276.59999999999985</v>
      </c>
      <c r="O41" s="13">
        <f>N41*VLOOKUP('Données projet'!$B$9,Paramètres!$A$1:$I$89,3,0)*VLOOKUP('Données projet'!$B$9,Paramètres!$A$1:$I$89,5,0)</f>
        <v>250.26767999999987</v>
      </c>
      <c r="P41" s="13">
        <f t="shared" si="33"/>
        <v>60.643256925083385</v>
      </c>
      <c r="Q41" s="20">
        <f t="shared" si="53"/>
        <v>541.50321514451991</v>
      </c>
      <c r="R41" s="59">
        <f t="shared" si="0"/>
        <v>787.69480843807867</v>
      </c>
      <c r="S41" s="59">
        <f ca="1">AVERAGE(OFFSET($R$3,0,0,'Données projet'!$E$9+1,1))-AVERAGE(OFFSET($H$3,0,0,'Données projet'!$E$9+1,1))</f>
        <v>376.51107072413777</v>
      </c>
      <c r="T41" s="59">
        <f t="shared" si="34"/>
        <v>532.90758914457615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4.0135590378414703</v>
      </c>
      <c r="AB41" s="21">
        <f>EXP(-LN(2)/2)*AB40+(1-EXP(-LN(2)/2))/(LN(2)/2)*V41*Y41*VLOOKUP('Données projet'!$B$9,Paramètres!$A$1:$I$89,3,0)*0.475*44/12</f>
        <v>0</v>
      </c>
      <c r="AC41" s="22">
        <f t="shared" si="3"/>
        <v>4.0135590378414703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88.008749437127449</v>
      </c>
      <c r="AO41" s="59">
        <f t="shared" si="36"/>
        <v>258.40359226940507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33.124956398393003</v>
      </c>
      <c r="AV41" s="21">
        <f>EXP(-LN(2)/25)*AV40+(1-EXP(-LN(2)/25))/(LN(2)/25)*Calculateur!AQ41*Calculateur!AS41*VLOOKUP('Données projet'!$B$10,Paramètres!$A$1:$I$89,3,0)*0.475*44/12</f>
        <v>6.1306850478125661</v>
      </c>
      <c r="AW41" s="21">
        <f>EXP(-LN(2)/2)*AW40+(1-EXP(-LN(2)/2))/(LN(2)/2)*AQ41*AT41*VLOOKUP('Données projet'!$B$10,Paramètres!$A$1:$I$89,3,0)*0.475*44/12</f>
        <v>2.816760566017959E-2</v>
      </c>
      <c r="AX41" s="21">
        <f t="shared" si="6"/>
        <v>39.283809051865752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6.2</v>
      </c>
      <c r="N42" s="13">
        <f>IF('Données projet'!$A$36&gt;35,N41+M42-V41,IF(A42&lt;'Données projet'!$A$36,$K$205^A42,IF(A42='Données projet'!$A$36,'Données projet'!$B$36,N41+M42-V41)))</f>
        <v>282.79999999999984</v>
      </c>
      <c r="O42" s="13">
        <f>N42*VLOOKUP('Données projet'!$B$9,Paramètres!$A$1:$I$89,3,0)*VLOOKUP('Données projet'!$B$9,Paramètres!$A$1:$I$89,5,0)</f>
        <v>255.87743999999984</v>
      </c>
      <c r="P42" s="13">
        <f t="shared" si="33"/>
        <v>61.842798995505277</v>
      </c>
      <c r="Q42" s="20">
        <f t="shared" si="53"/>
        <v>553.36274958383808</v>
      </c>
      <c r="R42" s="59">
        <f t="shared" si="0"/>
        <v>800.37214667394517</v>
      </c>
      <c r="S42" s="59">
        <f ca="1">AVERAGE(OFFSET($R$3,0,0,'Données projet'!$E$9+1,1))-AVERAGE(OFFSET($H$3,0,0,'Données projet'!$E$9+1,1))</f>
        <v>376.51107072413777</v>
      </c>
      <c r="T42" s="59">
        <f t="shared" si="34"/>
        <v>532.90758914457615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3.9038080548877985</v>
      </c>
      <c r="AB42" s="21">
        <f>EXP(-LN(2)/2)*AB41+(1-EXP(-LN(2)/2))/(LN(2)/2)*V42*Y42*VLOOKUP('Données projet'!$B$9,Paramètres!$A$1:$I$89,3,0)*0.475*44/12</f>
        <v>0</v>
      </c>
      <c r="AC42" s="22">
        <f t="shared" si="3"/>
        <v>3.9038080548877985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88.008749437127449</v>
      </c>
      <c r="AO42" s="59">
        <f t="shared" si="36"/>
        <v>258.40359226940507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32.47539620764892</v>
      </c>
      <c r="AV42" s="21">
        <f>EXP(-LN(2)/25)*AV41+(1-EXP(-LN(2)/25))/(LN(2)/25)*Calculateur!AQ42*Calculateur!AS42*VLOOKUP('Données projet'!$B$10,Paramètres!$A$1:$I$89,3,0)*0.475*44/12</f>
        <v>5.9630411427814165</v>
      </c>
      <c r="AW42" s="21">
        <f>EXP(-LN(2)/2)*AW41+(1-EXP(-LN(2)/2))/(LN(2)/2)*AQ42*AT42*VLOOKUP('Données projet'!$B$10,Paramètres!$A$1:$I$89,3,0)*0.475*44/12</f>
        <v>1.9917504972101568E-2</v>
      </c>
      <c r="AX42" s="21">
        <f t="shared" si="6"/>
        <v>38.458354855402433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289</v>
      </c>
      <c r="L43" s="12">
        <f>VLOOKUP(A43,'Données projet'!$A$35:$I$55,9,0)</f>
        <v>6.2</v>
      </c>
      <c r="M43" s="12">
        <f t="array" ref="M43">INDEX(L:L,MIN(IF(ISNUMBER(L43:L239),ROW(L43:L239),"")))</f>
        <v>6.2</v>
      </c>
      <c r="N43" s="13">
        <f>IF('Données projet'!$A$36&gt;35,N42+M43-V42,IF(A43&lt;'Données projet'!$A$36,$K$205^A43,IF(A43='Données projet'!$A$36,'Données projet'!$B$36,N42+M43-V42)))</f>
        <v>288.99999999999983</v>
      </c>
      <c r="O43" s="13">
        <f>N43*VLOOKUP('Données projet'!$B$9,Paramètres!$A$1:$I$89,3,0)*VLOOKUP('Données projet'!$B$9,Paramètres!$A$1:$I$89,5,0)</f>
        <v>261.48719999999986</v>
      </c>
      <c r="P43" s="13">
        <f t="shared" si="33"/>
        <v>63.039283586802334</v>
      </c>
      <c r="Q43" s="20">
        <f t="shared" si="53"/>
        <v>565.21695891368051</v>
      </c>
      <c r="R43" s="59">
        <f t="shared" si="0"/>
        <v>813.0299727328013</v>
      </c>
      <c r="S43" s="59">
        <f ca="1">AVERAGE(OFFSET($R$3,0,0,'Données projet'!$E$9+1,1))-AVERAGE(OFFSET($H$3,0,0,'Données projet'!$E$9+1,1))</f>
        <v>376.51107072413777</v>
      </c>
      <c r="T43" s="59">
        <f t="shared" si="34"/>
        <v>532.90758914457615</v>
      </c>
      <c r="U43" s="15">
        <f>IF(ISNA(VLOOKUP(A43,'Données projet'!$A$35:$I$55,3,0)),0,VLOOKUP(A43,'Données projet'!$A$35:$I$55,3,0))</f>
        <v>8</v>
      </c>
      <c r="V43" s="15">
        <f>IF(ISNA(VLOOKUP(A43,'Données projet'!$A$35:$I$55,4,0)),0,VLOOKUP(A43,'Données projet'!$A$35:$I$55,4,0))</f>
        <v>7</v>
      </c>
      <c r="W43" s="16">
        <f>IF(ISNA(VLOOKUP(A43,'Données projet'!$A$35:$I$55,5,0)),0%,VLOOKUP(A43,'Données projet'!$A$35:$I$55,5,0)*VLOOKUP('Données projet'!$B$9,Paramètres!$A$1:$I$89,7,0))</f>
        <v>0.09</v>
      </c>
      <c r="X43" s="16">
        <f>IF(ISNA(VLOOKUP(A43,'Données projet'!$A$35:$I$55,6,0)),0%,VLOOKUP(A43,'Données projet'!$A$35:$I$55,6,0)*VLOOKUP('Données projet'!$B$9,Paramètres!$A$1:$I$89,7,0))</f>
        <v>0.12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0.63014464762289035</v>
      </c>
      <c r="AA43" s="21">
        <f>EXP(-LN(2)/25)*AA42+(1-EXP(-LN(2)/25))/(LN(2)/25)*Calculateur!V43*Calculateur!X43*VLOOKUP('Données projet'!$B$9,Paramètres!$A$1:$I$89,3,0)*0.475*44/12</f>
        <v>4.6339429223895676</v>
      </c>
      <c r="AB43" s="21">
        <f>EXP(-LN(2)/2)*AB42+(1-EXP(-LN(2)/2))/(LN(2)/2)*V43*Y43*VLOOKUP('Données projet'!$B$9,Paramètres!$A$1:$I$89,3,0)*0.475*44/12</f>
        <v>0</v>
      </c>
      <c r="AC43" s="22">
        <f t="shared" si="3"/>
        <v>5.2640875700124576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88.008749437127449</v>
      </c>
      <c r="AO43" s="59">
        <f t="shared" si="36"/>
        <v>258.40359226940507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31.838573496052732</v>
      </c>
      <c r="AV43" s="21">
        <f>EXP(-LN(2)/25)*AV42+(1-EXP(-LN(2)/25))/(LN(2)/25)*Calculateur!AQ43*Calculateur!AS43*VLOOKUP('Données projet'!$B$10,Paramètres!$A$1:$I$89,3,0)*0.475*44/12</f>
        <v>5.7999814691493539</v>
      </c>
      <c r="AW43" s="21">
        <f>EXP(-LN(2)/2)*AW42+(1-EXP(-LN(2)/2))/(LN(2)/2)*AQ43*AT43*VLOOKUP('Données projet'!$B$10,Paramètres!$A$1:$I$89,3,0)*0.475*44/12</f>
        <v>1.4083802830089797E-2</v>
      </c>
      <c r="AX43" s="21">
        <f t="shared" si="6"/>
        <v>37.652638768032169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6</v>
      </c>
      <c r="N44" s="13">
        <f>IF('Données projet'!$A$36&gt;35,N43+M44-V43,IF(A44&lt;'Données projet'!$A$36,$K$205^A44,IF(A44='Données projet'!$A$36,'Données projet'!$B$36,N43+M44-V43)))</f>
        <v>287.99999999999983</v>
      </c>
      <c r="O44" s="13">
        <f>N44*VLOOKUP('Données projet'!$B$9,Paramètres!$A$1:$I$89,3,0)*VLOOKUP('Données projet'!$B$9,Paramètres!$A$1:$I$89,5,0)</f>
        <v>260.58239999999984</v>
      </c>
      <c r="P44" s="13">
        <f t="shared" si="33"/>
        <v>62.84650592989685</v>
      </c>
      <c r="Q44" s="20">
        <f t="shared" si="53"/>
        <v>563.30534449457014</v>
      </c>
      <c r="R44" s="59">
        <f t="shared" si="0"/>
        <v>811.90803408907414</v>
      </c>
      <c r="S44" s="59">
        <f ca="1">AVERAGE(OFFSET($R$3,0,0,'Données projet'!$E$9+1,1))-AVERAGE(OFFSET($H$3,0,0,'Données projet'!$E$9+1,1))</f>
        <v>376.51107072413777</v>
      </c>
      <c r="T44" s="59">
        <f t="shared" si="34"/>
        <v>532.90758914457615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0.61778789543328905</v>
      </c>
      <c r="AA44" s="21">
        <f>EXP(-LN(2)/25)*AA43+(1-EXP(-LN(2)/25))/(LN(2)/25)*Calculateur!V44*Calculateur!X44*VLOOKUP('Données projet'!$B$9,Paramètres!$A$1:$I$89,3,0)*0.475*44/12</f>
        <v>4.5072275094883576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5.1250154049216468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88.008749437127449</v>
      </c>
      <c r="AO44" s="59">
        <f t="shared" si="36"/>
        <v>258.40359226940507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31.214238489407443</v>
      </c>
      <c r="AV44" s="21">
        <f>EXP(-LN(2)/25)*AV43+(1-EXP(-LN(2)/25))/(LN(2)/25)*Calculateur!AQ44*Calculateur!AS44*VLOOKUP('Données projet'!$B$10,Paramètres!$A$1:$I$89,3,0)*0.475*44/12</f>
        <v>5.6413806708676955</v>
      </c>
      <c r="AW44" s="21">
        <f>EXP(-LN(2)/2)*AW43+(1-EXP(-LN(2)/2))/(LN(2)/2)*AQ44*AT44*VLOOKUP('Données projet'!$B$10,Paramètres!$A$1:$I$89,3,0)*0.475*44/12</f>
        <v>9.958752486050786E-3</v>
      </c>
      <c r="AX44" s="21">
        <f t="shared" si="6"/>
        <v>36.865577912761189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6</v>
      </c>
      <c r="N45" s="13">
        <f>IF('Données projet'!$A$36&gt;35,N44+M45-V44,IF(A45&lt;'Données projet'!$A$36,$K$205^A45,IF(A45='Données projet'!$A$36,'Données projet'!$B$36,N44+M45-V44)))</f>
        <v>293.99999999999983</v>
      </c>
      <c r="O45" s="13">
        <f>N45*VLOOKUP('Données projet'!$B$9,Paramètres!$A$1:$I$89,3,0)*VLOOKUP('Données projet'!$B$9,Paramètres!$A$1:$I$89,5,0)</f>
        <v>266.01119999999986</v>
      </c>
      <c r="P45" s="13">
        <f t="shared" si="33"/>
        <v>64.00201337612566</v>
      </c>
      <c r="Q45" s="20">
        <f t="shared" si="53"/>
        <v>574.77301329675186</v>
      </c>
      <c r="R45" s="59">
        <f t="shared" si="0"/>
        <v>824.15167955738661</v>
      </c>
      <c r="S45" s="59">
        <f ca="1">AVERAGE(OFFSET($R$3,0,0,'Données projet'!$E$9+1,1))-AVERAGE(OFFSET($H$3,0,0,'Données projet'!$E$9+1,1))</f>
        <v>376.51107072413777</v>
      </c>
      <c r="T45" s="59">
        <f t="shared" si="34"/>
        <v>532.90758914457615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0.60567345161725128</v>
      </c>
      <c r="AA45" s="21">
        <f>EXP(-LN(2)/25)*AA44+(1-EXP(-LN(2)/25))/(LN(2)/25)*Calculateur!V45*Calculateur!X45*VLOOKUP('Données projet'!$B$9,Paramètres!$A$1:$I$89,3,0)*0.475*44/12</f>
        <v>4.3839771362166049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4.9896505878338564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88.008749437127449</v>
      </c>
      <c r="AO45" s="59">
        <f t="shared" si="36"/>
        <v>258.40359226940507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30.602146311435714</v>
      </c>
      <c r="AV45" s="21">
        <f>EXP(-LN(2)/25)*AV44+(1-EXP(-LN(2)/25))/(LN(2)/25)*Calculateur!AQ45*Calculateur!AS45*VLOOKUP('Données projet'!$B$10,Paramètres!$A$1:$I$89,3,0)*0.475*44/12</f>
        <v>5.487116819755502</v>
      </c>
      <c r="AW45" s="21">
        <f>EXP(-LN(2)/2)*AW44+(1-EXP(-LN(2)/2))/(LN(2)/2)*AQ45*AT45*VLOOKUP('Données projet'!$B$10,Paramètres!$A$1:$I$89,3,0)*0.475*44/12</f>
        <v>7.0419014150449001E-3</v>
      </c>
      <c r="AX45" s="21">
        <f t="shared" si="6"/>
        <v>36.09630503260626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6</v>
      </c>
      <c r="N46" s="13">
        <f>IF('Données projet'!$A$36&gt;35,N45+M46-V45,IF(A46&lt;'Données projet'!$A$36,$K$205^A46,IF(A46='Données projet'!$A$36,'Données projet'!$B$36,N45+M46-V45)))</f>
        <v>299.99999999999983</v>
      </c>
      <c r="O46" s="13">
        <f>N46*VLOOKUP('Données projet'!$B$9,Paramètres!$A$1:$I$89,3,0)*VLOOKUP('Données projet'!$B$9,Paramètres!$A$1:$I$89,5,0)</f>
        <v>271.43999999999983</v>
      </c>
      <c r="P46" s="13">
        <f t="shared" si="33"/>
        <v>65.154778959151173</v>
      </c>
      <c r="Q46" s="20">
        <f t="shared" si="53"/>
        <v>586.23590668718793</v>
      </c>
      <c r="R46" s="59">
        <f t="shared" si="0"/>
        <v>836.37708815361998</v>
      </c>
      <c r="S46" s="59">
        <f ca="1">AVERAGE(OFFSET($R$3,0,0,'Données projet'!$E$9+1,1))-AVERAGE(OFFSET($H$3,0,0,'Données projet'!$E$9+1,1))</f>
        <v>376.51107072413777</v>
      </c>
      <c r="T46" s="59">
        <f t="shared" si="34"/>
        <v>532.90758914457615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0.5937965646553649</v>
      </c>
      <c r="AA46" s="21">
        <f>EXP(-LN(2)/25)*AA45+(1-EXP(-LN(2)/25))/(LN(2)/25)*Calculateur!V46*Calculateur!X46*VLOOKUP('Données projet'!$B$9,Paramètres!$A$1:$I$89,3,0)*0.475*44/12</f>
        <v>4.2640970508834242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4.8578936155387886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88.008749437127449</v>
      </c>
      <c r="AO46" s="59">
        <f t="shared" si="36"/>
        <v>258.40359226940507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30.002056887734646</v>
      </c>
      <c r="AV46" s="21">
        <f>EXP(-LN(2)/25)*AV45+(1-EXP(-LN(2)/25))/(LN(2)/25)*Calculateur!AQ46*Calculateur!AS46*VLOOKUP('Données projet'!$B$10,Paramètres!$A$1:$I$89,3,0)*0.475*44/12</f>
        <v>5.3370713217643555</v>
      </c>
      <c r="AW46" s="21">
        <f>EXP(-LN(2)/2)*AW45+(1-EXP(-LN(2)/2))/(LN(2)/2)*AQ46*AT46*VLOOKUP('Données projet'!$B$10,Paramètres!$A$1:$I$89,3,0)*0.475*44/12</f>
        <v>4.9793762430253938E-3</v>
      </c>
      <c r="AX46" s="21">
        <f t="shared" si="6"/>
        <v>35.34410758574203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6</v>
      </c>
      <c r="N47" s="13">
        <f>IF('Données projet'!$A$36&gt;35,N46+M47-V46,IF(A47&lt;'Données projet'!$A$36,$K$205^A47,IF(A47='Données projet'!$A$36,'Données projet'!$B$36,N46+M47-V46)))</f>
        <v>305.99999999999983</v>
      </c>
      <c r="O47" s="13">
        <f>N47*VLOOKUP('Données projet'!$B$9,Paramètres!$A$1:$I$89,3,0)*VLOOKUP('Données projet'!$B$9,Paramètres!$A$1:$I$89,5,0)</f>
        <v>276.86879999999979</v>
      </c>
      <c r="P47" s="13">
        <f t="shared" si="33"/>
        <v>66.304863836318603</v>
      </c>
      <c r="Q47" s="20">
        <f t="shared" si="53"/>
        <v>597.69413118158775</v>
      </c>
      <c r="R47" s="59">
        <f t="shared" si="0"/>
        <v>848.58459991972518</v>
      </c>
      <c r="S47" s="59">
        <f ca="1">AVERAGE(OFFSET($R$3,0,0,'Données projet'!$E$9+1,1))-AVERAGE(OFFSET($H$3,0,0,'Données projet'!$E$9+1,1))</f>
        <v>376.51107072413777</v>
      </c>
      <c r="T47" s="59">
        <f t="shared" si="34"/>
        <v>532.90758914457615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0.58215257620261529</v>
      </c>
      <c r="AA47" s="21">
        <f>EXP(-LN(2)/25)*AA46+(1-EXP(-LN(2)/25))/(LN(2)/25)*Calculateur!V47*Calculateur!X47*VLOOKUP('Données projet'!$B$9,Paramètres!$A$1:$I$89,3,0)*0.475*44/12</f>
        <v>4.1474950927878984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4.7296476689905136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88.008749437127449</v>
      </c>
      <c r="AO47" s="59">
        <f t="shared" si="36"/>
        <v>258.40359226940507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29.413734851613953</v>
      </c>
      <c r="AV47" s="21">
        <f>EXP(-LN(2)/25)*AV46+(1-EXP(-LN(2)/25))/(LN(2)/25)*Calculateur!AQ47*Calculateur!AS47*VLOOKUP('Données projet'!$B$10,Paramètres!$A$1:$I$89,3,0)*0.475*44/12</f>
        <v>5.1911288258063264</v>
      </c>
      <c r="AW47" s="21">
        <f>EXP(-LN(2)/2)*AW46+(1-EXP(-LN(2)/2))/(LN(2)/2)*AQ47*AT47*VLOOKUP('Données projet'!$B$10,Paramètres!$A$1:$I$89,3,0)*0.475*44/12</f>
        <v>3.5209507075224505E-3</v>
      </c>
      <c r="AX47" s="21">
        <f t="shared" si="6"/>
        <v>34.608384628127801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312</v>
      </c>
      <c r="L48" s="12">
        <f>VLOOKUP(A48,'Données projet'!$A$35:$I$55,9,0)</f>
        <v>6</v>
      </c>
      <c r="M48" s="12">
        <f t="array" ref="M48">INDEX(L:L,MIN(IF(ISNUMBER(L48:L244),ROW(L48:L244),"")))</f>
        <v>6</v>
      </c>
      <c r="N48" s="13">
        <f>IF('Données projet'!$A$36&gt;35,N47+M48-V47,IF(A48&lt;'Données projet'!$A$36,$K$205^A48,IF(A48='Données projet'!$A$36,'Données projet'!$B$36,N47+M48-V47)))</f>
        <v>311.99999999999983</v>
      </c>
      <c r="O48" s="13">
        <f>N48*VLOOKUP('Données projet'!$B$9,Paramètres!$A$1:$I$89,3,0)*VLOOKUP('Données projet'!$B$9,Paramètres!$A$1:$I$89,5,0)</f>
        <v>282.29759999999982</v>
      </c>
      <c r="P48" s="13">
        <f t="shared" si="33"/>
        <v>67.452326629470107</v>
      </c>
      <c r="Q48" s="20">
        <f t="shared" si="53"/>
        <v>609.1477888796602</v>
      </c>
      <c r="R48" s="59">
        <f t="shared" si="0"/>
        <v>860.7745464304943</v>
      </c>
      <c r="S48" s="59">
        <f ca="1">AVERAGE(OFFSET($R$3,0,0,'Données projet'!$E$9+1,1))-AVERAGE(OFFSET($H$3,0,0,'Données projet'!$E$9+1,1))</f>
        <v>376.51107072413777</v>
      </c>
      <c r="T48" s="59">
        <f t="shared" si="34"/>
        <v>532.90758914457615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7</v>
      </c>
      <c r="W48" s="16">
        <f>IF(ISNA(VLOOKUP(A48,'Données projet'!$A$35:$I$55,5,0)),0%,VLOOKUP(A48,'Données projet'!$A$35:$I$55,5,0)*VLOOKUP('Données projet'!$B$9,Paramètres!$A$1:$I$89,7,0))</f>
        <v>0.09</v>
      </c>
      <c r="X48" s="16">
        <f>IF(ISNA(VLOOKUP(A48,'Données projet'!$A$35:$I$55,6,0)),0%,VLOOKUP(A48,'Données projet'!$A$35:$I$55,6,0)*VLOOKUP('Données projet'!$B$9,Paramètres!$A$1:$I$89,7,0))</f>
        <v>0.12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1.2008815668841828</v>
      </c>
      <c r="AA48" s="21">
        <f>EXP(-LN(2)/25)*AA47+(1-EXP(-LN(2)/25))/(LN(2)/25)*Calculateur!V48*Calculateur!X48*VLOOKUP('Données projet'!$B$9,Paramètres!$A$1:$I$89,3,0)*0.475*44/12</f>
        <v>4.8709663254233444</v>
      </c>
      <c r="AB48" s="21">
        <f>EXP(-LN(2)/2)*AB47+(1-EXP(-LN(2)/2))/(LN(2)/2)*V48*Y48*VLOOKUP('Données projet'!$B$9,Paramètres!$A$1:$I$89,3,0)*0.475*44/12</f>
        <v>0</v>
      </c>
      <c r="AC48" s="22">
        <f t="shared" si="3"/>
        <v>6.0718478923075274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88.008749437127449</v>
      </c>
      <c r="AO48" s="59">
        <f t="shared" si="36"/>
        <v>258.40359226940507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28.836949451780576</v>
      </c>
      <c r="AV48" s="21">
        <f>EXP(-LN(2)/25)*AV47+(1-EXP(-LN(2)/25))/(LN(2)/25)*Calculateur!AQ48*Calculateur!AS48*VLOOKUP('Données projet'!$B$10,Paramètres!$A$1:$I$89,3,0)*0.475*44/12</f>
        <v>5.0491771350750518</v>
      </c>
      <c r="AW48" s="21">
        <f>EXP(-LN(2)/2)*AW47+(1-EXP(-LN(2)/2))/(LN(2)/2)*AQ48*AT48*VLOOKUP('Données projet'!$B$10,Paramètres!$A$1:$I$89,3,0)*0.475*44/12</f>
        <v>2.4896881215126974E-3</v>
      </c>
      <c r="AX48" s="21">
        <f t="shared" si="6"/>
        <v>33.888616274977139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304.99999999999983</v>
      </c>
      <c r="O49" s="13">
        <f>N49*VLOOKUP('Données projet'!$B$9,Paramètres!$A$1:$I$89,3,0)*VLOOKUP('Données projet'!$B$9,Paramètres!$A$1:$I$89,5,0)</f>
        <v>275.96399999999983</v>
      </c>
      <c r="P49" s="13">
        <f t="shared" si="33"/>
        <v>66.113366665488854</v>
      </c>
      <c r="Q49" s="20">
        <f t="shared" si="53"/>
        <v>595.78474694239264</v>
      </c>
      <c r="R49" s="59">
        <f t="shared" si="0"/>
        <v>848.13502034111832</v>
      </c>
      <c r="S49" s="59">
        <f ca="1">AVERAGE(OFFSET($R$3,0,0,'Données projet'!$E$9+1,1))-AVERAGE(OFFSET($H$3,0,0,'Données projet'!$E$9+1,1))</f>
        <v>376.51107072413777</v>
      </c>
      <c r="T49" s="59">
        <f t="shared" si="34"/>
        <v>532.90758914457615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1.1773330118230148</v>
      </c>
      <c r="AA49" s="21">
        <f>EXP(-LN(2)/25)*AA48+(1-EXP(-LN(2)/25))/(LN(2)/25)*Calculateur!V49*Calculateur!X49*VLOOKUP('Données projet'!$B$9,Paramètres!$A$1:$I$89,3,0)*0.475*44/12</f>
        <v>4.7377694951016567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5.9151025069246712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88.008749437127449</v>
      </c>
      <c r="AO49" s="59">
        <f t="shared" si="36"/>
        <v>258.40359226940507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28.271474461833574</v>
      </c>
      <c r="AV49" s="21">
        <f>EXP(-LN(2)/25)*AV48+(1-EXP(-LN(2)/25))/(LN(2)/25)*Calculateur!AQ49*Calculateur!AS49*VLOOKUP('Données projet'!$B$10,Paramètres!$A$1:$I$89,3,0)*0.475*44/12</f>
        <v>4.9111071207917387</v>
      </c>
      <c r="AW49" s="21">
        <f>EXP(-LN(2)/2)*AW48+(1-EXP(-LN(2)/2))/(LN(2)/2)*AQ49*AT49*VLOOKUP('Données projet'!$B$10,Paramètres!$A$1:$I$89,3,0)*0.475*44/12</f>
        <v>1.7604753537612255E-3</v>
      </c>
      <c r="AX49" s="21">
        <f t="shared" si="6"/>
        <v>33.184342057979073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304.99999999999983</v>
      </c>
      <c r="O50" s="13">
        <f>N50*VLOOKUP('Données projet'!$B$9,Paramètres!$A$1:$I$89,3,0)*VLOOKUP('Données projet'!$B$9,Paramètres!$A$1:$I$89,5,0)</f>
        <v>275.96399999999983</v>
      </c>
      <c r="P50" s="13">
        <f t="shared" si="33"/>
        <v>66.113366665488854</v>
      </c>
      <c r="Q50" s="20">
        <f t="shared" si="53"/>
        <v>595.78474694239264</v>
      </c>
      <c r="R50" s="59">
        <f t="shared" si="0"/>
        <v>848.84598480658804</v>
      </c>
      <c r="S50" s="59">
        <f ca="1">AVERAGE(OFFSET($R$3,0,0,'Données projet'!$E$9+1,1))-AVERAGE(OFFSET($H$3,0,0,'Données projet'!$E$9+1,1))</f>
        <v>376.51107072413777</v>
      </c>
      <c r="T50" s="59">
        <f t="shared" si="34"/>
        <v>532.90758914457615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1.154246229563396</v>
      </c>
      <c r="AA50" s="21">
        <f>EXP(-LN(2)/25)*AA49+(1-EXP(-LN(2)/25))/(LN(2)/25)*Calculateur!V50*Calculateur!X50*VLOOKUP('Données projet'!$B$9,Paramètres!$A$1:$I$89,3,0)*0.475*44/12</f>
        <v>4.6082149391096321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5.7624611686730276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88.008749437127449</v>
      </c>
      <c r="AO50" s="59">
        <f t="shared" si="36"/>
        <v>258.40359226940507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27.717088091533746</v>
      </c>
      <c r="AV50" s="21">
        <f>EXP(-LN(2)/25)*AV49+(1-EXP(-LN(2)/25))/(LN(2)/25)*Calculateur!AQ50*Calculateur!AS50*VLOOKUP('Données projet'!$B$10,Paramètres!$A$1:$I$89,3,0)*0.475*44/12</f>
        <v>4.7768126383097895</v>
      </c>
      <c r="AW50" s="21">
        <f>EXP(-LN(2)/2)*AW49+(1-EXP(-LN(2)/2))/(LN(2)/2)*AQ50*AT50*VLOOKUP('Données projet'!$B$10,Paramètres!$A$1:$I$89,3,0)*0.475*44/12</f>
        <v>1.2448440607563487E-3</v>
      </c>
      <c r="AX50" s="21">
        <f t="shared" si="6"/>
        <v>32.495145573904296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304.99999999999983</v>
      </c>
      <c r="O51" s="13">
        <f>N51*VLOOKUP('Données projet'!$B$9,Paramètres!$A$1:$I$89,3,0)*VLOOKUP('Données projet'!$B$9,Paramètres!$A$1:$I$89,5,0)</f>
        <v>275.96399999999983</v>
      </c>
      <c r="P51" s="13">
        <f t="shared" si="33"/>
        <v>66.113366665488854</v>
      </c>
      <c r="Q51" s="20">
        <f t="shared" si="53"/>
        <v>595.78474694239264</v>
      </c>
      <c r="R51" s="59">
        <f t="shared" si="0"/>
        <v>849.54461562806034</v>
      </c>
      <c r="S51" s="59">
        <f ca="1">AVERAGE(OFFSET($R$3,0,0,'Données projet'!$E$9+1,1))-AVERAGE(OFFSET($H$3,0,0,'Données projet'!$E$9+1,1))</f>
        <v>376.51107072413777</v>
      </c>
      <c r="T51" s="59">
        <f t="shared" si="34"/>
        <v>532.90758914457615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1.1316121650223416</v>
      </c>
      <c r="AA51" s="21">
        <f>EXP(-LN(2)/25)*AA50+(1-EXP(-LN(2)/25))/(LN(2)/25)*Calculateur!V51*Calculateur!X51*VLOOKUP('Données projet'!$B$9,Paramètres!$A$1:$I$89,3,0)*0.475*44/12</f>
        <v>4.4822030592641875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5.6138152242865296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88.008749437127449</v>
      </c>
      <c r="AO51" s="59">
        <f t="shared" si="36"/>
        <v>258.40359226940507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27.173572899813202</v>
      </c>
      <c r="AV51" s="21">
        <f>EXP(-LN(2)/25)*AV50+(1-EXP(-LN(2)/25))/(LN(2)/25)*Calculateur!AQ51*Calculateur!AS51*VLOOKUP('Données projet'!$B$10,Paramètres!$A$1:$I$89,3,0)*0.475*44/12</f>
        <v>4.6461904455135494</v>
      </c>
      <c r="AW51" s="21">
        <f>EXP(-LN(2)/2)*AW50+(1-EXP(-LN(2)/2))/(LN(2)/2)*AQ51*AT51*VLOOKUP('Données projet'!$B$10,Paramètres!$A$1:$I$89,3,0)*0.475*44/12</f>
        <v>8.8023767688061273E-4</v>
      </c>
      <c r="AX51" s="21">
        <f t="shared" si="6"/>
        <v>31.820643583003633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304.99999999999983</v>
      </c>
      <c r="O52" s="13">
        <f>N52*VLOOKUP('Données projet'!$B$9,Paramètres!$A$1:$I$89,3,0)*VLOOKUP('Données projet'!$B$9,Paramètres!$A$1:$I$89,5,0)</f>
        <v>275.96399999999983</v>
      </c>
      <c r="P52" s="13">
        <f t="shared" si="33"/>
        <v>66.113366665488854</v>
      </c>
      <c r="Q52" s="20">
        <f t="shared" si="53"/>
        <v>595.78474694239264</v>
      </c>
      <c r="R52" s="59">
        <f t="shared" si="0"/>
        <v>850.23112676668461</v>
      </c>
      <c r="S52" s="59">
        <f ca="1">AVERAGE(OFFSET($R$3,0,0,'Données projet'!$E$9+1,1))-AVERAGE(OFFSET($H$3,0,0,'Données projet'!$E$9+1,1))</f>
        <v>376.51107072413777</v>
      </c>
      <c r="T52" s="59">
        <f t="shared" si="34"/>
        <v>532.90758914457615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1.1094219406815211</v>
      </c>
      <c r="AA52" s="21">
        <f>EXP(-LN(2)/25)*AA51+(1-EXP(-LN(2)/25))/(LN(2)/25)*Calculateur!V52*Calculateur!X52*VLOOKUP('Données projet'!$B$9,Paramètres!$A$1:$I$89,3,0)*0.475*44/12</f>
        <v>4.3596369808997935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5.4690589215813148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88.008749437127449</v>
      </c>
      <c r="AO52" s="59">
        <f t="shared" si="36"/>
        <v>258.40359226940507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26.640715709490763</v>
      </c>
      <c r="AV52" s="21">
        <f>EXP(-LN(2)/25)*AV51+(1-EXP(-LN(2)/25))/(LN(2)/25)*Calculateur!AQ52*Calculateur!AS52*VLOOKUP('Données projet'!$B$10,Paramètres!$A$1:$I$89,3,0)*0.475*44/12</f>
        <v>4.5191401234484445</v>
      </c>
      <c r="AW52" s="21">
        <f>EXP(-LN(2)/2)*AW51+(1-EXP(-LN(2)/2))/(LN(2)/2)*AQ52*AT52*VLOOKUP('Données projet'!$B$10,Paramètres!$A$1:$I$89,3,0)*0.475*44/12</f>
        <v>6.2242203037817434E-4</v>
      </c>
      <c r="AX52" s="21">
        <f t="shared" si="6"/>
        <v>31.160478254969586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304.99999999999983</v>
      </c>
      <c r="O53" s="13">
        <f>N53*VLOOKUP('Données projet'!$B$9,Paramètres!$A$1:$I$89,3,0)*VLOOKUP('Données projet'!$B$9,Paramètres!$A$1:$I$89,5,0)</f>
        <v>275.96399999999983</v>
      </c>
      <c r="P53" s="13">
        <f t="shared" si="33"/>
        <v>66.113366665488854</v>
      </c>
      <c r="Q53" s="20">
        <f t="shared" si="53"/>
        <v>595.78474694239264</v>
      </c>
      <c r="R53" s="59">
        <f t="shared" si="0"/>
        <v>850.90572847186274</v>
      </c>
      <c r="S53" s="59">
        <f ca="1">AVERAGE(OFFSET($R$3,0,0,'Données projet'!$E$9+1,1))-AVERAGE(OFFSET($H$3,0,0,'Données projet'!$E$9+1,1))</f>
        <v>376.51107072413777</v>
      </c>
      <c r="T53" s="59">
        <f t="shared" si="34"/>
        <v>532.90758914457615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1.0876668531053237</v>
      </c>
      <c r="AA53" s="21">
        <f>EXP(-LN(2)/25)*AA52+(1-EXP(-LN(2)/25))/(LN(2)/25)*Calculateur!V53*Calculateur!X53*VLOOKUP('Données projet'!$B$9,Paramètres!$A$1:$I$89,3,0)*0.475*44/12</f>
        <v>4.2404224783937439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5.3280893314990676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88.008749437127449</v>
      </c>
      <c r="AO53" s="59">
        <f t="shared" si="36"/>
        <v>258.40359226940507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26.118307523659755</v>
      </c>
      <c r="AV53" s="21">
        <f>EXP(-LN(2)/25)*AV52+(1-EXP(-LN(2)/25))/(LN(2)/25)*Calculateur!AQ53*Calculateur!AS53*VLOOKUP('Données projet'!$B$10,Paramètres!$A$1:$I$89,3,0)*0.475*44/12</f>
        <v>4.3955639991214968</v>
      </c>
      <c r="AW53" s="21">
        <f>EXP(-LN(2)/2)*AW52+(1-EXP(-LN(2)/2))/(LN(2)/2)*AQ53*AT53*VLOOKUP('Données projet'!$B$10,Paramètres!$A$1:$I$89,3,0)*0.475*44/12</f>
        <v>4.4011883844030636E-4</v>
      </c>
      <c r="AX53" s="21">
        <f t="shared" si="6"/>
        <v>30.514311641619692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304.99999999999983</v>
      </c>
      <c r="O54" s="13">
        <f>N54*VLOOKUP('Données projet'!$B$9,Paramètres!$A$1:$I$89,3,0)*VLOOKUP('Données projet'!$B$9,Paramètres!$A$1:$I$89,5,0)</f>
        <v>275.96399999999983</v>
      </c>
      <c r="P54" s="13">
        <f t="shared" si="33"/>
        <v>66.113366665488854</v>
      </c>
      <c r="Q54" s="20">
        <f t="shared" si="53"/>
        <v>595.78474694239264</v>
      </c>
      <c r="R54" s="59">
        <f t="shared" si="0"/>
        <v>851.56862734563947</v>
      </c>
      <c r="S54" s="59">
        <f ca="1">AVERAGE(OFFSET($R$3,0,0,'Données projet'!$E$9+1,1))-AVERAGE(OFFSET($H$3,0,0,'Données projet'!$E$9+1,1))</f>
        <v>376.51107072413777</v>
      </c>
      <c r="T54" s="59">
        <f t="shared" si="34"/>
        <v>532.90758914457615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1.0663383695272024</v>
      </c>
      <c r="AA54" s="21">
        <f>EXP(-LN(2)/25)*AA53+(1-EXP(-LN(2)/25))/(LN(2)/25)*Calculateur!V54*Calculateur!X54*VLOOKUP('Données projet'!$B$9,Paramètres!$A$1:$I$89,3,0)*0.475*44/12</f>
        <v>4.1244679027279405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5.1908062722551431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88.008749437127449</v>
      </c>
      <c r="AO54" s="59">
        <f t="shared" si="36"/>
        <v>258.40359226940507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25.606143443715361</v>
      </c>
      <c r="AV54" s="21">
        <f>EXP(-LN(2)/25)*AV53+(1-EXP(-LN(2)/25))/(LN(2)/25)*Calculateur!AQ54*Calculateur!AS54*VLOOKUP('Données projet'!$B$10,Paramètres!$A$1:$I$89,3,0)*0.475*44/12</f>
        <v>4.2753670704128552</v>
      </c>
      <c r="AW54" s="21">
        <f>EXP(-LN(2)/2)*AW53+(1-EXP(-LN(2)/2))/(LN(2)/2)*AQ54*AT54*VLOOKUP('Données projet'!$B$10,Paramètres!$A$1:$I$89,3,0)*0.475*44/12</f>
        <v>3.1121101518908717E-4</v>
      </c>
      <c r="AX54" s="21">
        <f t="shared" si="6"/>
        <v>29.881821725143404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304.99999999999983</v>
      </c>
      <c r="O55" s="13">
        <f>N55*VLOOKUP('Données projet'!$B$9,Paramètres!$A$1:$I$89,3,0)*VLOOKUP('Données projet'!$B$9,Paramètres!$A$1:$I$89,5,0)</f>
        <v>275.96399999999983</v>
      </c>
      <c r="P55" s="13">
        <f t="shared" si="33"/>
        <v>66.113366665488854</v>
      </c>
      <c r="Q55" s="20">
        <f t="shared" si="53"/>
        <v>595.78474694239264</v>
      </c>
      <c r="R55" s="59">
        <f t="shared" si="0"/>
        <v>852.220026405976</v>
      </c>
      <c r="S55" s="59">
        <f ca="1">AVERAGE(OFFSET($R$3,0,0,'Données projet'!$E$9+1,1))-AVERAGE(OFFSET($H$3,0,0,'Données projet'!$E$9+1,1))</f>
        <v>376.51107072413777</v>
      </c>
      <c r="T55" s="59">
        <f t="shared" si="34"/>
        <v>532.90758914457615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1.0454281245029575</v>
      </c>
      <c r="AA55" s="21">
        <f>EXP(-LN(2)/25)*AA54+(1-EXP(-LN(2)/25))/(LN(2)/25)*Calculateur!V55*Calculateur!X55*VLOOKUP('Données projet'!$B$9,Paramètres!$A$1:$I$89,3,0)*0.475*44/12</f>
        <v>4.0116841110315047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5.0571122355344622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88.008749437127449</v>
      </c>
      <c r="AO55" s="59">
        <f t="shared" si="36"/>
        <v>258.40359226940507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25.104022588989434</v>
      </c>
      <c r="AV55" s="21">
        <f>EXP(-LN(2)/25)*AV54+(1-EXP(-LN(2)/25))/(LN(2)/25)*Calculateur!AQ55*Calculateur!AS55*VLOOKUP('Données projet'!$B$10,Paramètres!$A$1:$I$89,3,0)*0.475*44/12</f>
        <v>4.1584569330406334</v>
      </c>
      <c r="AW55" s="21">
        <f>EXP(-LN(2)/2)*AW54+(1-EXP(-LN(2)/2))/(LN(2)/2)*AQ55*AT55*VLOOKUP('Données projet'!$B$10,Paramètres!$A$1:$I$89,3,0)*0.475*44/12</f>
        <v>2.2005941922015318E-4</v>
      </c>
      <c r="AX55" s="21">
        <f t="shared" si="6"/>
        <v>29.262699581449287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304.99999999999983</v>
      </c>
      <c r="O56" s="13">
        <f>N56*VLOOKUP('Données projet'!$B$9,Paramètres!$A$1:$I$89,3,0)*VLOOKUP('Données projet'!$B$9,Paramètres!$A$1:$I$89,5,0)</f>
        <v>275.96399999999983</v>
      </c>
      <c r="P56" s="13">
        <f t="shared" si="33"/>
        <v>66.113366665488854</v>
      </c>
      <c r="Q56" s="20">
        <f t="shared" si="53"/>
        <v>595.78474694239264</v>
      </c>
      <c r="R56" s="59">
        <f t="shared" si="0"/>
        <v>852.86012514892582</v>
      </c>
      <c r="S56" s="59">
        <f ca="1">AVERAGE(OFFSET($R$3,0,0,'Données projet'!$E$9+1,1))-AVERAGE(OFFSET($H$3,0,0,'Données projet'!$E$9+1,1))</f>
        <v>376.51107072413777</v>
      </c>
      <c r="T56" s="59">
        <f t="shared" si="34"/>
        <v>532.90758914457615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1.0249279166296479</v>
      </c>
      <c r="AA56" s="21">
        <f>EXP(-LN(2)/25)*AA55+(1-EXP(-LN(2)/25))/(LN(2)/25)*Calculateur!V56*Calculateur!X56*VLOOKUP('Données projet'!$B$9,Paramètres!$A$1:$I$89,3,0)*0.475*44/12</f>
        <v>3.9019843980500495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4.9269123146796971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88.008749437127449</v>
      </c>
      <c r="AO56" s="59">
        <f t="shared" si="36"/>
        <v>258.40359226940507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24.611748017961201</v>
      </c>
      <c r="AV56" s="21">
        <f>EXP(-LN(2)/25)*AV55+(1-EXP(-LN(2)/25))/(LN(2)/25)*Calculateur!AQ56*Calculateur!AS56*VLOOKUP('Données projet'!$B$10,Paramètres!$A$1:$I$89,3,0)*0.475*44/12</f>
        <v>4.0447437095228915</v>
      </c>
      <c r="AW56" s="21">
        <f>EXP(-LN(2)/2)*AW55+(1-EXP(-LN(2)/2))/(LN(2)/2)*AQ56*AT56*VLOOKUP('Données projet'!$B$10,Paramètres!$A$1:$I$89,3,0)*0.475*44/12</f>
        <v>1.5560550759454358E-4</v>
      </c>
      <c r="AX56" s="21">
        <f t="shared" si="6"/>
        <v>28.656647332991685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304.99999999999983</v>
      </c>
      <c r="O57" s="13">
        <f>N57*VLOOKUP('Données projet'!$B$9,Paramètres!$A$1:$I$89,3,0)*VLOOKUP('Données projet'!$B$9,Paramètres!$A$1:$I$89,5,0)</f>
        <v>275.96399999999983</v>
      </c>
      <c r="P57" s="13">
        <f t="shared" si="33"/>
        <v>66.113366665488854</v>
      </c>
      <c r="Q57" s="20">
        <f t="shared" si="53"/>
        <v>595.78474694239264</v>
      </c>
      <c r="R57" s="59">
        <f t="shared" si="0"/>
        <v>853.48911960973192</v>
      </c>
      <c r="S57" s="59">
        <f ca="1">AVERAGE(OFFSET($R$3,0,0,'Données projet'!$E$9+1,1))-AVERAGE(OFFSET($H$3,0,0,'Données projet'!$E$9+1,1))</f>
        <v>376.51107072413777</v>
      </c>
      <c r="T57" s="59">
        <f t="shared" si="34"/>
        <v>532.90758914457615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1.0048297053288417</v>
      </c>
      <c r="AA57" s="21">
        <f>EXP(-LN(2)/25)*AA56+(1-EXP(-LN(2)/25))/(LN(2)/25)*Calculateur!V57*Calculateur!X57*VLOOKUP('Données projet'!$B$9,Paramètres!$A$1:$I$89,3,0)*0.475*44/12</f>
        <v>3.7952844294889294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4.8001141348177709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88.008749437127449</v>
      </c>
      <c r="AO57" s="59">
        <f t="shared" si="36"/>
        <v>258.40359226940507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24.129126651012992</v>
      </c>
      <c r="AV57" s="21">
        <f>EXP(-LN(2)/25)*AV56+(1-EXP(-LN(2)/25))/(LN(2)/25)*Calculateur!AQ57*Calculateur!AS57*VLOOKUP('Données projet'!$B$10,Paramètres!$A$1:$I$89,3,0)*0.475*44/12</f>
        <v>3.9341399800821608</v>
      </c>
      <c r="AW57" s="21">
        <f>EXP(-LN(2)/2)*AW56+(1-EXP(-LN(2)/2))/(LN(2)/2)*AQ57*AT57*VLOOKUP('Données projet'!$B$10,Paramètres!$A$1:$I$89,3,0)*0.475*44/12</f>
        <v>1.1002970961007659E-4</v>
      </c>
      <c r="AX57" s="21">
        <f t="shared" si="6"/>
        <v>28.063376660804764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304.99999999999983</v>
      </c>
      <c r="O58" s="13">
        <f>N58*VLOOKUP('Données projet'!$B$9,Paramètres!$A$1:$I$89,3,0)*VLOOKUP('Données projet'!$B$9,Paramètres!$A$1:$I$89,5,0)</f>
        <v>275.96399999999983</v>
      </c>
      <c r="P58" s="13">
        <f t="shared" si="33"/>
        <v>66.113366665488854</v>
      </c>
      <c r="Q58" s="20">
        <f t="shared" si="53"/>
        <v>595.78474694239264</v>
      </c>
      <c r="R58" s="59">
        <f t="shared" si="0"/>
        <v>854.10720242286402</v>
      </c>
      <c r="S58" s="59">
        <f ca="1">AVERAGE(OFFSET($R$3,0,0,'Données projet'!$E$9+1,1))-AVERAGE(OFFSET($H$3,0,0,'Données projet'!$E$9+1,1))</f>
        <v>376.51107072413777</v>
      </c>
      <c r="T58" s="59">
        <f t="shared" si="34"/>
        <v>532.90758914457615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0.98512560769294599</v>
      </c>
      <c r="AA58" s="21">
        <f>EXP(-LN(2)/25)*AA57+(1-EXP(-LN(2)/25))/(LN(2)/25)*Calculateur!V58*Calculateur!X58*VLOOKUP('Données projet'!$B$9,Paramètres!$A$1:$I$89,3,0)*0.475*44/12</f>
        <v>3.6915021771792209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4.6766277848721671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88.008749437127449</v>
      </c>
      <c r="AO58" s="59">
        <f t="shared" si="36"/>
        <v>258.40359226940507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23.65596919470067</v>
      </c>
      <c r="AV58" s="21">
        <f>EXP(-LN(2)/25)*AV57+(1-EXP(-LN(2)/25))/(LN(2)/25)*Calculateur!AQ58*Calculateur!AS58*VLOOKUP('Données projet'!$B$10,Paramètres!$A$1:$I$89,3,0)*0.475*44/12</f>
        <v>3.8265607154393844</v>
      </c>
      <c r="AW58" s="21">
        <f>EXP(-LN(2)/2)*AW57+(1-EXP(-LN(2)/2))/(LN(2)/2)*AQ58*AT58*VLOOKUP('Données projet'!$B$10,Paramètres!$A$1:$I$89,3,0)*0.475*44/12</f>
        <v>7.7802753797271792E-5</v>
      </c>
      <c r="AX58" s="21">
        <f t="shared" si="6"/>
        <v>27.482607712893852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304.99999999999983</v>
      </c>
      <c r="O59" s="13">
        <f>N59*VLOOKUP('Données projet'!$B$9,Paramètres!$A$1:$I$89,3,0)*VLOOKUP('Données projet'!$B$9,Paramètres!$A$1:$I$89,5,0)</f>
        <v>275.96399999999983</v>
      </c>
      <c r="P59" s="13">
        <f t="shared" si="33"/>
        <v>66.113366665488854</v>
      </c>
      <c r="Q59" s="20">
        <f t="shared" si="53"/>
        <v>595.78474694239264</v>
      </c>
      <c r="R59" s="59">
        <f t="shared" si="0"/>
        <v>854.71456288101444</v>
      </c>
      <c r="S59" s="59">
        <f ca="1">AVERAGE(OFFSET($R$3,0,0,'Données projet'!$E$9+1,1))-AVERAGE(OFFSET($H$3,0,0,'Données projet'!$E$9+1,1))</f>
        <v>376.51107072413777</v>
      </c>
      <c r="T59" s="59">
        <f t="shared" si="34"/>
        <v>532.90758914457615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0.9658078953933773</v>
      </c>
      <c r="AA59" s="21">
        <f>EXP(-LN(2)/25)*AA58+(1-EXP(-LN(2)/25))/(LN(2)/25)*Calculateur!V59*Calculateur!X59*VLOOKUP('Données projet'!$B$9,Paramètres!$A$1:$I$89,3,0)*0.475*44/12</f>
        <v>3.5905578560165927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4.5563657514099702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88.008749437127449</v>
      </c>
      <c r="AO59" s="59">
        <f t="shared" si="36"/>
        <v>258.40359226940507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23.192090067509081</v>
      </c>
      <c r="AV59" s="21">
        <f>EXP(-LN(2)/25)*AV58+(1-EXP(-LN(2)/25))/(LN(2)/25)*Calculateur!AQ59*Calculateur!AS59*VLOOKUP('Données projet'!$B$10,Paramètres!$A$1:$I$89,3,0)*0.475*44/12</f>
        <v>3.721923211445612</v>
      </c>
      <c r="AW59" s="21">
        <f>EXP(-LN(2)/2)*AW58+(1-EXP(-LN(2)/2))/(LN(2)/2)*AQ59*AT59*VLOOKUP('Données projet'!$B$10,Paramètres!$A$1:$I$89,3,0)*0.475*44/12</f>
        <v>5.5014854805038295E-5</v>
      </c>
      <c r="AX59" s="21">
        <f t="shared" si="6"/>
        <v>26.9140682938095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304.99999999999983</v>
      </c>
      <c r="O60" s="13">
        <f>N60*VLOOKUP('Données projet'!$B$9,Paramètres!$A$1:$I$89,3,0)*VLOOKUP('Données projet'!$B$9,Paramètres!$A$1:$I$89,5,0)</f>
        <v>275.96399999999983</v>
      </c>
      <c r="P60" s="13">
        <f t="shared" si="33"/>
        <v>66.113366665488854</v>
      </c>
      <c r="Q60" s="20">
        <f t="shared" si="53"/>
        <v>595.78474694239264</v>
      </c>
      <c r="R60" s="59">
        <f t="shared" si="0"/>
        <v>855.3113869930703</v>
      </c>
      <c r="S60" s="59">
        <f ca="1">AVERAGE(OFFSET($R$3,0,0,'Données projet'!$E$9+1,1))-AVERAGE(OFFSET($H$3,0,0,'Données projet'!$E$9+1,1))</f>
        <v>376.51107072413777</v>
      </c>
      <c r="T60" s="59">
        <f t="shared" si="34"/>
        <v>532.90758914457615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0.94686899164936211</v>
      </c>
      <c r="AA60" s="21">
        <f>EXP(-LN(2)/25)*AA59+(1-EXP(-LN(2)/25))/(LN(2)/25)*Calculateur!V60*Calculateur!X60*VLOOKUP('Données projet'!$B$9,Paramètres!$A$1:$I$89,3,0)*0.475*44/12</f>
        <v>3.4923738626245875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4.4392428542739495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88.008749437127449</v>
      </c>
      <c r="AO60" s="59">
        <f t="shared" si="36"/>
        <v>258.40359226940507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22.737307327063391</v>
      </c>
      <c r="AV60" s="21">
        <f>EXP(-LN(2)/25)*AV59+(1-EXP(-LN(2)/25))/(LN(2)/25)*Calculateur!AQ60*Calculateur!AS60*VLOOKUP('Données projet'!$B$10,Paramètres!$A$1:$I$89,3,0)*0.475*44/12</f>
        <v>3.6201470255011965</v>
      </c>
      <c r="AW60" s="21">
        <f>EXP(-LN(2)/2)*AW59+(1-EXP(-LN(2)/2))/(LN(2)/2)*AQ60*AT60*VLOOKUP('Données projet'!$B$10,Paramètres!$A$1:$I$89,3,0)*0.475*44/12</f>
        <v>3.8901376898635896E-5</v>
      </c>
      <c r="AX60" s="21">
        <f t="shared" si="6"/>
        <v>26.357493253941488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304.99999999999983</v>
      </c>
      <c r="O61" s="13">
        <f>N61*VLOOKUP('Données projet'!$B$9,Paramètres!$A$1:$I$89,3,0)*VLOOKUP('Données projet'!$B$9,Paramètres!$A$1:$I$89,5,0)</f>
        <v>275.96399999999983</v>
      </c>
      <c r="P61" s="13">
        <f t="shared" si="33"/>
        <v>66.113366665488854</v>
      </c>
      <c r="Q61" s="20">
        <f t="shared" si="53"/>
        <v>595.78474694239264</v>
      </c>
      <c r="R61" s="59">
        <f t="shared" si="0"/>
        <v>855.89785754108107</v>
      </c>
      <c r="S61" s="59">
        <f ca="1">AVERAGE(OFFSET($R$3,0,0,'Données projet'!$E$9+1,1))-AVERAGE(OFFSET($H$3,0,0,'Données projet'!$E$9+1,1))</f>
        <v>376.51107072413777</v>
      </c>
      <c r="T61" s="59">
        <f t="shared" si="34"/>
        <v>532.90758914457615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0.92830146825617632</v>
      </c>
      <c r="AA61" s="21">
        <f>EXP(-LN(2)/25)*AA60+(1-EXP(-LN(2)/25))/(LN(2)/25)*Calculateur!V61*Calculateur!X61*VLOOKUP('Données projet'!$B$9,Paramètres!$A$1:$I$89,3,0)*0.475*44/12</f>
        <v>3.3968747156951586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4.325176183951335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88.008749437127449</v>
      </c>
      <c r="AO61" s="59">
        <f t="shared" si="36"/>
        <v>258.40359226940507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22.291442598767759</v>
      </c>
      <c r="AV61" s="21">
        <f>EXP(-LN(2)/25)*AV60+(1-EXP(-LN(2)/25))/(LN(2)/25)*Calculateur!AQ61*Calculateur!AS61*VLOOKUP('Données projet'!$B$10,Paramètres!$A$1:$I$89,3,0)*0.475*44/12</f>
        <v>3.5211539147136079</v>
      </c>
      <c r="AW61" s="21">
        <f>EXP(-LN(2)/2)*AW60+(1-EXP(-LN(2)/2))/(LN(2)/2)*AQ61*AT61*VLOOKUP('Données projet'!$B$10,Paramètres!$A$1:$I$89,3,0)*0.475*44/12</f>
        <v>2.7507427402519148E-5</v>
      </c>
      <c r="AX61" s="21">
        <f t="shared" si="6"/>
        <v>25.812624020908768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304.99999999999983</v>
      </c>
      <c r="O62" s="13">
        <f>N62*VLOOKUP('Données projet'!$B$9,Paramètres!$A$1:$I$89,3,0)*VLOOKUP('Données projet'!$B$9,Paramètres!$A$1:$I$89,5,0)</f>
        <v>275.96399999999983</v>
      </c>
      <c r="P62" s="13">
        <f t="shared" si="33"/>
        <v>66.113366665488854</v>
      </c>
      <c r="Q62" s="20">
        <f t="shared" si="53"/>
        <v>595.78474694239264</v>
      </c>
      <c r="R62" s="59">
        <f t="shared" si="0"/>
        <v>856.47415413623548</v>
      </c>
      <c r="S62" s="59">
        <f ca="1">AVERAGE(OFFSET($R$3,0,0,'Données projet'!$E$9+1,1))-AVERAGE(OFFSET($H$3,0,0,'Données projet'!$E$9+1,1))</f>
        <v>376.51107072413777</v>
      </c>
      <c r="T62" s="59">
        <f t="shared" si="34"/>
        <v>532.90758914457615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0.91009804267165995</v>
      </c>
      <c r="AA62" s="21">
        <f>EXP(-LN(2)/25)*AA61+(1-EXP(-LN(2)/25))/(LN(2)/25)*Calculateur!V62*Calculateur!X62*VLOOKUP('Données projet'!$B$9,Paramètres!$A$1:$I$89,3,0)*0.475*44/12</f>
        <v>3.3039869979605969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4.2140850406322565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88.008749437127449</v>
      </c>
      <c r="AO62" s="59">
        <f t="shared" si="36"/>
        <v>258.40359226940507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21.854321005843371</v>
      </c>
      <c r="AV62" s="21">
        <f>EXP(-LN(2)/25)*AV61+(1-EXP(-LN(2)/25))/(LN(2)/25)*Calculateur!AQ62*Calculateur!AS62*VLOOKUP('Données projet'!$B$10,Paramètres!$A$1:$I$89,3,0)*0.475*44/12</f>
        <v>3.4248677757463275</v>
      </c>
      <c r="AW62" s="21">
        <f>EXP(-LN(2)/2)*AW61+(1-EXP(-LN(2)/2))/(LN(2)/2)*AQ62*AT62*VLOOKUP('Données projet'!$B$10,Paramètres!$A$1:$I$89,3,0)*0.475*44/12</f>
        <v>1.9450688449317948E-5</v>
      </c>
      <c r="AX62" s="21">
        <f t="shared" si="6"/>
        <v>25.279208232278148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304.99999999999983</v>
      </c>
      <c r="O63" s="13">
        <f>N63*VLOOKUP('Données projet'!$B$9,Paramètres!$A$1:$I$89,3,0)*VLOOKUP('Données projet'!$B$9,Paramètres!$A$1:$I$89,5,0)</f>
        <v>275.96399999999983</v>
      </c>
      <c r="P63" s="13">
        <f t="shared" si="33"/>
        <v>66.113366665488854</v>
      </c>
      <c r="Q63" s="20">
        <f t="shared" si="53"/>
        <v>595.78474694239264</v>
      </c>
      <c r="R63" s="59">
        <f t="shared" si="0"/>
        <v>857.04045327387007</v>
      </c>
      <c r="S63" s="59">
        <f ca="1">AVERAGE(OFFSET($R$3,0,0,'Données projet'!$E$9+1,1))-AVERAGE(OFFSET($H$3,0,0,'Données projet'!$E$9+1,1))</f>
        <v>376.51107072413777</v>
      </c>
      <c r="T63" s="59">
        <f t="shared" si="34"/>
        <v>532.90758914457615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0.89225157515986264</v>
      </c>
      <c r="AA63" s="21">
        <f>EXP(-LN(2)/25)*AA62+(1-EXP(-LN(2)/25))/(LN(2)/25)*Calculateur!V63*Calculateur!X63*VLOOKUP('Données projet'!$B$9,Paramètres!$A$1:$I$89,3,0)*0.475*44/12</f>
        <v>3.2136392997522396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4.1058908749121024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88.008749437127449</v>
      </c>
      <c r="AO63" s="59">
        <f t="shared" si="36"/>
        <v>258.40359226940507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21.425771100738384</v>
      </c>
      <c r="AV63" s="21">
        <f>EXP(-LN(2)/25)*AV62+(1-EXP(-LN(2)/25))/(LN(2)/25)*Calculateur!AQ63*Calculateur!AS63*VLOOKUP('Données projet'!$B$10,Paramètres!$A$1:$I$89,3,0)*0.475*44/12</f>
        <v>3.3312145863125755</v>
      </c>
      <c r="AW63" s="21">
        <f>EXP(-LN(2)/2)*AW62+(1-EXP(-LN(2)/2))/(LN(2)/2)*AQ63*AT63*VLOOKUP('Données projet'!$B$10,Paramètres!$A$1:$I$89,3,0)*0.475*44/12</f>
        <v>1.3753713701259574E-5</v>
      </c>
      <c r="AX63" s="21">
        <f t="shared" si="6"/>
        <v>24.756999440764663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304.99999999999983</v>
      </c>
      <c r="O64" s="13">
        <f>N64*VLOOKUP('Données projet'!$B$9,Paramètres!$A$1:$I$89,3,0)*VLOOKUP('Données projet'!$B$9,Paramètres!$A$1:$I$89,5,0)</f>
        <v>275.96399999999983</v>
      </c>
      <c r="P64" s="13">
        <f t="shared" si="33"/>
        <v>66.113366665488854</v>
      </c>
      <c r="Q64" s="20">
        <f t="shared" si="53"/>
        <v>595.78474694239264</v>
      </c>
      <c r="R64" s="59">
        <f t="shared" si="0"/>
        <v>857.59692838752198</v>
      </c>
      <c r="S64" s="59">
        <f ca="1">AVERAGE(OFFSET($R$3,0,0,'Données projet'!$E$9+1,1))-AVERAGE(OFFSET($H$3,0,0,'Données projet'!$E$9+1,1))</f>
        <v>376.51107072413777</v>
      </c>
      <c r="T64" s="59">
        <f t="shared" si="34"/>
        <v>532.90758914457615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0.8747550659907013</v>
      </c>
      <c r="AA64" s="21">
        <f>EXP(-LN(2)/25)*AA63+(1-EXP(-LN(2)/25))/(LN(2)/25)*Calculateur!V64*Calculateur!X64*VLOOKUP('Données projet'!$B$9,Paramètres!$A$1:$I$89,3,0)*0.475*44/12</f>
        <v>3.1257621641025688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4.0005172300932701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88.008749437127449</v>
      </c>
      <c r="AO64" s="59">
        <f t="shared" si="36"/>
        <v>258.40359226940507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21.005624797882877</v>
      </c>
      <c r="AV64" s="21">
        <f>EXP(-LN(2)/25)*AV63+(1-EXP(-LN(2)/25))/(LN(2)/25)*Calculateur!AQ64*Calculateur!AS64*VLOOKUP('Données projet'!$B$10,Paramètres!$A$1:$I$89,3,0)*0.475*44/12</f>
        <v>3.2401223482688968</v>
      </c>
      <c r="AW64" s="21">
        <f>EXP(-LN(2)/2)*AW63+(1-EXP(-LN(2)/2))/(LN(2)/2)*AQ64*AT64*VLOOKUP('Données projet'!$B$10,Paramètres!$A$1:$I$89,3,0)*0.475*44/12</f>
        <v>9.7253442246589741E-6</v>
      </c>
      <c r="AX64" s="21">
        <f t="shared" si="6"/>
        <v>24.245756871495999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304.99999999999983</v>
      </c>
      <c r="O65" s="13">
        <f>N65*VLOOKUP('Données projet'!$B$9,Paramètres!$A$1:$I$89,3,0)*VLOOKUP('Données projet'!$B$9,Paramètres!$A$1:$I$89,5,0)</f>
        <v>275.96399999999983</v>
      </c>
      <c r="P65" s="13">
        <f t="shared" si="33"/>
        <v>66.113366665488854</v>
      </c>
      <c r="Q65" s="20">
        <f t="shared" si="53"/>
        <v>595.78474694239264</v>
      </c>
      <c r="R65" s="59">
        <f t="shared" si="0"/>
        <v>858.14374990204396</v>
      </c>
      <c r="S65" s="59">
        <f ca="1">AVERAGE(OFFSET($R$3,0,0,'Données projet'!$E$9+1,1))-AVERAGE(OFFSET($H$3,0,0,'Données projet'!$E$9+1,1))</f>
        <v>376.51107072413777</v>
      </c>
      <c r="T65" s="59">
        <f t="shared" si="34"/>
        <v>532.90758914457615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0.85760165269453037</v>
      </c>
      <c r="AA65" s="21">
        <f>EXP(-LN(2)/25)*AA64+(1-EXP(-LN(2)/25))/(LN(2)/25)*Calculateur!V65*Calculateur!X65*VLOOKUP('Données projet'!$B$9,Paramètres!$A$1:$I$89,3,0)*0.475*44/12</f>
        <v>3.0402880333484958</v>
      </c>
      <c r="AB65" s="21">
        <f>EXP(-LN(2)/2)*AB64+(1-EXP(-LN(2)/2))/(LN(2)/2)*V65*Y65*VLOOKUP('Données projet'!$B$9,Paramètres!$A$1:$I$89,3,0)*0.475*44/12</f>
        <v>0</v>
      </c>
      <c r="AC65" s="22">
        <f t="shared" si="3"/>
        <v>3.8978896860430261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88.008749437127449</v>
      </c>
      <c r="AO65" s="59">
        <f t="shared" si="36"/>
        <v>258.40359226940507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20.593717307762425</v>
      </c>
      <c r="AV65" s="21">
        <f>EXP(-LN(2)/25)*AV64+(1-EXP(-LN(2)/25))/(LN(2)/25)*Calculateur!AQ65*Calculateur!AS65*VLOOKUP('Données projet'!$B$10,Paramètres!$A$1:$I$89,3,0)*0.475*44/12</f>
        <v>3.151521032264855</v>
      </c>
      <c r="AW65" s="21">
        <f>EXP(-LN(2)/2)*AW64+(1-EXP(-LN(2)/2))/(LN(2)/2)*AQ65*AT65*VLOOKUP('Données projet'!$B$10,Paramètres!$A$1:$I$89,3,0)*0.475*44/12</f>
        <v>6.8768568506297869E-6</v>
      </c>
      <c r="AX65" s="21">
        <f t="shared" si="6"/>
        <v>23.745245216884133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304.99999999999983</v>
      </c>
      <c r="O66" s="13">
        <f>N66*VLOOKUP('Données projet'!$B$9,Paramètres!$A$1:$I$89,3,0)*VLOOKUP('Données projet'!$B$9,Paramètres!$A$1:$I$89,5,0)</f>
        <v>275.96399999999983</v>
      </c>
      <c r="P66" s="13">
        <f t="shared" si="33"/>
        <v>66.113366665488854</v>
      </c>
      <c r="Q66" s="20">
        <f t="shared" si="53"/>
        <v>595.78474694239264</v>
      </c>
      <c r="R66" s="59">
        <f t="shared" si="0"/>
        <v>858.68108528579876</v>
      </c>
      <c r="S66" s="59">
        <f ca="1">AVERAGE(OFFSET($R$3,0,0,'Données projet'!$E$9+1,1))-AVERAGE(OFFSET($H$3,0,0,'Données projet'!$E$9+1,1))</f>
        <v>376.51107072413777</v>
      </c>
      <c r="T66" s="59">
        <f t="shared" si="34"/>
        <v>532.90758914457615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0.84078460737054839</v>
      </c>
      <c r="AA66" s="21">
        <f>EXP(-LN(2)/25)*AA65+(1-EXP(-LN(2)/25))/(LN(2)/25)*Calculateur!V66*Calculateur!X66*VLOOKUP('Données projet'!$B$9,Paramètres!$A$1:$I$89,3,0)*0.475*44/12</f>
        <v>2.9571511971947824</v>
      </c>
      <c r="AB66" s="21">
        <f>EXP(-LN(2)/2)*AB65+(1-EXP(-LN(2)/2))/(LN(2)/2)*V66*Y66*VLOOKUP('Données projet'!$B$9,Paramètres!$A$1:$I$89,3,0)*0.475*44/12</f>
        <v>0</v>
      </c>
      <c r="AC66" s="22">
        <f t="shared" si="3"/>
        <v>3.7979358045653306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88.008749437127449</v>
      </c>
      <c r="AO66" s="59">
        <f t="shared" si="36"/>
        <v>258.40359226940507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20.189887072284474</v>
      </c>
      <c r="AV66" s="21">
        <f>EXP(-LN(2)/25)*AV65+(1-EXP(-LN(2)/25))/(LN(2)/25)*Calculateur!AQ66*Calculateur!AS66*VLOOKUP('Données projet'!$B$10,Paramètres!$A$1:$I$89,3,0)*0.475*44/12</f>
        <v>3.0653425239062844</v>
      </c>
      <c r="AW66" s="21">
        <f>EXP(-LN(2)/2)*AW65+(1-EXP(-LN(2)/2))/(LN(2)/2)*AQ66*AT66*VLOOKUP('Données projet'!$B$10,Paramètres!$A$1:$I$89,3,0)*0.475*44/12</f>
        <v>4.862672112329487E-6</v>
      </c>
      <c r="AX66" s="21">
        <f t="shared" si="6"/>
        <v>23.255234458862873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304.99999999999983</v>
      </c>
      <c r="O67" s="13">
        <f>N67*VLOOKUP('Données projet'!$B$9,Paramètres!$A$1:$I$89,3,0)*VLOOKUP('Données projet'!$B$9,Paramètres!$A$1:$I$89,5,0)</f>
        <v>275.96399999999983</v>
      </c>
      <c r="P67" s="13">
        <f t="shared" si="33"/>
        <v>66.113366665488854</v>
      </c>
      <c r="Q67" s="20">
        <f t="shared" ref="Q67:Q98" si="54">(O67+P67)*0.475*44/12</f>
        <v>595.78474694239264</v>
      </c>
      <c r="R67" s="59">
        <f t="shared" ref="R67:R130" si="55">Q67+(I67+J67)*44/12</f>
        <v>859.20909910194746</v>
      </c>
      <c r="S67" s="59">
        <f ca="1">AVERAGE(OFFSET($R$3,0,0,'Données projet'!$E$9+1,1))-AVERAGE(OFFSET($H$3,0,0,'Données projet'!$E$9+1,1))</f>
        <v>376.51107072413777</v>
      </c>
      <c r="T67" s="59">
        <f t="shared" si="34"/>
        <v>532.90758914457615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0.82429733404798489</v>
      </c>
      <c r="AA67" s="21">
        <f>EXP(-LN(2)/25)*AA66+(1-EXP(-LN(2)/25))/(LN(2)/25)*Calculateur!V67*Calculateur!X67*VLOOKUP('Données projet'!$B$9,Paramètres!$A$1:$I$89,3,0)*0.475*44/12</f>
        <v>2.8762877421976683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3.7005850762456531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88.008749437127449</v>
      </c>
      <c r="AO67" s="59">
        <f t="shared" si="36"/>
        <v>258.40359226940507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19.793975701412123</v>
      </c>
      <c r="AV67" s="21">
        <f>EXP(-LN(2)/25)*AV66+(1-EXP(-LN(2)/25))/(LN(2)/25)*Calculateur!AQ67*Calculateur!AS67*VLOOKUP('Données projet'!$B$10,Paramètres!$A$1:$I$89,3,0)*0.475*44/12</f>
        <v>2.9815205713907096</v>
      </c>
      <c r="AW67" s="21">
        <f>EXP(-LN(2)/2)*AW66+(1-EXP(-LN(2)/2))/(LN(2)/2)*AQ67*AT67*VLOOKUP('Données projet'!$B$10,Paramètres!$A$1:$I$89,3,0)*0.475*44/12</f>
        <v>3.4384284253148935E-6</v>
      </c>
      <c r="AX67" s="21">
        <f t="shared" si="6"/>
        <v>22.775499711231259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304.99999999999983</v>
      </c>
      <c r="O68" s="13">
        <f>N68*VLOOKUP('Données projet'!$B$9,Paramètres!$A$1:$I$89,3,0)*VLOOKUP('Données projet'!$B$9,Paramètres!$A$1:$I$89,5,0)</f>
        <v>275.96399999999983</v>
      </c>
      <c r="P68" s="13">
        <f t="shared" si="33"/>
        <v>66.113366665488854</v>
      </c>
      <c r="Q68" s="20">
        <f t="shared" si="54"/>
        <v>595.78474694239264</v>
      </c>
      <c r="R68" s="59">
        <f t="shared" si="55"/>
        <v>859.72795305884779</v>
      </c>
      <c r="S68" s="59">
        <f ca="1">AVERAGE(OFFSET($R$3,0,0,'Données projet'!$E$9+1,1))-AVERAGE(OFFSET($H$3,0,0,'Données projet'!$E$9+1,1))</f>
        <v>376.51107072413777</v>
      </c>
      <c r="T68" s="59">
        <f t="shared" si="34"/>
        <v>532.90758914457615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0.80813336609903308</v>
      </c>
      <c r="AA68" s="21">
        <f>EXP(-LN(2)/25)*AA67+(1-EXP(-LN(2)/25))/(LN(2)/25)*Calculateur!V68*Calculateur!X68*VLOOKUP('Données projet'!$B$9,Paramètres!$A$1:$I$89,3,0)*0.475*44/12</f>
        <v>2.7976355026298747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3.6057688687289078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88.008749437127449</v>
      </c>
      <c r="AO68" s="59">
        <f t="shared" si="36"/>
        <v>258.40359226940507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19.405827911040486</v>
      </c>
      <c r="AV68" s="21">
        <f>EXP(-LN(2)/25)*AV67+(1-EXP(-LN(2)/25))/(LN(2)/25)*Calculateur!AQ68*Calculateur!AS68*VLOOKUP('Données projet'!$B$10,Paramètres!$A$1:$I$89,3,0)*0.475*44/12</f>
        <v>2.8999907345746783</v>
      </c>
      <c r="AW68" s="21">
        <f>EXP(-LN(2)/2)*AW67+(1-EXP(-LN(2)/2))/(LN(2)/2)*AQ68*AT68*VLOOKUP('Données projet'!$B$10,Paramètres!$A$1:$I$89,3,0)*0.475*44/12</f>
        <v>2.4313360561647435E-6</v>
      </c>
      <c r="AX68" s="21">
        <f t="shared" ref="AX68:AX131" si="60">SUM(AU68:AW68)</f>
        <v>22.305821076951222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304.99999999999983</v>
      </c>
      <c r="O69" s="13">
        <f>N69*VLOOKUP('Données projet'!$B$9,Paramètres!$A$1:$I$89,3,0)*VLOOKUP('Données projet'!$B$9,Paramètres!$A$1:$I$89,5,0)</f>
        <v>275.96399999999983</v>
      </c>
      <c r="P69" s="13">
        <f t="shared" ref="P69:P132" si="87">EXP(-1.0587+0.8836*LN(O69)+0.284)</f>
        <v>66.113366665488854</v>
      </c>
      <c r="Q69" s="20">
        <f t="shared" si="54"/>
        <v>595.78474694239264</v>
      </c>
      <c r="R69" s="59">
        <f t="shared" si="55"/>
        <v>860.23780605957973</v>
      </c>
      <c r="S69" s="59">
        <f ca="1">AVERAGE(OFFSET($R$3,0,0,'Données projet'!$E$9+1,1))-AVERAGE(OFFSET($H$3,0,0,'Données projet'!$E$9+1,1))</f>
        <v>376.51107072413777</v>
      </c>
      <c r="T69" s="59">
        <f t="shared" ref="T69:T132" si="88">$T$3</f>
        <v>532.90758914457615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0.79228636370251326</v>
      </c>
      <c r="AA69" s="21">
        <f>EXP(-LN(2)/25)*AA68+(1-EXP(-LN(2)/25))/(LN(2)/25)*Calculateur!V69*Calculateur!X69*VLOOKUP('Données projet'!$B$9,Paramètres!$A$1:$I$89,3,0)*0.475*44/12</f>
        <v>2.7211340126892036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3.5134203763917169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88.008749437127449</v>
      </c>
      <c r="AO69" s="59">
        <f t="shared" ref="AO69:AO132" si="90">$AO$3</f>
        <v>258.40359226940507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19.025291462091261</v>
      </c>
      <c r="AV69" s="21">
        <f>EXP(-LN(2)/25)*AV68+(1-EXP(-LN(2)/25))/(LN(2)/25)*Calculateur!AQ69*Calculateur!AS69*VLOOKUP('Données projet'!$B$10,Paramètres!$A$1:$I$89,3,0)*0.475*44/12</f>
        <v>2.8206903354338491</v>
      </c>
      <c r="AW69" s="21">
        <f>EXP(-LN(2)/2)*AW68+(1-EXP(-LN(2)/2))/(LN(2)/2)*AQ69*AT69*VLOOKUP('Données projet'!$B$10,Paramètres!$A$1:$I$89,3,0)*0.475*44/12</f>
        <v>1.7192142126574467E-6</v>
      </c>
      <c r="AX69" s="21">
        <f t="shared" si="60"/>
        <v>21.84598351673932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304.99999999999983</v>
      </c>
      <c r="O70" s="13">
        <f>N70*VLOOKUP('Données projet'!$B$9,Paramètres!$A$1:$I$89,3,0)*VLOOKUP('Données projet'!$B$9,Paramètres!$A$1:$I$89,5,0)</f>
        <v>275.96399999999983</v>
      </c>
      <c r="P70" s="13">
        <f t="shared" si="87"/>
        <v>66.113366665488854</v>
      </c>
      <c r="Q70" s="20">
        <f t="shared" si="54"/>
        <v>595.78474694239264</v>
      </c>
      <c r="R70" s="59">
        <f t="shared" si="55"/>
        <v>860.73881425060949</v>
      </c>
      <c r="S70" s="59">
        <f ca="1">AVERAGE(OFFSET($R$3,0,0,'Données projet'!$E$9+1,1))-AVERAGE(OFFSET($H$3,0,0,'Données projet'!$E$9+1,1))</f>
        <v>376.51107072413777</v>
      </c>
      <c r="T70" s="59">
        <f t="shared" si="88"/>
        <v>532.90758914457615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0.77675011135727212</v>
      </c>
      <c r="AA70" s="21">
        <f>EXP(-LN(2)/25)*AA69+(1-EXP(-LN(2)/25))/(LN(2)/25)*Calculateur!V70*Calculateur!X70*VLOOKUP('Données projet'!$B$9,Paramètres!$A$1:$I$89,3,0)*0.475*44/12</f>
        <v>2.6467244600139987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3.4234745713712709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88.008749437127449</v>
      </c>
      <c r="AO70" s="59">
        <f t="shared" si="90"/>
        <v>258.40359226940507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18.652217100801614</v>
      </c>
      <c r="AV70" s="21">
        <f>EXP(-LN(2)/25)*AV69+(1-EXP(-LN(2)/25))/(LN(2)/25)*Calculateur!AQ70*Calculateur!AS70*VLOOKUP('Données projet'!$B$10,Paramètres!$A$1:$I$89,3,0)*0.475*44/12</f>
        <v>2.7435584098777523</v>
      </c>
      <c r="AW70" s="21">
        <f>EXP(-LN(2)/2)*AW69+(1-EXP(-LN(2)/2))/(LN(2)/2)*AQ70*AT70*VLOOKUP('Données projet'!$B$10,Paramètres!$A$1:$I$89,3,0)*0.475*44/12</f>
        <v>1.2156680280823718E-6</v>
      </c>
      <c r="AX70" s="21">
        <f t="shared" si="60"/>
        <v>21.395776726347396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304.99999999999983</v>
      </c>
      <c r="O71" s="13">
        <f>N71*VLOOKUP('Données projet'!$B$9,Paramètres!$A$1:$I$89,3,0)*VLOOKUP('Données projet'!$B$9,Paramètres!$A$1:$I$89,5,0)</f>
        <v>275.96399999999983</v>
      </c>
      <c r="P71" s="13">
        <f t="shared" si="87"/>
        <v>66.113366665488854</v>
      </c>
      <c r="Q71" s="20">
        <f t="shared" si="54"/>
        <v>595.78474694239264</v>
      </c>
      <c r="R71" s="59">
        <f t="shared" si="55"/>
        <v>861.23113106961148</v>
      </c>
      <c r="S71" s="59">
        <f ca="1">AVERAGE(OFFSET($R$3,0,0,'Données projet'!$E$9+1,1))-AVERAGE(OFFSET($H$3,0,0,'Données projet'!$E$9+1,1))</f>
        <v>376.51107072413777</v>
      </c>
      <c r="T71" s="59">
        <f t="shared" si="88"/>
        <v>532.90758914457615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0.76151851544434301</v>
      </c>
      <c r="AA71" s="21">
        <f>EXP(-LN(2)/25)*AA70+(1-EXP(-LN(2)/25))/(LN(2)/25)*Calculateur!V71*Calculateur!X71*VLOOKUP('Données projet'!$B$9,Paramètres!$A$1:$I$89,3,0)*0.475*44/12</f>
        <v>2.5743496404697259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3.3358681559140688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88.008749437127449</v>
      </c>
      <c r="AO71" s="59">
        <f t="shared" si="90"/>
        <v>258.40359226940507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18.286458500183969</v>
      </c>
      <c r="AV71" s="21">
        <f>EXP(-LN(2)/25)*AV70+(1-EXP(-LN(2)/25))/(LN(2)/25)*Calculateur!AQ71*Calculateur!AS71*VLOOKUP('Données projet'!$B$10,Paramètres!$A$1:$I$89,3,0)*0.475*44/12</f>
        <v>2.6685356608821791</v>
      </c>
      <c r="AW71" s="21">
        <f>EXP(-LN(2)/2)*AW70+(1-EXP(-LN(2)/2))/(LN(2)/2)*AQ71*AT71*VLOOKUP('Données projet'!$B$10,Paramètres!$A$1:$I$89,3,0)*0.475*44/12</f>
        <v>8.5960710632872337E-7</v>
      </c>
      <c r="AX71" s="21">
        <f t="shared" si="60"/>
        <v>20.954995020673252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304.99999999999983</v>
      </c>
      <c r="O72" s="13">
        <f>N72*VLOOKUP('Données projet'!$B$9,Paramètres!$A$1:$I$89,3,0)*VLOOKUP('Données projet'!$B$9,Paramètres!$A$1:$I$89,5,0)</f>
        <v>275.96399999999983</v>
      </c>
      <c r="P72" s="13">
        <f t="shared" si="87"/>
        <v>66.113366665488854</v>
      </c>
      <c r="Q72" s="20">
        <f t="shared" si="54"/>
        <v>595.78474694239264</v>
      </c>
      <c r="R72" s="59">
        <f t="shared" si="55"/>
        <v>861.7149072924592</v>
      </c>
      <c r="S72" s="59">
        <f ca="1">AVERAGE(OFFSET($R$3,0,0,'Données projet'!$E$9+1,1))-AVERAGE(OFFSET($H$3,0,0,'Données projet'!$E$9+1,1))</f>
        <v>376.51107072413777</v>
      </c>
      <c r="T72" s="59">
        <f t="shared" si="88"/>
        <v>532.90758914457615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0.74658560183691025</v>
      </c>
      <c r="AA72" s="21">
        <f>EXP(-LN(2)/25)*AA71+(1-EXP(-LN(2)/25))/(LN(2)/25)*Calculateur!V72*Calculateur!X72*VLOOKUP('Données projet'!$B$9,Paramètres!$A$1:$I$89,3,0)*0.475*44/12</f>
        <v>2.5039539141719174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3.2505395160088275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88.008749437127449</v>
      </c>
      <c r="AO72" s="59">
        <f t="shared" si="90"/>
        <v>258.40359226940507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17.927872202633715</v>
      </c>
      <c r="AV72" s="21">
        <f>EXP(-LN(2)/25)*AV71+(1-EXP(-LN(2)/25))/(LN(2)/25)*Calculateur!AQ72*Calculateur!AS72*VLOOKUP('Données projet'!$B$10,Paramètres!$A$1:$I$89,3,0)*0.475*44/12</f>
        <v>2.5955644129031645</v>
      </c>
      <c r="AW72" s="21">
        <f>EXP(-LN(2)/2)*AW71+(1-EXP(-LN(2)/2))/(LN(2)/2)*AQ72*AT72*VLOOKUP('Données projet'!$B$10,Paramètres!$A$1:$I$89,3,0)*0.475*44/12</f>
        <v>6.0783401404118588E-7</v>
      </c>
      <c r="AX72" s="21">
        <f t="shared" si="60"/>
        <v>20.523437223370895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304.99999999999983</v>
      </c>
      <c r="O73" s="13">
        <f>N73*VLOOKUP('Données projet'!$B$9,Paramètres!$A$1:$I$89,3,0)*VLOOKUP('Données projet'!$B$9,Paramètres!$A$1:$I$89,5,0)</f>
        <v>275.96399999999983</v>
      </c>
      <c r="P73" s="13">
        <f t="shared" si="87"/>
        <v>66.113366665488854</v>
      </c>
      <c r="Q73" s="20">
        <f t="shared" si="54"/>
        <v>595.78474694239264</v>
      </c>
      <c r="R73" s="59">
        <f t="shared" si="55"/>
        <v>862.19029107940219</v>
      </c>
      <c r="S73" s="59">
        <f ca="1">AVERAGE(OFFSET($R$3,0,0,'Données projet'!$E$9+1,1))-AVERAGE(OFFSET($H$3,0,0,'Données projet'!$E$9+1,1))</f>
        <v>376.51107072413777</v>
      </c>
      <c r="T73" s="59">
        <f t="shared" si="88"/>
        <v>532.90758914457615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0.73194551355714133</v>
      </c>
      <c r="AA73" s="21">
        <f>EXP(-LN(2)/25)*AA72+(1-EXP(-LN(2)/25))/(LN(2)/25)*Calculateur!V73*Calculateur!X73*VLOOKUP('Données projet'!$B$9,Paramètres!$A$1:$I$89,3,0)*0.475*44/12</f>
        <v>2.4354831627116726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3.167428676268814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88.008749437127449</v>
      </c>
      <c r="AO73" s="59">
        <f t="shared" si="90"/>
        <v>258.40359226940507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17.576317563662379</v>
      </c>
      <c r="AV73" s="21">
        <f>EXP(-LN(2)/25)*AV72+(1-EXP(-LN(2)/25))/(LN(2)/25)*Calculateur!AQ73*Calculateur!AS73*VLOOKUP('Données projet'!$B$10,Paramètres!$A$1:$I$89,3,0)*0.475*44/12</f>
        <v>2.5245885675375273</v>
      </c>
      <c r="AW73" s="21">
        <f>EXP(-LN(2)/2)*AW72+(1-EXP(-LN(2)/2))/(LN(2)/2)*AQ73*AT73*VLOOKUP('Données projet'!$B$10,Paramètres!$A$1:$I$89,3,0)*0.475*44/12</f>
        <v>4.2980355316436168E-7</v>
      </c>
      <c r="AX73" s="21">
        <f t="shared" si="60"/>
        <v>20.100906561003459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304.99999999999983</v>
      </c>
      <c r="O74" s="13">
        <f>N74*VLOOKUP('Données projet'!$B$9,Paramètres!$A$1:$I$89,3,0)*VLOOKUP('Données projet'!$B$9,Paramètres!$A$1:$I$89,5,0)</f>
        <v>275.96399999999983</v>
      </c>
      <c r="P74" s="13">
        <f t="shared" si="87"/>
        <v>66.113366665488854</v>
      </c>
      <c r="Q74" s="20">
        <f t="shared" si="54"/>
        <v>595.78474694239264</v>
      </c>
      <c r="R74" s="59">
        <f t="shared" si="55"/>
        <v>862.65742802044065</v>
      </c>
      <c r="S74" s="59">
        <f ca="1">AVERAGE(OFFSET($R$3,0,0,'Données projet'!$E$9+1,1))-AVERAGE(OFFSET($H$3,0,0,'Données projet'!$E$9+1,1))</f>
        <v>376.51107072413777</v>
      </c>
      <c r="T74" s="59">
        <f t="shared" si="88"/>
        <v>532.90758914457615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0.7175925084789665</v>
      </c>
      <c r="AA74" s="21">
        <f>EXP(-LN(2)/25)*AA73+(1-EXP(-LN(2)/25))/(LN(2)/25)*Calculateur!V74*Calculateur!X74*VLOOKUP('Données projet'!$B$9,Paramètres!$A$1:$I$89,3,0)*0.475*44/12</f>
        <v>2.3688847475508288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3.0864772560297951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88.008749437127449</v>
      </c>
      <c r="AO74" s="59">
        <f t="shared" si="90"/>
        <v>258.40359226940507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17.231656696734113</v>
      </c>
      <c r="AV74" s="21">
        <f>EXP(-LN(2)/25)*AV73+(1-EXP(-LN(2)/25))/(LN(2)/25)*Calculateur!AQ74*Calculateur!AS74*VLOOKUP('Données projet'!$B$10,Paramètres!$A$1:$I$89,3,0)*0.475*44/12</f>
        <v>2.4555535603958707</v>
      </c>
      <c r="AW74" s="21">
        <f>EXP(-LN(2)/2)*AW73+(1-EXP(-LN(2)/2))/(LN(2)/2)*AQ74*AT74*VLOOKUP('Données projet'!$B$10,Paramètres!$A$1:$I$89,3,0)*0.475*44/12</f>
        <v>3.0391700702059294E-7</v>
      </c>
      <c r="AX74" s="21">
        <f t="shared" si="60"/>
        <v>19.687210561046989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304.99999999999983</v>
      </c>
      <c r="O75" s="13">
        <f>N75*VLOOKUP('Données projet'!$B$9,Paramètres!$A$1:$I$89,3,0)*VLOOKUP('Données projet'!$B$9,Paramètres!$A$1:$I$89,5,0)</f>
        <v>275.96399999999983</v>
      </c>
      <c r="P75" s="13">
        <f t="shared" si="87"/>
        <v>66.113366665488854</v>
      </c>
      <c r="Q75" s="20">
        <f t="shared" si="54"/>
        <v>595.78474694239264</v>
      </c>
      <c r="R75" s="59">
        <f t="shared" si="55"/>
        <v>863.11646117991381</v>
      </c>
      <c r="S75" s="59">
        <f ca="1">AVERAGE(OFFSET($R$3,0,0,'Données projet'!$E$9+1,1))-AVERAGE(OFFSET($H$3,0,0,'Données projet'!$E$9+1,1))</f>
        <v>376.51107072413777</v>
      </c>
      <c r="T75" s="59">
        <f t="shared" si="88"/>
        <v>532.90758914457615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0.70352095707590601</v>
      </c>
      <c r="AA75" s="21">
        <f>EXP(-LN(2)/25)*AA74+(1-EXP(-LN(2)/25))/(LN(2)/25)*Calculateur!V75*Calculateur!X75*VLOOKUP('Données projet'!$B$9,Paramètres!$A$1:$I$89,3,0)*0.475*44/12</f>
        <v>2.3041074695548165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3.0076284266307223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88.008749437127449</v>
      </c>
      <c r="AO75" s="59">
        <f t="shared" si="90"/>
        <v>258.40359226940507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16.893754419183939</v>
      </c>
      <c r="AV75" s="21">
        <f>EXP(-LN(2)/25)*AV74+(1-EXP(-LN(2)/25))/(LN(2)/25)*Calculateur!AQ75*Calculateur!AS75*VLOOKUP('Données projet'!$B$10,Paramètres!$A$1:$I$89,3,0)*0.475*44/12</f>
        <v>2.3884063191548961</v>
      </c>
      <c r="AW75" s="21">
        <f>EXP(-LN(2)/2)*AW74+(1-EXP(-LN(2)/2))/(LN(2)/2)*AQ75*AT75*VLOOKUP('Données projet'!$B$10,Paramètres!$A$1:$I$89,3,0)*0.475*44/12</f>
        <v>2.1490177658218084E-7</v>
      </c>
      <c r="AX75" s="21">
        <f t="shared" si="60"/>
        <v>19.282160953240613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304.99999999999983</v>
      </c>
      <c r="O76" s="13">
        <f>N76*VLOOKUP('Données projet'!$B$9,Paramètres!$A$1:$I$89,3,0)*VLOOKUP('Données projet'!$B$9,Paramètres!$A$1:$I$89,5,0)</f>
        <v>275.96399999999983</v>
      </c>
      <c r="P76" s="13">
        <f t="shared" si="87"/>
        <v>66.113366665488854</v>
      </c>
      <c r="Q76" s="20">
        <f t="shared" si="54"/>
        <v>595.78474694239264</v>
      </c>
      <c r="R76" s="59">
        <f t="shared" si="55"/>
        <v>863.56753114031449</v>
      </c>
      <c r="S76" s="59">
        <f ca="1">AVERAGE(OFFSET($R$3,0,0,'Données projet'!$E$9+1,1))-AVERAGE(OFFSET($H$3,0,0,'Données projet'!$E$9+1,1))</f>
        <v>376.51107072413777</v>
      </c>
      <c r="T76" s="59">
        <f t="shared" si="88"/>
        <v>532.90758914457615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0.68972534021306064</v>
      </c>
      <c r="AA76" s="21">
        <f>EXP(-LN(2)/25)*AA75+(1-EXP(-LN(2)/25))/(LN(2)/25)*Calculateur!V76*Calculateur!X76*VLOOKUP('Données projet'!$B$9,Paramètres!$A$1:$I$89,3,0)*0.475*44/12</f>
        <v>2.2411015296320942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2.9308268698451547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88.008749437127449</v>
      </c>
      <c r="AO76" s="59">
        <f t="shared" si="90"/>
        <v>258.40359226940507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16.562478199196484</v>
      </c>
      <c r="AV76" s="21">
        <f>EXP(-LN(2)/25)*AV75+(1-EXP(-LN(2)/25))/(LN(2)/25)*Calculateur!AQ76*Calculateur!AS76*VLOOKUP('Données projet'!$B$10,Paramètres!$A$1:$I$89,3,0)*0.475*44/12</f>
        <v>2.323095222756776</v>
      </c>
      <c r="AW76" s="21">
        <f>EXP(-LN(2)/2)*AW75+(1-EXP(-LN(2)/2))/(LN(2)/2)*AQ76*AT76*VLOOKUP('Données projet'!$B$10,Paramètres!$A$1:$I$89,3,0)*0.475*44/12</f>
        <v>1.5195850351029647E-7</v>
      </c>
      <c r="AX76" s="21">
        <f t="shared" si="60"/>
        <v>18.885573573911763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304.99999999999983</v>
      </c>
      <c r="O77" s="13">
        <f>N77*VLOOKUP('Données projet'!$B$9,Paramètres!$A$1:$I$89,3,0)*VLOOKUP('Données projet'!$B$9,Paramètres!$A$1:$I$89,5,0)</f>
        <v>275.96399999999983</v>
      </c>
      <c r="P77" s="13">
        <f t="shared" si="87"/>
        <v>66.113366665488854</v>
      </c>
      <c r="Q77" s="20">
        <f t="shared" si="54"/>
        <v>595.78474694239264</v>
      </c>
      <c r="R77" s="59">
        <f t="shared" si="55"/>
        <v>864.0107760453435</v>
      </c>
      <c r="S77" s="59">
        <f ca="1">AVERAGE(OFFSET($R$3,0,0,'Données projet'!$E$9+1,1))-AVERAGE(OFFSET($H$3,0,0,'Données projet'!$E$9+1,1))</f>
        <v>376.51107072413777</v>
      </c>
      <c r="T77" s="59">
        <f t="shared" si="88"/>
        <v>532.90758914457615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0.67620024698240033</v>
      </c>
      <c r="AA77" s="21">
        <f>EXP(-LN(2)/25)*AA76+(1-EXP(-LN(2)/25))/(LN(2)/25)*Calculateur!V77*Calculateur!X77*VLOOKUP('Données projet'!$B$9,Paramètres!$A$1:$I$89,3,0)*0.475*44/12</f>
        <v>2.1798184904498972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2.8560187374322976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88.008749437127449</v>
      </c>
      <c r="AO77" s="59">
        <f t="shared" si="90"/>
        <v>258.40359226940507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16.237698103824442</v>
      </c>
      <c r="AV77" s="21">
        <f>EXP(-LN(2)/25)*AV76+(1-EXP(-LN(2)/25))/(LN(2)/25)*Calculateur!AQ77*Calculateur!AS77*VLOOKUP('Données projet'!$B$10,Paramètres!$A$1:$I$89,3,0)*0.475*44/12</f>
        <v>2.2595700617242236</v>
      </c>
      <c r="AW77" s="21">
        <f>EXP(-LN(2)/2)*AW76+(1-EXP(-LN(2)/2))/(LN(2)/2)*AQ77*AT77*VLOOKUP('Données projet'!$B$10,Paramètres!$A$1:$I$89,3,0)*0.475*44/12</f>
        <v>1.0745088829109042E-7</v>
      </c>
      <c r="AX77" s="21">
        <f t="shared" si="60"/>
        <v>18.497268272999552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304.99999999999983</v>
      </c>
      <c r="O78" s="13">
        <f>N78*VLOOKUP('Données projet'!$B$9,Paramètres!$A$1:$I$89,3,0)*VLOOKUP('Données projet'!$B$9,Paramètres!$A$1:$I$89,5,0)</f>
        <v>275.96399999999983</v>
      </c>
      <c r="P78" s="13">
        <f t="shared" si="87"/>
        <v>66.113366665488854</v>
      </c>
      <c r="Q78" s="20">
        <f t="shared" si="54"/>
        <v>595.78474694239264</v>
      </c>
      <c r="R78" s="59">
        <f t="shared" si="55"/>
        <v>864.4463316422175</v>
      </c>
      <c r="S78" s="59">
        <f ca="1">AVERAGE(OFFSET($R$3,0,0,'Données projet'!$E$9+1,1))-AVERAGE(OFFSET($H$3,0,0,'Données projet'!$E$9+1,1))</f>
        <v>376.51107072413777</v>
      </c>
      <c r="T78" s="59">
        <f t="shared" si="88"/>
        <v>532.90758914457615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0.66294037258050087</v>
      </c>
      <c r="AA78" s="21">
        <f>EXP(-LN(2)/25)*AA77+(1-EXP(-LN(2)/25))/(LN(2)/25)*Calculateur!V78*Calculateur!X78*VLOOKUP('Données projet'!$B$9,Paramètres!$A$1:$I$89,3,0)*0.475*44/12</f>
        <v>2.1202112391968724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2.7831516117773734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88.008749437127449</v>
      </c>
      <c r="AO78" s="59">
        <f t="shared" si="90"/>
        <v>258.40359226940507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15.919286748026348</v>
      </c>
      <c r="AV78" s="21">
        <f>EXP(-LN(2)/25)*AV77+(1-EXP(-LN(2)/25))/(LN(2)/25)*Calculateur!AQ78*Calculateur!AS78*VLOOKUP('Données projet'!$B$10,Paramètres!$A$1:$I$89,3,0)*0.475*44/12</f>
        <v>2.1977819995607493</v>
      </c>
      <c r="AW78" s="21">
        <f>EXP(-LN(2)/2)*AW77+(1-EXP(-LN(2)/2))/(LN(2)/2)*AQ78*AT78*VLOOKUP('Données projet'!$B$10,Paramètres!$A$1:$I$89,3,0)*0.475*44/12</f>
        <v>7.5979251755148235E-8</v>
      </c>
      <c r="AX78" s="21">
        <f t="shared" si="60"/>
        <v>18.117068823566349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304.99999999999983</v>
      </c>
      <c r="O79" s="13">
        <f>N79*VLOOKUP('Données projet'!$B$9,Paramètres!$A$1:$I$89,3,0)*VLOOKUP('Données projet'!$B$9,Paramètres!$A$1:$I$89,5,0)</f>
        <v>275.96399999999983</v>
      </c>
      <c r="P79" s="13">
        <f t="shared" si="87"/>
        <v>66.113366665488854</v>
      </c>
      <c r="Q79" s="20">
        <f t="shared" si="54"/>
        <v>595.78474694239264</v>
      </c>
      <c r="R79" s="59">
        <f t="shared" si="55"/>
        <v>864.87433132324213</v>
      </c>
      <c r="S79" s="59">
        <f ca="1">AVERAGE(OFFSET($R$3,0,0,'Données projet'!$E$9+1,1))-AVERAGE(OFFSET($H$3,0,0,'Données projet'!$E$9+1,1))</f>
        <v>376.51107072413777</v>
      </c>
      <c r="T79" s="59">
        <f t="shared" si="88"/>
        <v>532.90758914457615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0.64994051622789795</v>
      </c>
      <c r="AA79" s="21">
        <f>EXP(-LN(2)/25)*AA78+(1-EXP(-LN(2)/25))/(LN(2)/25)*Calculateur!V79*Calculateur!X79*VLOOKUP('Données projet'!$B$9,Paramètres!$A$1:$I$89,3,0)*0.475*44/12</f>
        <v>2.0622339513639707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2.7121744675918684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88.008749437127449</v>
      </c>
      <c r="AO79" s="59">
        <f t="shared" si="90"/>
        <v>258.40359226940507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15.607119244703703</v>
      </c>
      <c r="AV79" s="21">
        <f>EXP(-LN(2)/25)*AV78+(1-EXP(-LN(2)/25))/(LN(2)/25)*Calculateur!AQ79*Calculateur!AS79*VLOOKUP('Données projet'!$B$10,Paramètres!$A$1:$I$89,3,0)*0.475*44/12</f>
        <v>2.1376835352064285</v>
      </c>
      <c r="AW79" s="21">
        <f>EXP(-LN(2)/2)*AW78+(1-EXP(-LN(2)/2))/(LN(2)/2)*AQ79*AT79*VLOOKUP('Données projet'!$B$10,Paramètres!$A$1:$I$89,3,0)*0.475*44/12</f>
        <v>5.372544414554521E-8</v>
      </c>
      <c r="AX79" s="21">
        <f t="shared" si="60"/>
        <v>17.744802833635575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304.99999999999983</v>
      </c>
      <c r="O80" s="13">
        <f>N80*VLOOKUP('Données projet'!$B$9,Paramètres!$A$1:$I$89,3,0)*VLOOKUP('Données projet'!$B$9,Paramètres!$A$1:$I$89,5,0)</f>
        <v>275.96399999999983</v>
      </c>
      <c r="P80" s="13">
        <f t="shared" si="87"/>
        <v>66.113366665488854</v>
      </c>
      <c r="Q80" s="20">
        <f t="shared" si="54"/>
        <v>595.78474694239264</v>
      </c>
      <c r="R80" s="59">
        <f t="shared" si="55"/>
        <v>865.29490616666499</v>
      </c>
      <c r="S80" s="59">
        <f ca="1">AVERAGE(OFFSET($R$3,0,0,'Données projet'!$E$9+1,1))-AVERAGE(OFFSET($H$3,0,0,'Données projet'!$E$9+1,1))</f>
        <v>376.51107072413777</v>
      </c>
      <c r="T80" s="59">
        <f t="shared" si="88"/>
        <v>532.90758914457615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0.63719557912924008</v>
      </c>
      <c r="AA80" s="21">
        <f>EXP(-LN(2)/25)*AA79+(1-EXP(-LN(2)/25))/(LN(2)/25)*Calculateur!V80*Calculateur!X80*VLOOKUP('Données projet'!$B$9,Paramètres!$A$1:$I$89,3,0)*0.475*44/12</f>
        <v>2.0058420555157528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2.6430376346449931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88.008749437127449</v>
      </c>
      <c r="AO80" s="59">
        <f t="shared" si="90"/>
        <v>258.40359226940507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15.301073155717841</v>
      </c>
      <c r="AV80" s="21">
        <f>EXP(-LN(2)/25)*AV79+(1-EXP(-LN(2)/25))/(LN(2)/25)*Calculateur!AQ80*Calculateur!AS80*VLOOKUP('Données projet'!$B$10,Paramètres!$A$1:$I$89,3,0)*0.475*44/12</f>
        <v>2.0792284665203176</v>
      </c>
      <c r="AW80" s="21">
        <f>EXP(-LN(2)/2)*AW79+(1-EXP(-LN(2)/2))/(LN(2)/2)*AQ80*AT80*VLOOKUP('Données projet'!$B$10,Paramètres!$A$1:$I$89,3,0)*0.475*44/12</f>
        <v>3.7989625877574117E-8</v>
      </c>
      <c r="AX80" s="21">
        <f t="shared" si="60"/>
        <v>17.380301660227783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304.99999999999983</v>
      </c>
      <c r="O81" s="13">
        <f>N81*VLOOKUP('Données projet'!$B$9,Paramètres!$A$1:$I$89,3,0)*VLOOKUP('Données projet'!$B$9,Paramètres!$A$1:$I$89,5,0)</f>
        <v>275.96399999999983</v>
      </c>
      <c r="P81" s="13">
        <f t="shared" si="87"/>
        <v>66.113366665488854</v>
      </c>
      <c r="Q81" s="20">
        <f t="shared" si="54"/>
        <v>595.78474694239264</v>
      </c>
      <c r="R81" s="59">
        <f t="shared" si="55"/>
        <v>865.70818497681887</v>
      </c>
      <c r="S81" s="59">
        <f ca="1">AVERAGE(OFFSET($R$3,0,0,'Données projet'!$E$9+1,1))-AVERAGE(OFFSET($H$3,0,0,'Données projet'!$E$9+1,1))</f>
        <v>376.51107072413777</v>
      </c>
      <c r="T81" s="59">
        <f t="shared" si="88"/>
        <v>532.90758914457615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0.62470056247344286</v>
      </c>
      <c r="AA81" s="21">
        <f>EXP(-LN(2)/25)*AA80+(1-EXP(-LN(2)/25))/(LN(2)/25)*Calculateur!V81*Calculateur!X81*VLOOKUP('Données projet'!$B$9,Paramètres!$A$1:$I$89,3,0)*0.475*44/12</f>
        <v>1.9509921990250252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2.5756927614984679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88.008749437127449</v>
      </c>
      <c r="AO81" s="59">
        <f t="shared" si="90"/>
        <v>258.40359226940507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15.001028443867309</v>
      </c>
      <c r="AV81" s="21">
        <f>EXP(-LN(2)/25)*AV80+(1-EXP(-LN(2)/25))/(LN(2)/25)*Calculateur!AQ81*Calculateur!AS81*VLOOKUP('Données projet'!$B$10,Paramètres!$A$1:$I$89,3,0)*0.475*44/12</f>
        <v>2.0223718547614467</v>
      </c>
      <c r="AW81" s="21">
        <f>EXP(-LN(2)/2)*AW80+(1-EXP(-LN(2)/2))/(LN(2)/2)*AQ81*AT81*VLOOKUP('Données projet'!$B$10,Paramètres!$A$1:$I$89,3,0)*0.475*44/12</f>
        <v>2.6862722072772605E-8</v>
      </c>
      <c r="AX81" s="21">
        <f t="shared" si="60"/>
        <v>17.023400325491476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304.99999999999983</v>
      </c>
      <c r="O82" s="13">
        <f>N82*VLOOKUP('Données projet'!$B$9,Paramètres!$A$1:$I$89,3,0)*VLOOKUP('Données projet'!$B$9,Paramètres!$A$1:$I$89,5,0)</f>
        <v>275.96399999999983</v>
      </c>
      <c r="P82" s="13">
        <f t="shared" si="87"/>
        <v>66.113366665488854</v>
      </c>
      <c r="Q82" s="20">
        <f t="shared" si="54"/>
        <v>595.78474694239264</v>
      </c>
      <c r="R82" s="59">
        <f t="shared" si="55"/>
        <v>866.11429432356954</v>
      </c>
      <c r="S82" s="59">
        <f ca="1">AVERAGE(OFFSET($R$3,0,0,'Données projet'!$E$9+1,1))-AVERAGE(OFFSET($H$3,0,0,'Données projet'!$E$9+1,1))</f>
        <v>376.51107072413777</v>
      </c>
      <c r="T82" s="59">
        <f t="shared" si="88"/>
        <v>532.90758914457615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0.61245056547305821</v>
      </c>
      <c r="AA82" s="21">
        <f>EXP(-LN(2)/25)*AA81+(1-EXP(-LN(2)/25))/(LN(2)/25)*Calculateur!V82*Calculateur!X82*VLOOKUP('Données projet'!$B$9,Paramètres!$A$1:$I$89,3,0)*0.475*44/12</f>
        <v>1.8976422147444652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2.5100927802175232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88.008749437127449</v>
      </c>
      <c r="AO82" s="59">
        <f t="shared" si="90"/>
        <v>258.40359226940507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14.706867425806962</v>
      </c>
      <c r="AV82" s="21">
        <f>EXP(-LN(2)/25)*AV81+(1-EXP(-LN(2)/25))/(LN(2)/25)*Calculateur!AQ82*Calculateur!AS82*VLOOKUP('Données projet'!$B$10,Paramètres!$A$1:$I$89,3,0)*0.475*44/12</f>
        <v>1.9670699900410813</v>
      </c>
      <c r="AW82" s="21">
        <f>EXP(-LN(2)/2)*AW81+(1-EXP(-LN(2)/2))/(LN(2)/2)*AQ82*AT82*VLOOKUP('Données projet'!$B$10,Paramètres!$A$1:$I$89,3,0)*0.475*44/12</f>
        <v>1.8994812938787059E-8</v>
      </c>
      <c r="AX82" s="21">
        <f t="shared" si="60"/>
        <v>16.673937434842859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304.99999999999983</v>
      </c>
      <c r="O83" s="13">
        <f>N83*VLOOKUP('Données projet'!$B$9,Paramètres!$A$1:$I$89,3,0)*VLOOKUP('Données projet'!$B$9,Paramètres!$A$1:$I$89,5,0)</f>
        <v>275.96399999999983</v>
      </c>
      <c r="P83" s="13">
        <f t="shared" si="87"/>
        <v>66.113366665488854</v>
      </c>
      <c r="Q83" s="20">
        <f t="shared" si="54"/>
        <v>595.78474694239264</v>
      </c>
      <c r="R83" s="59">
        <f t="shared" si="55"/>
        <v>866.51335858107882</v>
      </c>
      <c r="S83" s="59">
        <f ca="1">AVERAGE(OFFSET($R$3,0,0,'Données projet'!$E$9+1,1))-AVERAGE(OFFSET($H$3,0,0,'Données projet'!$E$9+1,1))</f>
        <v>376.51107072413777</v>
      </c>
      <c r="T83" s="59">
        <f t="shared" si="88"/>
        <v>532.90758914457615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0.60044078344209073</v>
      </c>
      <c r="AA83" s="21">
        <f>EXP(-LN(2)/25)*AA82+(1-EXP(-LN(2)/25))/(LN(2)/25)*Calculateur!V83*Calculateur!X83*VLOOKUP('Données projet'!$B$9,Paramètres!$A$1:$I$89,3,0)*0.475*44/12</f>
        <v>1.8457510885896109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2.4461918720317017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88.008749437127449</v>
      </c>
      <c r="AO83" s="59">
        <f t="shared" si="90"/>
        <v>258.40359226940507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14.418474725890274</v>
      </c>
      <c r="AV83" s="21">
        <f>EXP(-LN(2)/25)*AV82+(1-EXP(-LN(2)/25))/(LN(2)/25)*Calculateur!AQ83*Calculateur!AS83*VLOOKUP('Données projet'!$B$10,Paramètres!$A$1:$I$89,3,0)*0.475*44/12</f>
        <v>1.9132803577196928</v>
      </c>
      <c r="AW83" s="21">
        <f>EXP(-LN(2)/2)*AW82+(1-EXP(-LN(2)/2))/(LN(2)/2)*AQ83*AT83*VLOOKUP('Données projet'!$B$10,Paramètres!$A$1:$I$89,3,0)*0.475*44/12</f>
        <v>1.3431361036386303E-8</v>
      </c>
      <c r="AX83" s="21">
        <f t="shared" si="60"/>
        <v>16.331755097041327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304.99999999999983</v>
      </c>
      <c r="O84" s="13">
        <f>N84*VLOOKUP('Données projet'!$B$9,Paramètres!$A$1:$I$89,3,0)*VLOOKUP('Données projet'!$B$9,Paramètres!$A$1:$I$89,5,0)</f>
        <v>275.96399999999983</v>
      </c>
      <c r="P84" s="13">
        <f t="shared" si="87"/>
        <v>66.113366665488854</v>
      </c>
      <c r="Q84" s="20">
        <f t="shared" si="54"/>
        <v>595.78474694239264</v>
      </c>
      <c r="R84" s="59">
        <f t="shared" si="55"/>
        <v>866.90549996589402</v>
      </c>
      <c r="S84" s="59">
        <f ca="1">AVERAGE(OFFSET($R$3,0,0,'Données projet'!$E$9+1,1))-AVERAGE(OFFSET($H$3,0,0,'Données projet'!$E$9+1,1))</f>
        <v>376.51107072413777</v>
      </c>
      <c r="T84" s="59">
        <f t="shared" si="88"/>
        <v>532.90758914457615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0.58866650591150671</v>
      </c>
      <c r="AA84" s="21">
        <f>EXP(-LN(2)/25)*AA83+(1-EXP(-LN(2)/25))/(LN(2)/25)*Calculateur!V84*Calculateur!X84*VLOOKUP('Données projet'!$B$9,Paramètres!$A$1:$I$89,3,0)*0.475*44/12</f>
        <v>1.7952789280082968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2.3839454339198034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88.008749437127449</v>
      </c>
      <c r="AO84" s="59">
        <f t="shared" si="90"/>
        <v>258.40359226940507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14.135737230916773</v>
      </c>
      <c r="AV84" s="21">
        <f>EXP(-LN(2)/25)*AV83+(1-EXP(-LN(2)/25))/(LN(2)/25)*Calculateur!AQ84*Calculateur!AS84*VLOOKUP('Données projet'!$B$10,Paramètres!$A$1:$I$89,3,0)*0.475*44/12</f>
        <v>1.8609616057228067</v>
      </c>
      <c r="AW84" s="21">
        <f>EXP(-LN(2)/2)*AW83+(1-EXP(-LN(2)/2))/(LN(2)/2)*AQ84*AT84*VLOOKUP('Données projet'!$B$10,Paramètres!$A$1:$I$89,3,0)*0.475*44/12</f>
        <v>9.4974064693935293E-9</v>
      </c>
      <c r="AX84" s="21">
        <f t="shared" si="60"/>
        <v>15.996698846136987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304.99999999999983</v>
      </c>
      <c r="O85" s="13">
        <f>N85*VLOOKUP('Données projet'!$B$9,Paramètres!$A$1:$I$89,3,0)*VLOOKUP('Données projet'!$B$9,Paramètres!$A$1:$I$89,5,0)</f>
        <v>275.96399999999983</v>
      </c>
      <c r="P85" s="13">
        <f t="shared" si="87"/>
        <v>66.113366665488854</v>
      </c>
      <c r="Q85" s="20">
        <f t="shared" si="54"/>
        <v>595.78474694239264</v>
      </c>
      <c r="R85" s="59">
        <f t="shared" si="55"/>
        <v>867.29083857437968</v>
      </c>
      <c r="S85" s="59">
        <f ca="1">AVERAGE(OFFSET($R$3,0,0,'Données projet'!$E$9+1,1))-AVERAGE(OFFSET($H$3,0,0,'Données projet'!$E$9+1,1))</f>
        <v>376.51107072413777</v>
      </c>
      <c r="T85" s="59">
        <f t="shared" si="88"/>
        <v>532.90758914457615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0.57712311478169731</v>
      </c>
      <c r="AA85" s="21">
        <f>EXP(-LN(2)/25)*AA84+(1-EXP(-LN(2)/25))/(LN(2)/25)*Calculateur!V85*Calculateur!X85*VLOOKUP('Données projet'!$B$9,Paramètres!$A$1:$I$89,3,0)*0.475*44/12</f>
        <v>1.7461869313122942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2.3233100460939915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88.008749437127449</v>
      </c>
      <c r="AO85" s="59">
        <f t="shared" si="90"/>
        <v>258.40359226940507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13.858544045766859</v>
      </c>
      <c r="AV85" s="21">
        <f>EXP(-LN(2)/25)*AV84+(1-EXP(-LN(2)/25))/(LN(2)/25)*Calculateur!AQ85*Calculateur!AS85*VLOOKUP('Données projet'!$B$10,Paramètres!$A$1:$I$89,3,0)*0.475*44/12</f>
        <v>1.8100735127505989</v>
      </c>
      <c r="AW85" s="21">
        <f>EXP(-LN(2)/2)*AW84+(1-EXP(-LN(2)/2))/(LN(2)/2)*AQ85*AT85*VLOOKUP('Données projet'!$B$10,Paramètres!$A$1:$I$89,3,0)*0.475*44/12</f>
        <v>6.7156805181931513E-9</v>
      </c>
      <c r="AX85" s="21">
        <f t="shared" si="60"/>
        <v>15.668617565233138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304.99999999999983</v>
      </c>
      <c r="O86" s="13">
        <f>N86*VLOOKUP('Données projet'!$B$9,Paramètres!$A$1:$I$89,3,0)*VLOOKUP('Données projet'!$B$9,Paramètres!$A$1:$I$89,5,0)</f>
        <v>275.96399999999983</v>
      </c>
      <c r="P86" s="13">
        <f t="shared" si="87"/>
        <v>66.113366665488854</v>
      </c>
      <c r="Q86" s="20">
        <f t="shared" si="54"/>
        <v>595.78474694239264</v>
      </c>
      <c r="R86" s="59">
        <f t="shared" si="55"/>
        <v>867.66949241949612</v>
      </c>
      <c r="S86" s="59">
        <f ca="1">AVERAGE(OFFSET($R$3,0,0,'Données projet'!$E$9+1,1))-AVERAGE(OFFSET($H$3,0,0,'Données projet'!$E$9+1,1))</f>
        <v>376.51107072413777</v>
      </c>
      <c r="T86" s="59">
        <f t="shared" si="88"/>
        <v>532.90758914457615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0.56580608251117015</v>
      </c>
      <c r="AA86" s="21">
        <f>EXP(-LN(2)/25)*AA85+(1-EXP(-LN(2)/25))/(LN(2)/25)*Calculateur!V86*Calculateur!X86*VLOOKUP('Données projet'!$B$9,Paramètres!$A$1:$I$89,3,0)*0.475*44/12</f>
        <v>1.6984373578475798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2.2642434403587499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88.008749437127449</v>
      </c>
      <c r="AO86" s="59">
        <f t="shared" si="90"/>
        <v>258.40359226940507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13.586786449906587</v>
      </c>
      <c r="AV86" s="21">
        <f>EXP(-LN(2)/25)*AV85+(1-EXP(-LN(2)/25))/(LN(2)/25)*Calculateur!AQ86*Calculateur!AS86*VLOOKUP('Données projet'!$B$10,Paramètres!$A$1:$I$89,3,0)*0.475*44/12</f>
        <v>1.7605769573568046</v>
      </c>
      <c r="AW86" s="21">
        <f>EXP(-LN(2)/2)*AW85+(1-EXP(-LN(2)/2))/(LN(2)/2)*AQ86*AT86*VLOOKUP('Données projet'!$B$10,Paramètres!$A$1:$I$89,3,0)*0.475*44/12</f>
        <v>4.7487032346967647E-9</v>
      </c>
      <c r="AX86" s="21">
        <f t="shared" si="60"/>
        <v>15.347363412012093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304.99999999999983</v>
      </c>
      <c r="O87" s="13">
        <f>N87*VLOOKUP('Données projet'!$B$9,Paramètres!$A$1:$I$89,3,0)*VLOOKUP('Données projet'!$B$9,Paramètres!$A$1:$I$89,5,0)</f>
        <v>275.96399999999983</v>
      </c>
      <c r="P87" s="13">
        <f t="shared" si="87"/>
        <v>66.113366665488854</v>
      </c>
      <c r="Q87" s="20">
        <f t="shared" si="54"/>
        <v>595.78474694239264</v>
      </c>
      <c r="R87" s="59">
        <f t="shared" si="55"/>
        <v>868.04157746694295</v>
      </c>
      <c r="S87" s="59">
        <f ca="1">AVERAGE(OFFSET($R$3,0,0,'Données projet'!$E$9+1,1))-AVERAGE(OFFSET($H$3,0,0,'Données projet'!$E$9+1,1))</f>
        <v>376.51107072413777</v>
      </c>
      <c r="T87" s="59">
        <f t="shared" si="88"/>
        <v>532.90758914457615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0.55471097034075989</v>
      </c>
      <c r="AA87" s="21">
        <f>EXP(-LN(2)/25)*AA86+(1-EXP(-LN(2)/25))/(LN(2)/25)*Calculateur!V87*Calculateur!X87*VLOOKUP('Données projet'!$B$9,Paramètres!$A$1:$I$89,3,0)*0.475*44/12</f>
        <v>1.6519934989802989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2.2067044693210587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88.008749437127449</v>
      </c>
      <c r="AO87" s="59">
        <f t="shared" si="90"/>
        <v>258.40359226940507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13.320357854745367</v>
      </c>
      <c r="AV87" s="21">
        <f>EXP(-LN(2)/25)*AV86+(1-EXP(-LN(2)/25))/(LN(2)/25)*Calculateur!AQ87*Calculateur!AS87*VLOOKUP('Données projet'!$B$10,Paramètres!$A$1:$I$89,3,0)*0.475*44/12</f>
        <v>1.7124338878731644</v>
      </c>
      <c r="AW87" s="21">
        <f>EXP(-LN(2)/2)*AW86+(1-EXP(-LN(2)/2))/(LN(2)/2)*AQ87*AT87*VLOOKUP('Données projet'!$B$10,Paramètres!$A$1:$I$89,3,0)*0.475*44/12</f>
        <v>3.3578402590965756E-9</v>
      </c>
      <c r="AX87" s="21">
        <f t="shared" si="60"/>
        <v>15.032791745976372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304.99999999999983</v>
      </c>
      <c r="O88" s="13">
        <f>N88*VLOOKUP('Données projet'!$B$9,Paramètres!$A$1:$I$89,3,0)*VLOOKUP('Données projet'!$B$9,Paramètres!$A$1:$I$89,5,0)</f>
        <v>275.96399999999983</v>
      </c>
      <c r="P88" s="13">
        <f t="shared" si="87"/>
        <v>66.113366665488854</v>
      </c>
      <c r="Q88" s="20">
        <f t="shared" si="54"/>
        <v>595.78474694239264</v>
      </c>
      <c r="R88" s="59">
        <f t="shared" si="55"/>
        <v>868.4072076706741</v>
      </c>
      <c r="S88" s="59">
        <f ca="1">AVERAGE(OFFSET($R$3,0,0,'Données projet'!$E$9+1,1))-AVERAGE(OFFSET($H$3,0,0,'Données projet'!$E$9+1,1))</f>
        <v>376.51107072413777</v>
      </c>
      <c r="T88" s="59">
        <f t="shared" si="88"/>
        <v>532.90758914457615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0.5438334265526612</v>
      </c>
      <c r="AA88" s="21">
        <f>EXP(-LN(2)/25)*AA87+(1-EXP(-LN(2)/25))/(LN(2)/25)*Calculateur!V88*Calculateur!X88*VLOOKUP('Données projet'!$B$9,Paramètres!$A$1:$I$89,3,0)*0.475*44/12</f>
        <v>1.6068196498761202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2.1506530764287817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88.008749437127449</v>
      </c>
      <c r="AO88" s="59">
        <f t="shared" si="90"/>
        <v>258.40359226940507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13.059153761829863</v>
      </c>
      <c r="AV88" s="21">
        <f>EXP(-LN(2)/25)*AV87+(1-EXP(-LN(2)/25))/(LN(2)/25)*Calculateur!AQ88*Calculateur!AS88*VLOOKUP('Données projet'!$B$10,Paramètres!$A$1:$I$89,3,0)*0.475*44/12</f>
        <v>1.6656072931562884</v>
      </c>
      <c r="AW88" s="21">
        <f>EXP(-LN(2)/2)*AW87+(1-EXP(-LN(2)/2))/(LN(2)/2)*AQ88*AT88*VLOOKUP('Données projet'!$B$10,Paramètres!$A$1:$I$89,3,0)*0.475*44/12</f>
        <v>2.3743516173483823E-9</v>
      </c>
      <c r="AX88" s="21">
        <f t="shared" si="60"/>
        <v>14.724761057360503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304.99999999999983</v>
      </c>
      <c r="O89" s="13">
        <f>N89*VLOOKUP('Données projet'!$B$9,Paramètres!$A$1:$I$89,3,0)*VLOOKUP('Données projet'!$B$9,Paramètres!$A$1:$I$89,5,0)</f>
        <v>275.96399999999983</v>
      </c>
      <c r="P89" s="13">
        <f t="shared" si="87"/>
        <v>66.113366665488854</v>
      </c>
      <c r="Q89" s="20">
        <f t="shared" si="54"/>
        <v>595.78474694239264</v>
      </c>
      <c r="R89" s="59">
        <f t="shared" si="55"/>
        <v>868.7664950077974</v>
      </c>
      <c r="S89" s="59">
        <f ca="1">AVERAGE(OFFSET($R$3,0,0,'Données projet'!$E$9+1,1))-AVERAGE(OFFSET($H$3,0,0,'Données projet'!$E$9+1,1))</f>
        <v>376.51107072413777</v>
      </c>
      <c r="T89" s="59">
        <f t="shared" si="88"/>
        <v>532.90758914457615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0.53316918476360053</v>
      </c>
      <c r="AA89" s="21">
        <f>EXP(-LN(2)/25)*AA88+(1-EXP(-LN(2)/25))/(LN(2)/25)*Calculateur!V89*Calculateur!X89*VLOOKUP('Données projet'!$B$9,Paramètres!$A$1:$I$89,3,0)*0.475*44/12</f>
        <v>1.5628810820512848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2.0960502668148853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88.008749437127449</v>
      </c>
      <c r="AO89" s="59">
        <f t="shared" si="90"/>
        <v>258.40359226940507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12.803071721857666</v>
      </c>
      <c r="AV89" s="21">
        <f>EXP(-LN(2)/25)*AV88+(1-EXP(-LN(2)/25))/(LN(2)/25)*Calculateur!AQ89*Calculateur!AS89*VLOOKUP('Données projet'!$B$10,Paramètres!$A$1:$I$89,3,0)*0.475*44/12</f>
        <v>1.6200611741344491</v>
      </c>
      <c r="AW89" s="21">
        <f>EXP(-LN(2)/2)*AW88+(1-EXP(-LN(2)/2))/(LN(2)/2)*AQ89*AT89*VLOOKUP('Données projet'!$B$10,Paramètres!$A$1:$I$89,3,0)*0.475*44/12</f>
        <v>1.6789201295482878E-9</v>
      </c>
      <c r="AX89" s="21">
        <f t="shared" si="60"/>
        <v>14.423132897671035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304.99999999999983</v>
      </c>
      <c r="O90" s="13">
        <f>N90*VLOOKUP('Données projet'!$B$9,Paramètres!$A$1:$I$89,3,0)*VLOOKUP('Données projet'!$B$9,Paramètres!$A$1:$I$89,5,0)</f>
        <v>275.96399999999983</v>
      </c>
      <c r="P90" s="13">
        <f t="shared" si="87"/>
        <v>66.113366665488854</v>
      </c>
      <c r="Q90" s="20">
        <f t="shared" si="54"/>
        <v>595.78474694239264</v>
      </c>
      <c r="R90" s="59">
        <f t="shared" si="55"/>
        <v>869.11954951286748</v>
      </c>
      <c r="S90" s="59">
        <f ca="1">AVERAGE(OFFSET($R$3,0,0,'Données projet'!$E$9+1,1))-AVERAGE(OFFSET($H$3,0,0,'Données projet'!$E$9+1,1))</f>
        <v>376.51107072413777</v>
      </c>
      <c r="T90" s="59">
        <f t="shared" si="88"/>
        <v>532.90758914457615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0.5227140622514781</v>
      </c>
      <c r="AA90" s="21">
        <f>EXP(-LN(2)/25)*AA89+(1-EXP(-LN(2)/25))/(LN(2)/25)*Calculateur!V90*Calculateur!X90*VLOOKUP('Données projet'!$B$9,Paramètres!$A$1:$I$89,3,0)*0.475*44/12</f>
        <v>1.5201440166742484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2.0428580789257262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88.008749437127449</v>
      </c>
      <c r="AO90" s="59">
        <f t="shared" si="90"/>
        <v>258.40359226940507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12.552011294494703</v>
      </c>
      <c r="AV90" s="21">
        <f>EXP(-LN(2)/25)*AV89+(1-EXP(-LN(2)/25))/(LN(2)/25)*Calculateur!AQ90*Calculateur!AS90*VLOOKUP('Données projet'!$B$10,Paramètres!$A$1:$I$89,3,0)*0.475*44/12</f>
        <v>1.5757605161324282</v>
      </c>
      <c r="AW90" s="21">
        <f>EXP(-LN(2)/2)*AW89+(1-EXP(-LN(2)/2))/(LN(2)/2)*AQ90*AT90*VLOOKUP('Données projet'!$B$10,Paramètres!$A$1:$I$89,3,0)*0.475*44/12</f>
        <v>1.1871758086741912E-9</v>
      </c>
      <c r="AX90" s="21">
        <f t="shared" si="60"/>
        <v>14.127771811814307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304.99999999999983</v>
      </c>
      <c r="O91" s="13">
        <f>N91*VLOOKUP('Données projet'!$B$9,Paramètres!$A$1:$I$89,3,0)*VLOOKUP('Données projet'!$B$9,Paramètres!$A$1:$I$89,5,0)</f>
        <v>275.96399999999983</v>
      </c>
      <c r="P91" s="13">
        <f t="shared" si="87"/>
        <v>66.113366665488854</v>
      </c>
      <c r="Q91" s="20">
        <f t="shared" si="54"/>
        <v>595.78474694239264</v>
      </c>
      <c r="R91" s="59">
        <f t="shared" si="55"/>
        <v>869.46647931158634</v>
      </c>
      <c r="S91" s="59">
        <f ca="1">AVERAGE(OFFSET($R$3,0,0,'Données projet'!$E$9+1,1))-AVERAGE(OFFSET($H$3,0,0,'Données projet'!$E$9+1,1))</f>
        <v>376.51107072413777</v>
      </c>
      <c r="T91" s="59">
        <f t="shared" si="88"/>
        <v>532.90758914457615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0.51246395831482328</v>
      </c>
      <c r="AA91" s="21">
        <f>EXP(-LN(2)/25)*AA90+(1-EXP(-LN(2)/25))/(LN(2)/25)*Calculateur!V91*Calculateur!X91*VLOOKUP('Données projet'!$B$9,Paramètres!$A$1:$I$89,3,0)*0.475*44/12</f>
        <v>1.4785755985973916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1.9910395569122148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88.008749437127449</v>
      </c>
      <c r="AO91" s="59">
        <f t="shared" si="90"/>
        <v>258.40359226940507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12.305874008980586</v>
      </c>
      <c r="AV91" s="21">
        <f>EXP(-LN(2)/25)*AV90+(1-EXP(-LN(2)/25))/(LN(2)/25)*Calculateur!AQ91*Calculateur!AS91*VLOOKUP('Données projet'!$B$10,Paramètres!$A$1:$I$89,3,0)*0.475*44/12</f>
        <v>1.5326712619531428</v>
      </c>
      <c r="AW91" s="21">
        <f>EXP(-LN(2)/2)*AW90+(1-EXP(-LN(2)/2))/(LN(2)/2)*AQ91*AT91*VLOOKUP('Données projet'!$B$10,Paramètres!$A$1:$I$89,3,0)*0.475*44/12</f>
        <v>8.3946006477414391E-10</v>
      </c>
      <c r="AX91" s="21">
        <f t="shared" si="60"/>
        <v>13.838545271773189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304.99999999999983</v>
      </c>
      <c r="O92" s="13">
        <f>N92*VLOOKUP('Données projet'!$B$9,Paramètres!$A$1:$I$89,3,0)*VLOOKUP('Données projet'!$B$9,Paramètres!$A$1:$I$89,5,0)</f>
        <v>275.96399999999983</v>
      </c>
      <c r="P92" s="13">
        <f t="shared" si="87"/>
        <v>66.113366665488854</v>
      </c>
      <c r="Q92" s="20">
        <f t="shared" si="54"/>
        <v>595.78474694239264</v>
      </c>
      <c r="R92" s="59">
        <f t="shared" si="55"/>
        <v>869.80739065391617</v>
      </c>
      <c r="S92" s="59">
        <f ca="1">AVERAGE(OFFSET($R$3,0,0,'Données projet'!$E$9+1,1))-AVERAGE(OFFSET($H$3,0,0,'Données projet'!$E$9+1,1))</f>
        <v>376.51107072413777</v>
      </c>
      <c r="T92" s="59">
        <f t="shared" si="88"/>
        <v>532.90758914457615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0.50241485266442021</v>
      </c>
      <c r="AA92" s="21">
        <f>EXP(-LN(2)/25)*AA91+(1-EXP(-LN(2)/25))/(LN(2)/25)*Calculateur!V92*Calculateur!X92*VLOOKUP('Données projet'!$B$9,Paramètres!$A$1:$I$89,3,0)*0.475*44/12</f>
        <v>1.4381438710988346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1.9405587237632549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88.008749437127449</v>
      </c>
      <c r="AO92" s="59">
        <f t="shared" si="90"/>
        <v>258.40359226940507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12.064563325506482</v>
      </c>
      <c r="AV92" s="21">
        <f>EXP(-LN(2)/25)*AV91+(1-EXP(-LN(2)/25))/(LN(2)/25)*Calculateur!AQ92*Calculateur!AS92*VLOOKUP('Données projet'!$B$10,Paramètres!$A$1:$I$89,3,0)*0.475*44/12</f>
        <v>1.4907602856953555</v>
      </c>
      <c r="AW92" s="21">
        <f>EXP(-LN(2)/2)*AW91+(1-EXP(-LN(2)/2))/(LN(2)/2)*AQ92*AT92*VLOOKUP('Données projet'!$B$10,Paramètres!$A$1:$I$89,3,0)*0.475*44/12</f>
        <v>5.9358790433709558E-10</v>
      </c>
      <c r="AX92" s="21">
        <f t="shared" si="60"/>
        <v>13.555323611795425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304.99999999999983</v>
      </c>
      <c r="O93" s="13">
        <f>N93*VLOOKUP('Données projet'!$B$9,Paramètres!$A$1:$I$89,3,0)*VLOOKUP('Données projet'!$B$9,Paramètres!$A$1:$I$89,5,0)</f>
        <v>275.96399999999983</v>
      </c>
      <c r="P93" s="13">
        <f t="shared" si="87"/>
        <v>66.113366665488854</v>
      </c>
      <c r="Q93" s="20">
        <f t="shared" si="54"/>
        <v>595.78474694239264</v>
      </c>
      <c r="R93" s="59">
        <f t="shared" si="55"/>
        <v>870.14238794662037</v>
      </c>
      <c r="S93" s="59">
        <f ca="1">AVERAGE(OFFSET($R$3,0,0,'Données projet'!$E$9+1,1))-AVERAGE(OFFSET($H$3,0,0,'Données projet'!$E$9+1,1))</f>
        <v>376.51107072413777</v>
      </c>
      <c r="T93" s="59">
        <f t="shared" si="88"/>
        <v>532.90758914457615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0.49256280384647233</v>
      </c>
      <c r="AA93" s="21">
        <f>EXP(-LN(2)/25)*AA92+(1-EXP(-LN(2)/25))/(LN(2)/25)*Calculateur!V93*Calculateur!X93*VLOOKUP('Données projet'!$B$9,Paramètres!$A$1:$I$89,3,0)*0.475*44/12</f>
        <v>1.3988177513149376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1.89138055516141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88.008749437127449</v>
      </c>
      <c r="AO93" s="59">
        <f t="shared" si="90"/>
        <v>258.40359226940507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11.827984597350321</v>
      </c>
      <c r="AV93" s="21">
        <f>EXP(-LN(2)/25)*AV92+(1-EXP(-LN(2)/25))/(LN(2)/25)*Calculateur!AQ93*Calculateur!AS93*VLOOKUP('Données projet'!$B$10,Paramètres!$A$1:$I$89,3,0)*0.475*44/12</f>
        <v>1.4499953672873398</v>
      </c>
      <c r="AW93" s="21">
        <f>EXP(-LN(2)/2)*AW92+(1-EXP(-LN(2)/2))/(LN(2)/2)*AQ93*AT93*VLOOKUP('Données projet'!$B$10,Paramètres!$A$1:$I$89,3,0)*0.475*44/12</f>
        <v>4.1973003238707196E-10</v>
      </c>
      <c r="AX93" s="21">
        <f t="shared" si="60"/>
        <v>13.277979965057391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304.99999999999983</v>
      </c>
      <c r="O94" s="13">
        <f>N94*VLOOKUP('Données projet'!$B$9,Paramètres!$A$1:$I$89,3,0)*VLOOKUP('Données projet'!$B$9,Paramètres!$A$1:$I$89,5,0)</f>
        <v>275.96399999999983</v>
      </c>
      <c r="P94" s="13">
        <f t="shared" si="87"/>
        <v>66.113366665488854</v>
      </c>
      <c r="Q94" s="20">
        <f t="shared" si="54"/>
        <v>595.78474694239264</v>
      </c>
      <c r="R94" s="59">
        <f t="shared" si="55"/>
        <v>870.47157378523775</v>
      </c>
      <c r="S94" s="59">
        <f ca="1">AVERAGE(OFFSET($R$3,0,0,'Données projet'!$E$9+1,1))-AVERAGE(OFFSET($H$3,0,0,'Données projet'!$E$9+1,1))</f>
        <v>376.51107072413777</v>
      </c>
      <c r="T94" s="59">
        <f t="shared" si="88"/>
        <v>532.90758914457615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0.48290394769668799</v>
      </c>
      <c r="AA94" s="21">
        <f>EXP(-LN(2)/25)*AA93+(1-EXP(-LN(2)/25))/(LN(2)/25)*Calculateur!V94*Calculateur!X94*VLOOKUP('Données projet'!$B$9,Paramètres!$A$1:$I$89,3,0)*0.475*44/12</f>
        <v>1.360567006344602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1.8434709540412899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88.008749437127449</v>
      </c>
      <c r="AO94" s="59">
        <f t="shared" si="90"/>
        <v>258.40359226940507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11.596045033754526</v>
      </c>
      <c r="AV94" s="21">
        <f>EXP(-LN(2)/25)*AV93+(1-EXP(-LN(2)/25))/(LN(2)/25)*Calculateur!AQ94*Calculateur!AS94*VLOOKUP('Données projet'!$B$10,Paramètres!$A$1:$I$89,3,0)*0.475*44/12</f>
        <v>1.4103451677169252</v>
      </c>
      <c r="AW94" s="21">
        <f>EXP(-LN(2)/2)*AW93+(1-EXP(-LN(2)/2))/(LN(2)/2)*AQ94*AT94*VLOOKUP('Données projet'!$B$10,Paramètres!$A$1:$I$89,3,0)*0.475*44/12</f>
        <v>2.9679395216854779E-10</v>
      </c>
      <c r="AX94" s="21">
        <f t="shared" si="60"/>
        <v>13.006390201768244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304.99999999999983</v>
      </c>
      <c r="O95" s="13">
        <f>N95*VLOOKUP('Données projet'!$B$9,Paramètres!$A$1:$I$89,3,0)*VLOOKUP('Données projet'!$B$9,Paramètres!$A$1:$I$89,5,0)</f>
        <v>275.96399999999983</v>
      </c>
      <c r="P95" s="13">
        <f t="shared" si="87"/>
        <v>66.113366665488854</v>
      </c>
      <c r="Q95" s="20">
        <f t="shared" si="54"/>
        <v>595.78474694239264</v>
      </c>
      <c r="R95" s="59">
        <f t="shared" si="55"/>
        <v>870.79504898550431</v>
      </c>
      <c r="S95" s="59">
        <f ca="1">AVERAGE(OFFSET($R$3,0,0,'Données projet'!$E$9+1,1))-AVERAGE(OFFSET($H$3,0,0,'Données projet'!$E$9+1,1))</f>
        <v>376.51107072413777</v>
      </c>
      <c r="T95" s="59">
        <f t="shared" si="88"/>
        <v>532.90758914457615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0.47343449582468039</v>
      </c>
      <c r="AA95" s="21">
        <f>EXP(-LN(2)/25)*AA94+(1-EXP(-LN(2)/25))/(LN(2)/25)*Calculateur!V95*Calculateur!X95*VLOOKUP('Données projet'!$B$9,Paramètres!$A$1:$I$89,3,0)*0.475*44/12</f>
        <v>1.3233622300069996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1.7967967258316799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88.008749437127449</v>
      </c>
      <c r="AO95" s="59">
        <f t="shared" si="90"/>
        <v>258.40359226940507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11.368653663531681</v>
      </c>
      <c r="AV95" s="21">
        <f>EXP(-LN(2)/25)*AV94+(1-EXP(-LN(2)/25))/(LN(2)/25)*Calculateur!AQ95*Calculateur!AS95*VLOOKUP('Données projet'!$B$10,Paramètres!$A$1:$I$89,3,0)*0.475*44/12</f>
        <v>1.3717792049388768</v>
      </c>
      <c r="AW95" s="21">
        <f>EXP(-LN(2)/2)*AW94+(1-EXP(-LN(2)/2))/(LN(2)/2)*AQ95*AT95*VLOOKUP('Données projet'!$B$10,Paramètres!$A$1:$I$89,3,0)*0.475*44/12</f>
        <v>2.0986501619353598E-10</v>
      </c>
      <c r="AX95" s="21">
        <f t="shared" si="60"/>
        <v>12.740432868680424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304.99999999999983</v>
      </c>
      <c r="O96" s="13">
        <f>N96*VLOOKUP('Données projet'!$B$9,Paramètres!$A$1:$I$89,3,0)*VLOOKUP('Données projet'!$B$9,Paramètres!$A$1:$I$89,5,0)</f>
        <v>275.96399999999983</v>
      </c>
      <c r="P96" s="13">
        <f t="shared" si="87"/>
        <v>66.113366665488854</v>
      </c>
      <c r="Q96" s="20">
        <f t="shared" si="54"/>
        <v>595.78474694239264</v>
      </c>
      <c r="R96" s="59">
        <f t="shared" si="55"/>
        <v>871.11291261422866</v>
      </c>
      <c r="S96" s="59">
        <f ca="1">AVERAGE(OFFSET($R$3,0,0,'Données projet'!$E$9+1,1))-AVERAGE(OFFSET($H$3,0,0,'Données projet'!$E$9+1,1))</f>
        <v>376.51107072413777</v>
      </c>
      <c r="T96" s="59">
        <f t="shared" si="88"/>
        <v>532.90758914457615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0.46415073412808755</v>
      </c>
      <c r="AA96" s="21">
        <f>EXP(-LN(2)/25)*AA95+(1-EXP(-LN(2)/25))/(LN(2)/25)*Calculateur!V96*Calculateur!X96*VLOOKUP('Données projet'!$B$9,Paramètres!$A$1:$I$89,3,0)*0.475*44/12</f>
        <v>1.2871748202348632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1.7513255543629507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88.008749437127449</v>
      </c>
      <c r="AO96" s="59">
        <f t="shared" si="90"/>
        <v>258.40359226940507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11.145721299383865</v>
      </c>
      <c r="AV96" s="21">
        <f>EXP(-LN(2)/25)*AV95+(1-EXP(-LN(2)/25))/(LN(2)/25)*Calculateur!AQ96*Calculateur!AS96*VLOOKUP('Données projet'!$B$10,Paramètres!$A$1:$I$89,3,0)*0.475*44/12</f>
        <v>1.3342678304410902</v>
      </c>
      <c r="AW96" s="21">
        <f>EXP(-LN(2)/2)*AW95+(1-EXP(-LN(2)/2))/(LN(2)/2)*AQ96*AT96*VLOOKUP('Données projet'!$B$10,Paramètres!$A$1:$I$89,3,0)*0.475*44/12</f>
        <v>1.483969760842739E-10</v>
      </c>
      <c r="AX96" s="21">
        <f t="shared" si="60"/>
        <v>12.479989129973353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304.99999999999983</v>
      </c>
      <c r="O97" s="13">
        <f>N97*VLOOKUP('Données projet'!$B$9,Paramètres!$A$1:$I$89,3,0)*VLOOKUP('Données projet'!$B$9,Paramètres!$A$1:$I$89,5,0)</f>
        <v>275.96399999999983</v>
      </c>
      <c r="P97" s="13">
        <f t="shared" si="87"/>
        <v>66.113366665488854</v>
      </c>
      <c r="Q97" s="20">
        <f t="shared" si="54"/>
        <v>595.78474694239264</v>
      </c>
      <c r="R97" s="59">
        <f t="shared" si="55"/>
        <v>871.42526201963119</v>
      </c>
      <c r="S97" s="59">
        <f ca="1">AVERAGE(OFFSET($R$3,0,0,'Données projet'!$E$9+1,1))-AVERAGE(OFFSET($H$3,0,0,'Données projet'!$E$9+1,1))</f>
        <v>376.51107072413777</v>
      </c>
      <c r="T97" s="59">
        <f t="shared" si="88"/>
        <v>532.90758914457615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0.45504902133582936</v>
      </c>
      <c r="AA97" s="21">
        <f>EXP(-LN(2)/25)*AA96+(1-EXP(-LN(2)/25))/(LN(2)/25)*Calculateur!V97*Calculateur!X97*VLOOKUP('Données projet'!$B$9,Paramètres!$A$1:$I$89,3,0)*0.475*44/12</f>
        <v>1.2519769570859589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1.7070259784217883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88.008749437127449</v>
      </c>
      <c r="AO97" s="59">
        <f t="shared" si="90"/>
        <v>258.40359226940507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10.927160502921671</v>
      </c>
      <c r="AV97" s="21">
        <f>EXP(-LN(2)/25)*AV96+(1-EXP(-LN(2)/25))/(LN(2)/25)*Calculateur!AQ97*Calculateur!AS97*VLOOKUP('Données projet'!$B$10,Paramètres!$A$1:$I$89,3,0)*0.475*44/12</f>
        <v>1.2977822064515829</v>
      </c>
      <c r="AW97" s="21">
        <f>EXP(-LN(2)/2)*AW96+(1-EXP(-LN(2)/2))/(LN(2)/2)*AQ97*AT97*VLOOKUP('Données projet'!$B$10,Paramètres!$A$1:$I$89,3,0)*0.475*44/12</f>
        <v>1.0493250809676799E-10</v>
      </c>
      <c r="AX97" s="21">
        <f t="shared" si="60"/>
        <v>12.224942709478187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304.99999999999983</v>
      </c>
      <c r="O98" s="13">
        <f>N98*VLOOKUP('Données projet'!$B$9,Paramètres!$A$1:$I$89,3,0)*VLOOKUP('Données projet'!$B$9,Paramètres!$A$1:$I$89,5,0)</f>
        <v>275.96399999999983</v>
      </c>
      <c r="P98" s="13">
        <f t="shared" si="87"/>
        <v>66.113366665488854</v>
      </c>
      <c r="Q98" s="20">
        <f t="shared" si="54"/>
        <v>595.78474694239264</v>
      </c>
      <c r="R98" s="59">
        <f t="shared" si="55"/>
        <v>871.73219286115864</v>
      </c>
      <c r="S98" s="59">
        <f ca="1">AVERAGE(OFFSET($R$3,0,0,'Données projet'!$E$9+1,1))-AVERAGE(OFFSET($H$3,0,0,'Données projet'!$E$9+1,1))</f>
        <v>376.51107072413777</v>
      </c>
      <c r="T98" s="59">
        <f t="shared" si="88"/>
        <v>532.90758914457615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0.44612578757993071</v>
      </c>
      <c r="AA98" s="21">
        <f>EXP(-LN(2)/25)*AA97+(1-EXP(-LN(2)/25))/(LN(2)/25)*Calculateur!V98*Calculateur!X98*VLOOKUP('Données projet'!$B$9,Paramètres!$A$1:$I$89,3,0)*0.475*44/12</f>
        <v>1.2177415813558365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1.6638673689357673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88.008749437127449</v>
      </c>
      <c r="AO98" s="59">
        <f t="shared" si="90"/>
        <v>258.40359226940507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10.71288555036918</v>
      </c>
      <c r="AV98" s="21">
        <f>EXP(-LN(2)/25)*AV97+(1-EXP(-LN(2)/25))/(LN(2)/25)*Calculateur!AQ98*Calculateur!AS98*VLOOKUP('Données projet'!$B$10,Paramètres!$A$1:$I$89,3,0)*0.475*44/12</f>
        <v>1.2622942837687643</v>
      </c>
      <c r="AW98" s="21">
        <f>EXP(-LN(2)/2)*AW97+(1-EXP(-LN(2)/2))/(LN(2)/2)*AQ98*AT98*VLOOKUP('Données projet'!$B$10,Paramètres!$A$1:$I$89,3,0)*0.475*44/12</f>
        <v>7.4198488042136948E-11</v>
      </c>
      <c r="AX98" s="21">
        <f t="shared" si="60"/>
        <v>11.975179834212142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304.99999999999983</v>
      </c>
      <c r="O99" s="13">
        <f>N99*VLOOKUP('Données projet'!$B$9,Paramètres!$A$1:$I$89,3,0)*VLOOKUP('Données projet'!$B$9,Paramètres!$A$1:$I$89,5,0)</f>
        <v>275.96399999999983</v>
      </c>
      <c r="P99" s="13">
        <f t="shared" si="87"/>
        <v>66.113366665488854</v>
      </c>
      <c r="Q99" s="20">
        <f t="shared" ref="Q99:Q130" si="107">(O99+P99)*0.475*44/12</f>
        <v>595.78474694239264</v>
      </c>
      <c r="R99" s="59">
        <f t="shared" si="55"/>
        <v>872.03379913878007</v>
      </c>
      <c r="S99" s="59">
        <f ca="1">AVERAGE(OFFSET($R$3,0,0,'Données projet'!$E$9+1,1))-AVERAGE(OFFSET($H$3,0,0,'Données projet'!$E$9+1,1))</f>
        <v>376.51107072413777</v>
      </c>
      <c r="T99" s="59">
        <f t="shared" si="88"/>
        <v>532.90758914457615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0.43737753299535009</v>
      </c>
      <c r="AA99" s="21">
        <f>EXP(-LN(2)/25)*AA98+(1-EXP(-LN(2)/25))/(LN(2)/25)*Calculateur!V99*Calculateur!X99*VLOOKUP('Données projet'!$B$9,Paramètres!$A$1:$I$89,3,0)*0.475*44/12</f>
        <v>1.1844423737754146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1.6218199067707646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88.008749437127449</v>
      </c>
      <c r="AO99" s="59">
        <f t="shared" si="90"/>
        <v>258.40359226940507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10.502812398941426</v>
      </c>
      <c r="AV99" s="21">
        <f>EXP(-LN(2)/25)*AV98+(1-EXP(-LN(2)/25))/(LN(2)/25)*Calculateur!AQ99*Calculateur!AS99*VLOOKUP('Données projet'!$B$10,Paramètres!$A$1:$I$89,3,0)*0.475*44/12</f>
        <v>1.227776780197936</v>
      </c>
      <c r="AW99" s="21">
        <f>EXP(-LN(2)/2)*AW98+(1-EXP(-LN(2)/2))/(LN(2)/2)*AQ99*AT99*VLOOKUP('Données projet'!$B$10,Paramètres!$A$1:$I$89,3,0)*0.475*44/12</f>
        <v>5.2466254048383994E-11</v>
      </c>
      <c r="AX99" s="21">
        <f t="shared" si="60"/>
        <v>11.730589179191828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304.99999999999983</v>
      </c>
      <c r="O100" s="13">
        <f>N100*VLOOKUP('Données projet'!$B$9,Paramètres!$A$1:$I$89,3,0)*VLOOKUP('Données projet'!$B$9,Paramètres!$A$1:$I$89,5,0)</f>
        <v>275.96399999999983</v>
      </c>
      <c r="P100" s="13">
        <f t="shared" si="87"/>
        <v>66.113366665488854</v>
      </c>
      <c r="Q100" s="20">
        <f t="shared" si="107"/>
        <v>595.78474694239264</v>
      </c>
      <c r="R100" s="59">
        <f t="shared" si="55"/>
        <v>872.33017322177545</v>
      </c>
      <c r="S100" s="59">
        <f ca="1">AVERAGE(OFFSET($R$3,0,0,'Données projet'!$E$9+1,1))-AVERAGE(OFFSET($H$3,0,0,'Données projet'!$E$9+1,1))</f>
        <v>376.51107072413777</v>
      </c>
      <c r="T100" s="59">
        <f t="shared" si="88"/>
        <v>532.90758914457615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0.42880082634726469</v>
      </c>
      <c r="AA100" s="21">
        <f>EXP(-LN(2)/25)*AA99+(1-EXP(-LN(2)/25))/(LN(2)/25)*Calculateur!V100*Calculateur!X100*VLOOKUP('Données projet'!$B$9,Paramètres!$A$1:$I$89,3,0)*0.475*44/12</f>
        <v>1.1520537347774085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1.5808545611246732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88.008749437127449</v>
      </c>
      <c r="AO100" s="59">
        <f t="shared" si="90"/>
        <v>258.40359226940507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10.2968586538812</v>
      </c>
      <c r="AV100" s="21">
        <f>EXP(-LN(2)/25)*AV99+(1-EXP(-LN(2)/25))/(LN(2)/25)*Calculateur!AQ100*Calculateur!AS100*VLOOKUP('Données projet'!$B$10,Paramètres!$A$1:$I$89,3,0)*0.475*44/12</f>
        <v>1.1942031595774487</v>
      </c>
      <c r="AW100" s="21">
        <f>EXP(-LN(2)/2)*AW99+(1-EXP(-LN(2)/2))/(LN(2)/2)*AQ100*AT100*VLOOKUP('Données projet'!$B$10,Paramètres!$A$1:$I$89,3,0)*0.475*44/12</f>
        <v>3.7099244021068474E-11</v>
      </c>
      <c r="AX100" s="21">
        <f t="shared" si="60"/>
        <v>11.491061813495747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304.99999999999983</v>
      </c>
      <c r="O101" s="13">
        <f>N101*VLOOKUP('Données projet'!$B$9,Paramètres!$A$1:$I$89,3,0)*VLOOKUP('Données projet'!$B$9,Paramètres!$A$1:$I$89,5,0)</f>
        <v>275.96399999999983</v>
      </c>
      <c r="P101" s="13">
        <f t="shared" si="87"/>
        <v>66.113366665488854</v>
      </c>
      <c r="Q101" s="20">
        <f t="shared" si="107"/>
        <v>595.78474694239264</v>
      </c>
      <c r="R101" s="59">
        <f t="shared" si="55"/>
        <v>872.62140587702402</v>
      </c>
      <c r="S101" s="59">
        <f ca="1">AVERAGE(OFFSET($R$3,0,0,'Données projet'!$E$9+1,1))-AVERAGE(OFFSET($H$3,0,0,'Données projet'!$E$9+1,1))</f>
        <v>376.51107072413777</v>
      </c>
      <c r="T101" s="59">
        <f t="shared" si="88"/>
        <v>532.90758914457615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0.42039230368527369</v>
      </c>
      <c r="AA101" s="21">
        <f>EXP(-LN(2)/25)*AA100+(1-EXP(-LN(2)/25))/(LN(2)/25)*Calculateur!V101*Calculateur!X101*VLOOKUP('Données projet'!$B$9,Paramètres!$A$1:$I$89,3,0)*0.475*44/12</f>
        <v>1.1205507648160473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1.540943068501321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88.008749437127449</v>
      </c>
      <c r="AO101" s="59">
        <f t="shared" si="90"/>
        <v>258.40359226940507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10.094943536142225</v>
      </c>
      <c r="AV101" s="21">
        <f>EXP(-LN(2)/25)*AV100+(1-EXP(-LN(2)/25))/(LN(2)/25)*Calculateur!AQ101*Calculateur!AS101*VLOOKUP('Données projet'!$B$10,Paramètres!$A$1:$I$89,3,0)*0.475*44/12</f>
        <v>1.1615476113783887</v>
      </c>
      <c r="AW101" s="21">
        <f>EXP(-LN(2)/2)*AW100+(1-EXP(-LN(2)/2))/(LN(2)/2)*AQ101*AT101*VLOOKUP('Données projet'!$B$10,Paramètres!$A$1:$I$89,3,0)*0.475*44/12</f>
        <v>2.6233127024191997E-11</v>
      </c>
      <c r="AX101" s="21">
        <f t="shared" si="60"/>
        <v>11.256491147546846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304.99999999999983</v>
      </c>
      <c r="O102" s="13">
        <f>N102*VLOOKUP('Données projet'!$B$9,Paramètres!$A$1:$I$89,3,0)*VLOOKUP('Données projet'!$B$9,Paramètres!$A$1:$I$89,5,0)</f>
        <v>275.96399999999983</v>
      </c>
      <c r="P102" s="13">
        <f t="shared" si="87"/>
        <v>66.113366665488854</v>
      </c>
      <c r="Q102" s="20">
        <f t="shared" si="107"/>
        <v>595.78474694239264</v>
      </c>
      <c r="R102" s="59">
        <f t="shared" si="55"/>
        <v>872.90758629680272</v>
      </c>
      <c r="S102" s="59">
        <f ca="1">AVERAGE(OFFSET($R$3,0,0,'Données projet'!$E$9+1,1))-AVERAGE(OFFSET($H$3,0,0,'Données projet'!$E$9+1,1))</f>
        <v>376.51107072413777</v>
      </c>
      <c r="T102" s="59">
        <f t="shared" si="88"/>
        <v>532.90758914457615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0.41214866702399194</v>
      </c>
      <c r="AA102" s="21">
        <f>EXP(-LN(2)/25)*AA101+(1-EXP(-LN(2)/25))/(LN(2)/25)*Calculateur!V102*Calculateur!X102*VLOOKUP('Données projet'!$B$9,Paramètres!$A$1:$I$89,3,0)*0.475*44/12</f>
        <v>1.0899092452249488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1.5020579122489408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88.008749437127449</v>
      </c>
      <c r="AO102" s="59">
        <f t="shared" si="90"/>
        <v>258.40359226940507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9.8969878507060489</v>
      </c>
      <c r="AV102" s="21">
        <f>EXP(-LN(2)/25)*AV101+(1-EXP(-LN(2)/25))/(LN(2)/25)*Calculateur!AQ102*Calculateur!AS102*VLOOKUP('Données projet'!$B$10,Paramètres!$A$1:$I$89,3,0)*0.475*44/12</f>
        <v>1.1297850308621125</v>
      </c>
      <c r="AW102" s="21">
        <f>EXP(-LN(2)/2)*AW101+(1-EXP(-LN(2)/2))/(LN(2)/2)*AQ102*AT102*VLOOKUP('Données projet'!$B$10,Paramètres!$A$1:$I$89,3,0)*0.475*44/12</f>
        <v>1.8549622010534237E-11</v>
      </c>
      <c r="AX102" s="21">
        <f t="shared" si="60"/>
        <v>11.026772881586712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304.99999999999983</v>
      </c>
      <c r="O103" s="13">
        <f>N103*VLOOKUP('Données projet'!$B$9,Paramètres!$A$1:$I$89,3,0)*VLOOKUP('Données projet'!$B$9,Paramètres!$A$1:$I$89,5,0)</f>
        <v>275.96399999999983</v>
      </c>
      <c r="P103" s="13">
        <f t="shared" si="87"/>
        <v>66.113366665488854</v>
      </c>
      <c r="Q103" s="20">
        <f t="shared" si="107"/>
        <v>595.78474694239264</v>
      </c>
      <c r="R103" s="59">
        <f t="shared" si="55"/>
        <v>873.18880212610179</v>
      </c>
      <c r="S103" s="59">
        <f ca="1">AVERAGE(OFFSET($R$3,0,0,'Données projet'!$E$9+1,1))-AVERAGE(OFFSET($H$3,0,0,'Données projet'!$E$9+1,1))</f>
        <v>376.51107072413777</v>
      </c>
      <c r="T103" s="59">
        <f t="shared" si="88"/>
        <v>532.90758914457615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0.40406668304951604</v>
      </c>
      <c r="AA103" s="21">
        <f>EXP(-LN(2)/25)*AA102+(1-EXP(-LN(2)/25))/(LN(2)/25)*Calculateur!V103*Calculateur!X103*VLOOKUP('Données projet'!$B$9,Paramètres!$A$1:$I$89,3,0)*0.475*44/12</f>
        <v>1.0601056195984364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1.4641723026479525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88.008749437127449</v>
      </c>
      <c r="AO103" s="59">
        <f t="shared" si="90"/>
        <v>258.40359226940507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9.7029139555202306</v>
      </c>
      <c r="AV103" s="21">
        <f>EXP(-LN(2)/25)*AV102+(1-EXP(-LN(2)/25))/(LN(2)/25)*Calculateur!AQ103*Calculateur!AS103*VLOOKUP('Données projet'!$B$10,Paramètres!$A$1:$I$89,3,0)*0.475*44/12</f>
        <v>1.0988909997803753</v>
      </c>
      <c r="AW103" s="21">
        <f>EXP(-LN(2)/2)*AW102+(1-EXP(-LN(2)/2))/(LN(2)/2)*AQ103*AT103*VLOOKUP('Données projet'!$B$10,Paramètres!$A$1:$I$89,3,0)*0.475*44/12</f>
        <v>1.3116563512095999E-11</v>
      </c>
      <c r="AX103" s="21">
        <f t="shared" si="60"/>
        <v>10.801804955313722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304.99999999999983</v>
      </c>
      <c r="O104" s="13">
        <f>N104*VLOOKUP('Données projet'!$B$9,Paramètres!$A$1:$I$89,3,0)*VLOOKUP('Données projet'!$B$9,Paramètres!$A$1:$I$89,5,0)</f>
        <v>275.96399999999983</v>
      </c>
      <c r="P104" s="13">
        <f t="shared" si="87"/>
        <v>66.113366665488854</v>
      </c>
      <c r="Q104" s="20">
        <f t="shared" si="107"/>
        <v>595.78474694239264</v>
      </c>
      <c r="R104" s="59">
        <f t="shared" si="55"/>
        <v>873.46513948946699</v>
      </c>
      <c r="S104" s="59">
        <f ca="1">AVERAGE(OFFSET($R$3,0,0,'Données projet'!$E$9+1,1))-AVERAGE(OFFSET($H$3,0,0,'Données projet'!$E$9+1,1))</f>
        <v>376.51107072413777</v>
      </c>
      <c r="T104" s="59">
        <f t="shared" si="88"/>
        <v>532.90758914457615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0.39614318185125613</v>
      </c>
      <c r="AA104" s="21">
        <f>EXP(-LN(2)/25)*AA103+(1-EXP(-LN(2)/25))/(LN(2)/25)*Calculateur!V104*Calculateur!X104*VLOOKUP('Données projet'!$B$9,Paramètres!$A$1:$I$89,3,0)*0.475*44/12</f>
        <v>1.0311169756819856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1.4272601575332418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88.008749437127449</v>
      </c>
      <c r="AO104" s="59">
        <f t="shared" si="90"/>
        <v>258.40359226940507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9.5126457310456196</v>
      </c>
      <c r="AV104" s="21">
        <f>EXP(-LN(2)/25)*AV103+(1-EXP(-LN(2)/25))/(LN(2)/25)*Calculateur!AQ104*Calculateur!AS104*VLOOKUP('Données projet'!$B$10,Paramètres!$A$1:$I$89,3,0)*0.475*44/12</f>
        <v>1.0688417676032147</v>
      </c>
      <c r="AW104" s="21">
        <f>EXP(-LN(2)/2)*AW103+(1-EXP(-LN(2)/2))/(LN(2)/2)*AQ104*AT104*VLOOKUP('Données projet'!$B$10,Paramètres!$A$1:$I$89,3,0)*0.475*44/12</f>
        <v>9.2748110052671185E-12</v>
      </c>
      <c r="AX104" s="21">
        <f t="shared" si="60"/>
        <v>10.581487498658108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304.99999999999983</v>
      </c>
      <c r="O105" s="13">
        <f>N105*VLOOKUP('Données projet'!$B$9,Paramètres!$A$1:$I$89,3,0)*VLOOKUP('Données projet'!$B$9,Paramètres!$A$1:$I$89,5,0)</f>
        <v>275.96399999999983</v>
      </c>
      <c r="P105" s="13">
        <f t="shared" si="87"/>
        <v>66.113366665488854</v>
      </c>
      <c r="Q105" s="20">
        <f t="shared" si="107"/>
        <v>595.78474694239264</v>
      </c>
      <c r="R105" s="59">
        <f t="shared" si="55"/>
        <v>873.73668301737553</v>
      </c>
      <c r="S105" s="59">
        <f ca="1">AVERAGE(OFFSET($R$3,0,0,'Données projet'!$E$9+1,1))-AVERAGE(OFFSET($H$3,0,0,'Données projet'!$E$9+1,1))</f>
        <v>376.51107072413777</v>
      </c>
      <c r="T105" s="59">
        <f t="shared" si="88"/>
        <v>532.90758914457615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0.38837505567863562</v>
      </c>
      <c r="AA105" s="21">
        <f>EXP(-LN(2)/25)*AA104+(1-EXP(-LN(2)/25))/(LN(2)/25)*Calculateur!V105*Calculateur!X105*VLOOKUP('Données projet'!$B$9,Paramètres!$A$1:$I$89,3,0)*0.475*44/12</f>
        <v>1.0029210277578766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1.3912960834365122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88.008749437127449</v>
      </c>
      <c r="AO105" s="59">
        <f t="shared" si="90"/>
        <v>258.40359226940507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9.3261085504007966</v>
      </c>
      <c r="AV105" s="21">
        <f>EXP(-LN(2)/25)*AV104+(1-EXP(-LN(2)/25))/(LN(2)/25)*Calculateur!AQ105*Calculateur!AS105*VLOOKUP('Données projet'!$B$10,Paramètres!$A$1:$I$89,3,0)*0.475*44/12</f>
        <v>1.039614233260159</v>
      </c>
      <c r="AW105" s="21">
        <f>EXP(-LN(2)/2)*AW104+(1-EXP(-LN(2)/2))/(LN(2)/2)*AQ105*AT105*VLOOKUP('Données projet'!$B$10,Paramètres!$A$1:$I$89,3,0)*0.475*44/12</f>
        <v>6.5582817560479993E-12</v>
      </c>
      <c r="AX105" s="21">
        <f t="shared" si="60"/>
        <v>10.365722783667515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304.99999999999983</v>
      </c>
      <c r="O106" s="13">
        <f>N106*VLOOKUP('Données projet'!$B$9,Paramètres!$A$1:$I$89,3,0)*VLOOKUP('Données projet'!$B$9,Paramètres!$A$1:$I$89,5,0)</f>
        <v>275.96399999999983</v>
      </c>
      <c r="P106" s="13">
        <f t="shared" si="87"/>
        <v>66.113366665488854</v>
      </c>
      <c r="Q106" s="20">
        <f t="shared" si="107"/>
        <v>595.78474694239264</v>
      </c>
      <c r="R106" s="59">
        <f t="shared" si="55"/>
        <v>874.00351587215528</v>
      </c>
      <c r="S106" s="59">
        <f ca="1">AVERAGE(OFFSET($R$3,0,0,'Données projet'!$E$9+1,1))-AVERAGE(OFFSET($H$3,0,0,'Données projet'!$E$9+1,1))</f>
        <v>376.51107072413777</v>
      </c>
      <c r="T106" s="59">
        <f t="shared" si="88"/>
        <v>532.90758914457615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0.38075925772217106</v>
      </c>
      <c r="AA106" s="21">
        <f>EXP(-LN(2)/25)*AA105+(1-EXP(-LN(2)/25))/(LN(2)/25)*Calculateur!V106*Calculateur!X106*VLOOKUP('Données projet'!$B$9,Paramètres!$A$1:$I$89,3,0)*0.475*44/12</f>
        <v>0.97549609951251282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1.3562553572346838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88.008749437127449</v>
      </c>
      <c r="AO106" s="59">
        <f t="shared" si="90"/>
        <v>258.40359226940507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9.1432292500919736</v>
      </c>
      <c r="AV106" s="21">
        <f>EXP(-LN(2)/25)*AV105+(1-EXP(-LN(2)/25))/(LN(2)/25)*Calculateur!AQ106*Calculateur!AS106*VLOOKUP('Données projet'!$B$10,Paramètres!$A$1:$I$89,3,0)*0.475*44/12</f>
        <v>1.0111859273807235</v>
      </c>
      <c r="AW106" s="21">
        <f>EXP(-LN(2)/2)*AW105+(1-EXP(-LN(2)/2))/(LN(2)/2)*AQ106*AT106*VLOOKUP('Données projet'!$B$10,Paramètres!$A$1:$I$89,3,0)*0.475*44/12</f>
        <v>4.6374055026335593E-12</v>
      </c>
      <c r="AX106" s="21">
        <f t="shared" si="60"/>
        <v>10.154415177477334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304.99999999999983</v>
      </c>
      <c r="O107" s="13">
        <f>N107*VLOOKUP('Données projet'!$B$9,Paramètres!$A$1:$I$89,3,0)*VLOOKUP('Données projet'!$B$9,Paramètres!$A$1:$I$89,5,0)</f>
        <v>275.96399999999983</v>
      </c>
      <c r="P107" s="13">
        <f t="shared" si="87"/>
        <v>66.113366665488854</v>
      </c>
      <c r="Q107" s="20">
        <f t="shared" si="107"/>
        <v>595.78474694239264</v>
      </c>
      <c r="R107" s="59">
        <f t="shared" si="55"/>
        <v>874.26571977345361</v>
      </c>
      <c r="S107" s="59">
        <f ca="1">AVERAGE(OFFSET($R$3,0,0,'Données projet'!$E$9+1,1))-AVERAGE(OFFSET($H$3,0,0,'Données projet'!$E$9+1,1))</f>
        <v>376.51107072413777</v>
      </c>
      <c r="T107" s="59">
        <f t="shared" si="88"/>
        <v>532.90758914457615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0.37329280091845468</v>
      </c>
      <c r="AA107" s="21">
        <f>EXP(-LN(2)/25)*AA106+(1-EXP(-LN(2)/25))/(LN(2)/25)*Calculateur!V107*Calculateur!X107*VLOOKUP('Données projet'!$B$9,Paramètres!$A$1:$I$89,3,0)*0.475*44/12</f>
        <v>0.9488211073722328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1.3221139082906874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88.008749437127449</v>
      </c>
      <c r="AO107" s="59">
        <f t="shared" si="90"/>
        <v>258.40359226940507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8.9639361013168468</v>
      </c>
      <c r="AV107" s="21">
        <f>EXP(-LN(2)/25)*AV106+(1-EXP(-LN(2)/25))/(LN(2)/25)*Calculateur!AQ107*Calculateur!AS107*VLOOKUP('Données projet'!$B$10,Paramètres!$A$1:$I$89,3,0)*0.475*44/12</f>
        <v>0.98353499502054087</v>
      </c>
      <c r="AW107" s="21">
        <f>EXP(-LN(2)/2)*AW106+(1-EXP(-LN(2)/2))/(LN(2)/2)*AQ107*AT107*VLOOKUP('Données projet'!$B$10,Paramètres!$A$1:$I$89,3,0)*0.475*44/12</f>
        <v>3.2791408780239997E-12</v>
      </c>
      <c r="AX107" s="21">
        <f t="shared" si="60"/>
        <v>9.9474710963406672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304.99999999999983</v>
      </c>
      <c r="O108" s="13">
        <f>N108*VLOOKUP('Données projet'!$B$9,Paramètres!$A$1:$I$89,3,0)*VLOOKUP('Données projet'!$B$9,Paramètres!$A$1:$I$89,5,0)</f>
        <v>275.96399999999983</v>
      </c>
      <c r="P108" s="13">
        <f t="shared" si="87"/>
        <v>66.113366665488854</v>
      </c>
      <c r="Q108" s="20">
        <f t="shared" si="107"/>
        <v>595.78474694239264</v>
      </c>
      <c r="R108" s="59">
        <f t="shared" si="55"/>
        <v>874.52337502326441</v>
      </c>
      <c r="S108" s="59">
        <f ca="1">AVERAGE(OFFSET($R$3,0,0,'Données projet'!$E$9+1,1))-AVERAGE(OFFSET($H$3,0,0,'Données projet'!$E$9+1,1))</f>
        <v>376.51107072413777</v>
      </c>
      <c r="T108" s="59">
        <f t="shared" si="88"/>
        <v>532.90758914457615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0.36597275677857022</v>
      </c>
      <c r="AA108" s="21">
        <f>EXP(-LN(2)/25)*AA107+(1-EXP(-LN(2)/25))/(LN(2)/25)*Calculateur!V108*Calculateur!X108*VLOOKUP('Données projet'!$B$9,Paramètres!$A$1:$I$89,3,0)*0.475*44/12</f>
        <v>0.92287554429480556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1.2888483010733758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88.008749437127449</v>
      </c>
      <c r="AO108" s="59">
        <f t="shared" si="90"/>
        <v>258.40359226940507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8.7881587818311786</v>
      </c>
      <c r="AV108" s="21">
        <f>EXP(-LN(2)/25)*AV107+(1-EXP(-LN(2)/25))/(LN(2)/25)*Calculateur!AQ108*Calculateur!AS108*VLOOKUP('Données projet'!$B$10,Paramètres!$A$1:$I$89,3,0)*0.475*44/12</f>
        <v>0.95664017885984665</v>
      </c>
      <c r="AW108" s="21">
        <f>EXP(-LN(2)/2)*AW107+(1-EXP(-LN(2)/2))/(LN(2)/2)*AQ108*AT108*VLOOKUP('Données projet'!$B$10,Paramètres!$A$1:$I$89,3,0)*0.475*44/12</f>
        <v>2.3187027513167796E-12</v>
      </c>
      <c r="AX108" s="21">
        <f t="shared" si="60"/>
        <v>9.7447989606933429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304.99999999999983</v>
      </c>
      <c r="O109" s="13">
        <f>N109*VLOOKUP('Données projet'!$B$9,Paramètres!$A$1:$I$89,3,0)*VLOOKUP('Données projet'!$B$9,Paramètres!$A$1:$I$89,5,0)</f>
        <v>275.96399999999983</v>
      </c>
      <c r="P109" s="13">
        <f t="shared" si="87"/>
        <v>66.113366665488854</v>
      </c>
      <c r="Q109" s="20">
        <f t="shared" si="107"/>
        <v>595.78474694239264</v>
      </c>
      <c r="R109" s="59">
        <f t="shared" si="55"/>
        <v>874.77656053052169</v>
      </c>
      <c r="S109" s="59">
        <f ca="1">AVERAGE(OFFSET($R$3,0,0,'Données projet'!$E$9+1,1))-AVERAGE(OFFSET($H$3,0,0,'Données projet'!$E$9+1,1))</f>
        <v>376.51107072413777</v>
      </c>
      <c r="T109" s="59">
        <f t="shared" si="88"/>
        <v>532.90758914457615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0.3587962542394828</v>
      </c>
      <c r="AA109" s="21">
        <f>EXP(-LN(2)/25)*AA108+(1-EXP(-LN(2)/25))/(LN(2)/25)*Calculateur!V109*Calculateur!X109*VLOOKUP('Données projet'!$B$9,Paramètres!$A$1:$I$89,3,0)*0.475*44/12</f>
        <v>0.89763946400414851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1.2564357182436314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88.008749437127449</v>
      </c>
      <c r="AO109" s="59">
        <f t="shared" si="90"/>
        <v>258.40359226940507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8.6158283483670459</v>
      </c>
      <c r="AV109" s="21">
        <f>EXP(-LN(2)/25)*AV108+(1-EXP(-LN(2)/25))/(LN(2)/25)*Calculateur!AQ109*Calculateur!AS109*VLOOKUP('Données projet'!$B$10,Paramètres!$A$1:$I$89,3,0)*0.475*44/12</f>
        <v>0.93048080286140356</v>
      </c>
      <c r="AW109" s="21">
        <f>EXP(-LN(2)/2)*AW108+(1-EXP(-LN(2)/2))/(LN(2)/2)*AQ109*AT109*VLOOKUP('Données projet'!$B$10,Paramètres!$A$1:$I$89,3,0)*0.475*44/12</f>
        <v>1.6395704390119998E-12</v>
      </c>
      <c r="AX109" s="21">
        <f t="shared" si="60"/>
        <v>9.5463091512300888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304.99999999999983</v>
      </c>
      <c r="O110" s="13">
        <f>N110*VLOOKUP('Données projet'!$B$9,Paramètres!$A$1:$I$89,3,0)*VLOOKUP('Données projet'!$B$9,Paramètres!$A$1:$I$89,5,0)</f>
        <v>275.96399999999983</v>
      </c>
      <c r="P110" s="13">
        <f t="shared" si="87"/>
        <v>66.113366665488854</v>
      </c>
      <c r="Q110" s="20">
        <f t="shared" si="107"/>
        <v>595.78474694239264</v>
      </c>
      <c r="R110" s="59">
        <f t="shared" si="55"/>
        <v>875.02535383526629</v>
      </c>
      <c r="S110" s="59">
        <f ca="1">AVERAGE(OFFSET($R$3,0,0,'Données projet'!$E$9+1,1))-AVERAGE(OFFSET($H$3,0,0,'Données projet'!$E$9+1,1))</f>
        <v>376.51107072413777</v>
      </c>
      <c r="T110" s="59">
        <f t="shared" si="88"/>
        <v>532.90758914457615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0.35176047853795256</v>
      </c>
      <c r="AA110" s="21">
        <f>EXP(-LN(2)/25)*AA109+(1-EXP(-LN(2)/25))/(LN(2)/25)*Calculateur!V110*Calculateur!X110*VLOOKUP('Données projet'!$B$9,Paramètres!$A$1:$I$89,3,0)*0.475*44/12</f>
        <v>0.87309346565614721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1.2248539441940998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88.008749437127449</v>
      </c>
      <c r="AO110" s="59">
        <f t="shared" si="90"/>
        <v>258.40359226940507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8.4468772095919586</v>
      </c>
      <c r="AV110" s="21">
        <f>EXP(-LN(2)/25)*AV109+(1-EXP(-LN(2)/25))/(LN(2)/25)*Calculateur!AQ110*Calculateur!AS110*VLOOKUP('Données projet'!$B$10,Paramètres!$A$1:$I$89,3,0)*0.475*44/12</f>
        <v>0.90503675637529968</v>
      </c>
      <c r="AW110" s="21">
        <f>EXP(-LN(2)/2)*AW109+(1-EXP(-LN(2)/2))/(LN(2)/2)*AQ110*AT110*VLOOKUP('Données projet'!$B$10,Paramètres!$A$1:$I$89,3,0)*0.475*44/12</f>
        <v>1.1593513756583898E-12</v>
      </c>
      <c r="AX110" s="21">
        <f t="shared" si="60"/>
        <v>9.3519139659684178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304.99999999999983</v>
      </c>
      <c r="O111" s="13">
        <f>N111*VLOOKUP('Données projet'!$B$9,Paramètres!$A$1:$I$89,3,0)*VLOOKUP('Données projet'!$B$9,Paramètres!$A$1:$I$89,5,0)</f>
        <v>275.96399999999983</v>
      </c>
      <c r="P111" s="13">
        <f t="shared" si="87"/>
        <v>66.113366665488854</v>
      </c>
      <c r="Q111" s="20">
        <f t="shared" si="107"/>
        <v>595.78474694239264</v>
      </c>
      <c r="R111" s="59">
        <f t="shared" si="55"/>
        <v>875.26983113239203</v>
      </c>
      <c r="S111" s="59">
        <f ca="1">AVERAGE(OFFSET($R$3,0,0,'Données projet'!$E$9+1,1))-AVERAGE(OFFSET($H$3,0,0,'Données projet'!$E$9+1,1))</f>
        <v>376.51107072413777</v>
      </c>
      <c r="T111" s="59">
        <f t="shared" si="88"/>
        <v>532.90758914457615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0.34486267010652988</v>
      </c>
      <c r="AA111" s="21">
        <f>EXP(-LN(2)/25)*AA110+(1-EXP(-LN(2)/25))/(LN(2)/25)*Calculateur!V111*Calculateur!X111*VLOOKUP('Données projet'!$B$9,Paramètres!$A$1:$I$89,3,0)*0.475*44/12</f>
        <v>0.84921867892378999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1.1940813490303199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88.008749437127449</v>
      </c>
      <c r="AO111" s="59">
        <f t="shared" si="90"/>
        <v>258.40359226940507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8.2812390995982312</v>
      </c>
      <c r="AV111" s="21">
        <f>EXP(-LN(2)/25)*AV110+(1-EXP(-LN(2)/25))/(LN(2)/25)*Calculateur!AQ111*Calculateur!AS111*VLOOKUP('Données projet'!$B$10,Paramètres!$A$1:$I$89,3,0)*0.475*44/12</f>
        <v>0.88028847867840254</v>
      </c>
      <c r="AW111" s="21">
        <f>EXP(-LN(2)/2)*AW110+(1-EXP(-LN(2)/2))/(LN(2)/2)*AQ111*AT111*VLOOKUP('Données projet'!$B$10,Paramètres!$A$1:$I$89,3,0)*0.475*44/12</f>
        <v>8.1978521950599991E-13</v>
      </c>
      <c r="AX111" s="21">
        <f t="shared" si="60"/>
        <v>9.1615275782774521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304.99999999999983</v>
      </c>
      <c r="O112" s="13">
        <f>N112*VLOOKUP('Données projet'!$B$9,Paramètres!$A$1:$I$89,3,0)*VLOOKUP('Données projet'!$B$9,Paramètres!$A$1:$I$89,5,0)</f>
        <v>275.96399999999983</v>
      </c>
      <c r="P112" s="13">
        <f t="shared" si="87"/>
        <v>66.113366665488854</v>
      </c>
      <c r="Q112" s="20">
        <f t="shared" si="107"/>
        <v>595.78474694239264</v>
      </c>
      <c r="R112" s="59">
        <f t="shared" si="55"/>
        <v>875.51006729498192</v>
      </c>
      <c r="S112" s="59">
        <f ca="1">AVERAGE(OFFSET($R$3,0,0,'Données projet'!$E$9+1,1))-AVERAGE(OFFSET($H$3,0,0,'Données projet'!$E$9+1,1))</f>
        <v>376.51107072413777</v>
      </c>
      <c r="T112" s="59">
        <f t="shared" si="88"/>
        <v>532.90758914457615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0.33810012349119972</v>
      </c>
      <c r="AA112" s="21">
        <f>EXP(-LN(2)/25)*AA111+(1-EXP(-LN(2)/25))/(LN(2)/25)*Calculateur!V112*Calculateur!X112*VLOOKUP('Données projet'!$B$9,Paramètres!$A$1:$I$89,3,0)*0.475*44/12</f>
        <v>0.82599674949014956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1.1640968729813492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88.008749437127449</v>
      </c>
      <c r="AO112" s="59">
        <f t="shared" si="90"/>
        <v>258.40359226940507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8.1188490519122105</v>
      </c>
      <c r="AV112" s="21">
        <f>EXP(-LN(2)/25)*AV111+(1-EXP(-LN(2)/25))/(LN(2)/25)*Calculateur!AQ112*Calculateur!AS112*VLOOKUP('Données projet'!$B$10,Paramètres!$A$1:$I$89,3,0)*0.475*44/12</f>
        <v>0.85621694393658243</v>
      </c>
      <c r="AW112" s="21">
        <f>EXP(-LN(2)/2)*AW111+(1-EXP(-LN(2)/2))/(LN(2)/2)*AQ112*AT112*VLOOKUP('Données projet'!$B$10,Paramètres!$A$1:$I$89,3,0)*0.475*44/12</f>
        <v>5.7967568782919491E-13</v>
      </c>
      <c r="AX112" s="21">
        <f t="shared" si="60"/>
        <v>8.9750659958493717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304.99999999999983</v>
      </c>
      <c r="O113" s="13">
        <f>N113*VLOOKUP('Données projet'!$B$9,Paramètres!$A$1:$I$89,3,0)*VLOOKUP('Données projet'!$B$9,Paramètres!$A$1:$I$89,5,0)</f>
        <v>275.96399999999983</v>
      </c>
      <c r="P113" s="13">
        <f t="shared" si="87"/>
        <v>66.113366665488854</v>
      </c>
      <c r="Q113" s="20">
        <f t="shared" si="107"/>
        <v>595.78474694239264</v>
      </c>
      <c r="R113" s="59">
        <f t="shared" si="55"/>
        <v>875.74613589723845</v>
      </c>
      <c r="S113" s="59">
        <f ca="1">AVERAGE(OFFSET($R$3,0,0,'Données projet'!$E$9+1,1))-AVERAGE(OFFSET($H$3,0,0,'Données projet'!$E$9+1,1))</f>
        <v>376.51107072413777</v>
      </c>
      <c r="T113" s="59">
        <f t="shared" si="88"/>
        <v>532.90758914457615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0.33147018629025005</v>
      </c>
      <c r="AA113" s="21">
        <f>EXP(-LN(2)/25)*AA112+(1-EXP(-LN(2)/25))/(LN(2)/25)*Calculateur!V113*Calculateur!X113*VLOOKUP('Données projet'!$B$9,Paramètres!$A$1:$I$89,3,0)*0.475*44/12</f>
        <v>0.80340982493806024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1.1348800112283102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88.008749437127449</v>
      </c>
      <c r="AO113" s="59">
        <f t="shared" si="90"/>
        <v>258.40359226940507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7.9596433740131634</v>
      </c>
      <c r="AV113" s="21">
        <f>EXP(-LN(2)/25)*AV112+(1-EXP(-LN(2)/25))/(LN(2)/25)*Calculateur!AQ113*Calculateur!AS113*VLOOKUP('Données projet'!$B$10,Paramètres!$A$1:$I$89,3,0)*0.475*44/12</f>
        <v>0.83280364657814443</v>
      </c>
      <c r="AW113" s="21">
        <f>EXP(-LN(2)/2)*AW112+(1-EXP(-LN(2)/2))/(LN(2)/2)*AQ113*AT113*VLOOKUP('Données projet'!$B$10,Paramètres!$A$1:$I$89,3,0)*0.475*44/12</f>
        <v>4.0989260975299996E-13</v>
      </c>
      <c r="AX113" s="21">
        <f t="shared" si="60"/>
        <v>8.7924470205917178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304.99999999999983</v>
      </c>
      <c r="O114" s="13">
        <f>N114*VLOOKUP('Données projet'!$B$9,Paramètres!$A$1:$I$89,3,0)*VLOOKUP('Données projet'!$B$9,Paramètres!$A$1:$I$89,5,0)</f>
        <v>275.96399999999983</v>
      </c>
      <c r="P114" s="13">
        <f t="shared" si="87"/>
        <v>66.113366665488854</v>
      </c>
      <c r="Q114" s="20">
        <f t="shared" si="107"/>
        <v>595.78474694239264</v>
      </c>
      <c r="R114" s="59">
        <f t="shared" si="55"/>
        <v>875.97810923701627</v>
      </c>
      <c r="S114" s="59">
        <f ca="1">AVERAGE(OFFSET($R$3,0,0,'Données projet'!$E$9+1,1))-AVERAGE(OFFSET($H$3,0,0,'Données projet'!$E$9+1,1))</f>
        <v>376.51107072413777</v>
      </c>
      <c r="T114" s="59">
        <f t="shared" si="88"/>
        <v>532.90758914457615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0.32497025811394858</v>
      </c>
      <c r="AA114" s="21">
        <f>EXP(-LN(2)/25)*AA113+(1-EXP(-LN(2)/25))/(LN(2)/25)*Calculateur!V114*Calculateur!X114*VLOOKUP('Données projet'!$B$9,Paramètres!$A$1:$I$89,3,0)*0.475*44/12</f>
        <v>0.78144054102564253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1.1064107991395911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88.008749437127449</v>
      </c>
      <c r="AO114" s="59">
        <f t="shared" si="90"/>
        <v>258.40359226940507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7.8035596223518411</v>
      </c>
      <c r="AV114" s="21">
        <f>EXP(-LN(2)/25)*AV113+(1-EXP(-LN(2)/25))/(LN(2)/25)*Calculateur!AQ114*Calculateur!AS114*VLOOKUP('Données projet'!$B$10,Paramètres!$A$1:$I$89,3,0)*0.475*44/12</f>
        <v>0.81003058706722475</v>
      </c>
      <c r="AW114" s="21">
        <f>EXP(-LN(2)/2)*AW113+(1-EXP(-LN(2)/2))/(LN(2)/2)*AQ114*AT114*VLOOKUP('Données projet'!$B$10,Paramètres!$A$1:$I$89,3,0)*0.475*44/12</f>
        <v>2.8983784391459745E-13</v>
      </c>
      <c r="AX114" s="21">
        <f t="shared" si="60"/>
        <v>8.613590209419355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304.99999999999983</v>
      </c>
      <c r="O115" s="13">
        <f>N115*VLOOKUP('Données projet'!$B$9,Paramètres!$A$1:$I$89,3,0)*VLOOKUP('Données projet'!$B$9,Paramètres!$A$1:$I$89,5,0)</f>
        <v>275.96399999999983</v>
      </c>
      <c r="P115" s="13">
        <f t="shared" si="87"/>
        <v>66.113366665488854</v>
      </c>
      <c r="Q115" s="20">
        <f t="shared" si="107"/>
        <v>595.78474694239264</v>
      </c>
      <c r="R115" s="59">
        <f t="shared" si="55"/>
        <v>876.20605835796346</v>
      </c>
      <c r="S115" s="59">
        <f ca="1">AVERAGE(OFFSET($R$3,0,0,'Données projet'!$E$9+1,1))-AVERAGE(OFFSET($H$3,0,0,'Données projet'!$E$9+1,1))</f>
        <v>376.51107072413777</v>
      </c>
      <c r="T115" s="59">
        <f t="shared" si="88"/>
        <v>532.90758914457615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0.31859778956461965</v>
      </c>
      <c r="AA115" s="21">
        <f>EXP(-LN(2)/25)*AA114+(1-EXP(-LN(2)/25))/(LN(2)/25)*Calculateur!V115*Calculateur!X115*VLOOKUP('Données projet'!$B$9,Paramètres!$A$1:$I$89,3,0)*0.475*44/12</f>
        <v>0.76007200833712429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1.0786697979017439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88.008749437127449</v>
      </c>
      <c r="AO115" s="59">
        <f t="shared" si="90"/>
        <v>258.40359226940507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7.6505365778589098</v>
      </c>
      <c r="AV115" s="21">
        <f>EXP(-LN(2)/25)*AV114+(1-EXP(-LN(2)/25))/(LN(2)/25)*Calculateur!AQ115*Calculateur!AS115*VLOOKUP('Données projet'!$B$10,Paramètres!$A$1:$I$89,3,0)*0.475*44/12</f>
        <v>0.78788025806621431</v>
      </c>
      <c r="AW115" s="21">
        <f>EXP(-LN(2)/2)*AW114+(1-EXP(-LN(2)/2))/(LN(2)/2)*AQ115*AT115*VLOOKUP('Données projet'!$B$10,Paramètres!$A$1:$I$89,3,0)*0.475*44/12</f>
        <v>2.0494630487649998E-13</v>
      </c>
      <c r="AX115" s="21">
        <f t="shared" si="60"/>
        <v>8.4384168359253291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304.99999999999983</v>
      </c>
      <c r="O116" s="13">
        <f>N116*VLOOKUP('Données projet'!$B$9,Paramètres!$A$1:$I$89,3,0)*VLOOKUP('Données projet'!$B$9,Paramètres!$A$1:$I$89,5,0)</f>
        <v>275.96399999999983</v>
      </c>
      <c r="P116" s="13">
        <f t="shared" si="87"/>
        <v>66.113366665488854</v>
      </c>
      <c r="Q116" s="20">
        <f t="shared" si="107"/>
        <v>595.78474694239264</v>
      </c>
      <c r="R116" s="59">
        <f t="shared" si="55"/>
        <v>876.43005307128033</v>
      </c>
      <c r="S116" s="59">
        <f ca="1">AVERAGE(OFFSET($R$3,0,0,'Données projet'!$E$9+1,1))-AVERAGE(OFFSET($H$3,0,0,'Données projet'!$E$9+1,1))</f>
        <v>376.51107072413777</v>
      </c>
      <c r="T116" s="59">
        <f t="shared" si="88"/>
        <v>532.90758914457615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0.31235028123672104</v>
      </c>
      <c r="AA116" s="21">
        <f>EXP(-LN(2)/25)*AA115+(1-EXP(-LN(2)/25))/(LN(2)/25)*Calculateur!V116*Calculateur!X116*VLOOKUP('Données projet'!$B$9,Paramètres!$A$1:$I$89,3,0)*0.475*44/12</f>
        <v>0.73928779929869592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1.0516380805354171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88.008749437127449</v>
      </c>
      <c r="AO116" s="59">
        <f t="shared" si="90"/>
        <v>258.40359226940507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7.5005142219336438</v>
      </c>
      <c r="AV116" s="21">
        <f>EXP(-LN(2)/25)*AV115+(1-EXP(-LN(2)/25))/(LN(2)/25)*Calculateur!AQ116*Calculateur!AS116*VLOOKUP('Données projet'!$B$10,Paramètres!$A$1:$I$89,3,0)*0.475*44/12</f>
        <v>0.76633563097657165</v>
      </c>
      <c r="AW116" s="21">
        <f>EXP(-LN(2)/2)*AW115+(1-EXP(-LN(2)/2))/(LN(2)/2)*AQ116*AT116*VLOOKUP('Données projet'!$B$10,Paramètres!$A$1:$I$89,3,0)*0.475*44/12</f>
        <v>1.4491892195729873E-13</v>
      </c>
      <c r="AX116" s="21">
        <f t="shared" si="60"/>
        <v>8.2668498529103616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304.99999999999983</v>
      </c>
      <c r="O117" s="13">
        <f>N117*VLOOKUP('Données projet'!$B$9,Paramètres!$A$1:$I$89,3,0)*VLOOKUP('Données projet'!$B$9,Paramètres!$A$1:$I$89,5,0)</f>
        <v>275.96399999999983</v>
      </c>
      <c r="P117" s="13">
        <f t="shared" si="87"/>
        <v>66.113366665488854</v>
      </c>
      <c r="Q117" s="20">
        <f t="shared" si="107"/>
        <v>595.78474694239264</v>
      </c>
      <c r="R117" s="59">
        <f t="shared" si="55"/>
        <v>876.65016197709815</v>
      </c>
      <c r="S117" s="59">
        <f ca="1">AVERAGE(OFFSET($R$3,0,0,'Données projet'!$E$9+1,1))-AVERAGE(OFFSET($H$3,0,0,'Données projet'!$E$9+1,1))</f>
        <v>376.51107072413777</v>
      </c>
      <c r="T117" s="59">
        <f t="shared" si="88"/>
        <v>532.90758914457615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0.30622528273652871</v>
      </c>
      <c r="AA117" s="21">
        <f>EXP(-LN(2)/25)*AA116+(1-EXP(-LN(2)/25))/(LN(2)/25)*Calculateur!V117*Calculateur!X117*VLOOKUP('Données projet'!$B$9,Paramètres!$A$1:$I$89,3,0)*0.475*44/12</f>
        <v>0.7190719355494174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1.0252972182859461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88.008749437127449</v>
      </c>
      <c r="AO117" s="59">
        <f t="shared" si="90"/>
        <v>258.40359226940507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7.3534337129034704</v>
      </c>
      <c r="AV117" s="21">
        <f>EXP(-LN(2)/25)*AV116+(1-EXP(-LN(2)/25))/(LN(2)/25)*Calculateur!AQ117*Calculateur!AS117*VLOOKUP('Données projet'!$B$10,Paramètres!$A$1:$I$89,3,0)*0.475*44/12</f>
        <v>0.74538014284767795</v>
      </c>
      <c r="AW117" s="21">
        <f>EXP(-LN(2)/2)*AW116+(1-EXP(-LN(2)/2))/(LN(2)/2)*AQ117*AT117*VLOOKUP('Données projet'!$B$10,Paramètres!$A$1:$I$89,3,0)*0.475*44/12</f>
        <v>1.0247315243824999E-13</v>
      </c>
      <c r="AX117" s="21">
        <f t="shared" si="60"/>
        <v>8.098813855751251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304.99999999999983</v>
      </c>
      <c r="O118" s="13">
        <f>N118*VLOOKUP('Données projet'!$B$9,Paramètres!$A$1:$I$89,3,0)*VLOOKUP('Données projet'!$B$9,Paramètres!$A$1:$I$89,5,0)</f>
        <v>275.96399999999983</v>
      </c>
      <c r="P118" s="13">
        <f t="shared" si="87"/>
        <v>66.113366665488854</v>
      </c>
      <c r="Q118" s="20">
        <f t="shared" si="107"/>
        <v>595.78474694239264</v>
      </c>
      <c r="R118" s="59">
        <f t="shared" si="55"/>
        <v>876.86645248548984</v>
      </c>
      <c r="S118" s="59">
        <f ca="1">AVERAGE(OFFSET($R$3,0,0,'Données projet'!$E$9+1,1))-AVERAGE(OFFSET($H$3,0,0,'Données projet'!$E$9+1,1))</f>
        <v>376.51107072413777</v>
      </c>
      <c r="T118" s="59">
        <f t="shared" si="88"/>
        <v>532.90758914457615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0.30022039172104498</v>
      </c>
      <c r="AA118" s="21">
        <f>EXP(-LN(2)/25)*AA117+(1-EXP(-LN(2)/25))/(LN(2)/25)*Calculateur!V118*Calculateur!X118*VLOOKUP('Données projet'!$B$9,Paramètres!$A$1:$I$89,3,0)*0.475*44/12</f>
        <v>0.6994088756574689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0.99962926737851387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88.008749437127449</v>
      </c>
      <c r="AO118" s="59">
        <f t="shared" si="90"/>
        <v>258.40359226940507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7.2092373629451263</v>
      </c>
      <c r="AV118" s="21">
        <f>EXP(-LN(2)/25)*AV117+(1-EXP(-LN(2)/25))/(LN(2)/25)*Calculateur!AQ118*Calculateur!AS118*VLOOKUP('Données projet'!$B$10,Paramètres!$A$1:$I$89,3,0)*0.475*44/12</f>
        <v>0.72499768364367012</v>
      </c>
      <c r="AW118" s="21">
        <f>EXP(-LN(2)/2)*AW117+(1-EXP(-LN(2)/2))/(LN(2)/2)*AQ118*AT118*VLOOKUP('Données projet'!$B$10,Paramètres!$A$1:$I$89,3,0)*0.475*44/12</f>
        <v>7.2459460978649363E-14</v>
      </c>
      <c r="AX118" s="21">
        <f t="shared" si="60"/>
        <v>7.9342350465888689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304.99999999999983</v>
      </c>
      <c r="O119" s="13">
        <f>N119*VLOOKUP('Données projet'!$B$9,Paramètres!$A$1:$I$89,3,0)*VLOOKUP('Données projet'!$B$9,Paramètres!$A$1:$I$89,5,0)</f>
        <v>275.96399999999983</v>
      </c>
      <c r="P119" s="13">
        <f t="shared" si="87"/>
        <v>66.113366665488854</v>
      </c>
      <c r="Q119" s="20">
        <f t="shared" si="107"/>
        <v>595.78474694239264</v>
      </c>
      <c r="R119" s="59">
        <f t="shared" si="55"/>
        <v>877.07899083711413</v>
      </c>
      <c r="S119" s="59">
        <f ca="1">AVERAGE(OFFSET($R$3,0,0,'Données projet'!$E$9+1,1))-AVERAGE(OFFSET($H$3,0,0,'Données projet'!$E$9+1,1))</f>
        <v>376.51107072413777</v>
      </c>
      <c r="T119" s="59">
        <f t="shared" si="88"/>
        <v>532.90758914457615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0.29433325295575302</v>
      </c>
      <c r="AA119" s="21">
        <f>EXP(-LN(2)/25)*AA118+(1-EXP(-LN(2)/25))/(LN(2)/25)*Calculateur!V119*Calculateur!X119*VLOOKUP('Données projet'!$B$9,Paramètres!$A$1:$I$89,3,0)*0.475*44/12</f>
        <v>0.68028350317230113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0.9746167561280541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88.008749437127449</v>
      </c>
      <c r="AO119" s="59">
        <f t="shared" si="90"/>
        <v>258.40359226940507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7.0678686154583765</v>
      </c>
      <c r="AV119" s="21">
        <f>EXP(-LN(2)/25)*AV118+(1-EXP(-LN(2)/25))/(LN(2)/25)*Calculateur!AQ119*Calculateur!AS119*VLOOKUP('Données projet'!$B$10,Paramètres!$A$1:$I$89,3,0)*0.475*44/12</f>
        <v>0.70517258385846282</v>
      </c>
      <c r="AW119" s="21">
        <f>EXP(-LN(2)/2)*AW118+(1-EXP(-LN(2)/2))/(LN(2)/2)*AQ119*AT119*VLOOKUP('Données projet'!$B$10,Paramètres!$A$1:$I$89,3,0)*0.475*44/12</f>
        <v>5.1236576219124995E-14</v>
      </c>
      <c r="AX119" s="21">
        <f t="shared" si="60"/>
        <v>7.7730411993168911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304.99999999999983</v>
      </c>
      <c r="O120" s="13">
        <f>N120*VLOOKUP('Données projet'!$B$9,Paramètres!$A$1:$I$89,3,0)*VLOOKUP('Données projet'!$B$9,Paramètres!$A$1:$I$89,5,0)</f>
        <v>275.96399999999983</v>
      </c>
      <c r="P120" s="13">
        <f t="shared" si="87"/>
        <v>66.113366665488854</v>
      </c>
      <c r="Q120" s="20">
        <f t="shared" si="107"/>
        <v>595.78474694239264</v>
      </c>
      <c r="R120" s="59">
        <f t="shared" si="55"/>
        <v>877.28784212350229</v>
      </c>
      <c r="S120" s="59">
        <f ca="1">AVERAGE(OFFSET($R$3,0,0,'Données projet'!$E$9+1,1))-AVERAGE(OFFSET($H$3,0,0,'Données projet'!$E$9+1,1))</f>
        <v>376.51107072413777</v>
      </c>
      <c r="T120" s="59">
        <f t="shared" si="88"/>
        <v>532.90758914457615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0.28856155739084832</v>
      </c>
      <c r="AA120" s="21">
        <f>EXP(-LN(2)/25)*AA119+(1-EXP(-LN(2)/25))/(LN(2)/25)*Calculateur!V120*Calculateur!X120*VLOOKUP('Données projet'!$B$9,Paramètres!$A$1:$I$89,3,0)*0.475*44/12</f>
        <v>0.66168111500349991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0.95024267239434823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88.008749437127449</v>
      </c>
      <c r="AO120" s="59">
        <f t="shared" si="90"/>
        <v>258.40359226940507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6.9292720228834197</v>
      </c>
      <c r="AV120" s="21">
        <f>EXP(-LN(2)/25)*AV119+(1-EXP(-LN(2)/25))/(LN(2)/25)*Calculateur!AQ120*Calculateur!AS120*VLOOKUP('Données projet'!$B$10,Paramètres!$A$1:$I$89,3,0)*0.475*44/12</f>
        <v>0.68588960246943864</v>
      </c>
      <c r="AW120" s="21">
        <f>EXP(-LN(2)/2)*AW119+(1-EXP(-LN(2)/2))/(LN(2)/2)*AQ120*AT120*VLOOKUP('Données projet'!$B$10,Paramètres!$A$1:$I$89,3,0)*0.475*44/12</f>
        <v>3.6229730489324682E-14</v>
      </c>
      <c r="AX120" s="21">
        <f t="shared" si="60"/>
        <v>7.6151616253528944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304.99999999999983</v>
      </c>
      <c r="O121" s="13">
        <f>N121*VLOOKUP('Données projet'!$B$9,Paramètres!$A$1:$I$89,3,0)*VLOOKUP('Données projet'!$B$9,Paramètres!$A$1:$I$89,5,0)</f>
        <v>275.96399999999983</v>
      </c>
      <c r="P121" s="13">
        <f t="shared" si="87"/>
        <v>66.113366665488854</v>
      </c>
      <c r="Q121" s="20">
        <f t="shared" si="107"/>
        <v>595.78474694239264</v>
      </c>
      <c r="R121" s="59">
        <f t="shared" si="55"/>
        <v>877.4930703069931</v>
      </c>
      <c r="S121" s="59">
        <f ca="1">AVERAGE(OFFSET($R$3,0,0,'Données projet'!$E$9+1,1))-AVERAGE(OFFSET($H$3,0,0,'Données projet'!$E$9+1,1))</f>
        <v>376.51107072413777</v>
      </c>
      <c r="T121" s="59">
        <f t="shared" si="88"/>
        <v>532.90758914457615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0.28290304125558474</v>
      </c>
      <c r="AA121" s="21">
        <f>EXP(-LN(2)/25)*AA120+(1-EXP(-LN(2)/25))/(LN(2)/25)*Calculateur!V121*Calculateur!X121*VLOOKUP('Données projet'!$B$9,Paramètres!$A$1:$I$89,3,0)*0.475*44/12</f>
        <v>0.6435874101174317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0.92649045137301644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88.008749437127449</v>
      </c>
      <c r="AO121" s="59">
        <f t="shared" si="90"/>
        <v>258.40359226940507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6.7933932249532836</v>
      </c>
      <c r="AV121" s="21">
        <f>EXP(-LN(2)/25)*AV120+(1-EXP(-LN(2)/25))/(LN(2)/25)*Calculateur!AQ121*Calculateur!AS121*VLOOKUP('Données projet'!$B$10,Paramètres!$A$1:$I$89,3,0)*0.475*44/12</f>
        <v>0.66713391522054521</v>
      </c>
      <c r="AW121" s="21">
        <f>EXP(-LN(2)/2)*AW120+(1-EXP(-LN(2)/2))/(LN(2)/2)*AQ121*AT121*VLOOKUP('Données projet'!$B$10,Paramètres!$A$1:$I$89,3,0)*0.475*44/12</f>
        <v>2.5618288109562497E-14</v>
      </c>
      <c r="AX121" s="21">
        <f t="shared" si="60"/>
        <v>7.4605271401738547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304.99999999999983</v>
      </c>
      <c r="O122" s="13">
        <f>N122*VLOOKUP('Données projet'!$B$9,Paramètres!$A$1:$I$89,3,0)*VLOOKUP('Données projet'!$B$9,Paramètres!$A$1:$I$89,5,0)</f>
        <v>275.96399999999983</v>
      </c>
      <c r="P122" s="13">
        <f t="shared" si="87"/>
        <v>66.113366665488854</v>
      </c>
      <c r="Q122" s="20">
        <f t="shared" si="107"/>
        <v>595.78474694239264</v>
      </c>
      <c r="R122" s="59">
        <f t="shared" si="55"/>
        <v>877.69473824032184</v>
      </c>
      <c r="S122" s="59">
        <f ca="1">AVERAGE(OFFSET($R$3,0,0,'Données projet'!$E$9+1,1))-AVERAGE(OFFSET($H$3,0,0,'Données projet'!$E$9+1,1))</f>
        <v>376.51107072413777</v>
      </c>
      <c r="T122" s="59">
        <f t="shared" si="88"/>
        <v>532.90758914457615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0.27735548517037961</v>
      </c>
      <c r="AA122" s="21">
        <f>EXP(-LN(2)/25)*AA121+(1-EXP(-LN(2)/25))/(LN(2)/25)*Calculateur!V122*Calculateur!X122*VLOOKUP('Données projet'!$B$9,Paramètres!$A$1:$I$89,3,0)*0.475*44/12</f>
        <v>0.62598847854297957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0.90334396371335912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88.008749437127449</v>
      </c>
      <c r="AO122" s="59">
        <f t="shared" si="90"/>
        <v>258.40359226940507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6.6601789273726739</v>
      </c>
      <c r="AV122" s="21">
        <f>EXP(-LN(2)/25)*AV121+(1-EXP(-LN(2)/25))/(LN(2)/25)*Calculateur!AQ122*Calculateur!AS122*VLOOKUP('Données projet'!$B$10,Paramètres!$A$1:$I$89,3,0)*0.475*44/12</f>
        <v>0.64889110322579158</v>
      </c>
      <c r="AW122" s="21">
        <f>EXP(-LN(2)/2)*AW121+(1-EXP(-LN(2)/2))/(LN(2)/2)*AQ122*AT122*VLOOKUP('Données projet'!$B$10,Paramètres!$A$1:$I$89,3,0)*0.475*44/12</f>
        <v>1.8114865244662341E-14</v>
      </c>
      <c r="AX122" s="21">
        <f t="shared" si="60"/>
        <v>7.309070030598483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304.99999999999983</v>
      </c>
      <c r="O123" s="13">
        <f>N123*VLOOKUP('Données projet'!$B$9,Paramètres!$A$1:$I$89,3,0)*VLOOKUP('Données projet'!$B$9,Paramètres!$A$1:$I$89,5,0)</f>
        <v>275.96399999999983</v>
      </c>
      <c r="P123" s="13">
        <f t="shared" si="87"/>
        <v>66.113366665488854</v>
      </c>
      <c r="Q123" s="20">
        <f t="shared" si="107"/>
        <v>595.78474694239264</v>
      </c>
      <c r="R123" s="59">
        <f t="shared" si="55"/>
        <v>877.8929076858692</v>
      </c>
      <c r="S123" s="59">
        <f ca="1">AVERAGE(OFFSET($R$3,0,0,'Données projet'!$E$9+1,1))-AVERAGE(OFFSET($H$3,0,0,'Données projet'!$E$9+1,1))</f>
        <v>376.51107072413777</v>
      </c>
      <c r="T123" s="59">
        <f t="shared" si="88"/>
        <v>532.90758914457615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0.27191671327633027</v>
      </c>
      <c r="AA123" s="21">
        <f>EXP(-LN(2)/25)*AA122+(1-EXP(-LN(2)/25))/(LN(2)/25)*Calculateur!V123*Calculateur!X123*VLOOKUP('Données projet'!$B$9,Paramètres!$A$1:$I$89,3,0)*0.475*44/12</f>
        <v>0.60887079067791838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0.88078750395424865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88.008749437127449</v>
      </c>
      <c r="AO123" s="59">
        <f t="shared" si="90"/>
        <v>258.40359226940507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6.5295768809149219</v>
      </c>
      <c r="AV123" s="21">
        <f>EXP(-LN(2)/25)*AV122+(1-EXP(-LN(2)/25))/(LN(2)/25)*Calculateur!AQ123*Calculateur!AS123*VLOOKUP('Données projet'!$B$10,Paramètres!$A$1:$I$89,3,0)*0.475*44/12</f>
        <v>0.63114714188438226</v>
      </c>
      <c r="AW123" s="21">
        <f>EXP(-LN(2)/2)*AW122+(1-EXP(-LN(2)/2))/(LN(2)/2)*AQ123*AT123*VLOOKUP('Données projet'!$B$10,Paramètres!$A$1:$I$89,3,0)*0.475*44/12</f>
        <v>1.2809144054781249E-14</v>
      </c>
      <c r="AX123" s="21">
        <f t="shared" si="60"/>
        <v>7.1607240227993163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304.99999999999983</v>
      </c>
      <c r="O124" s="13">
        <f>N124*VLOOKUP('Données projet'!$B$9,Paramètres!$A$1:$I$89,3,0)*VLOOKUP('Données projet'!$B$9,Paramètres!$A$1:$I$89,5,0)</f>
        <v>275.96399999999983</v>
      </c>
      <c r="P124" s="13">
        <f t="shared" si="87"/>
        <v>66.113366665488854</v>
      </c>
      <c r="Q124" s="20">
        <f t="shared" si="107"/>
        <v>595.78474694239264</v>
      </c>
      <c r="R124" s="59">
        <f t="shared" si="55"/>
        <v>878.08763933457703</v>
      </c>
      <c r="S124" s="59">
        <f ca="1">AVERAGE(OFFSET($R$3,0,0,'Données projet'!$E$9+1,1))-AVERAGE(OFFSET($H$3,0,0,'Données projet'!$E$9+1,1))</f>
        <v>376.51107072413777</v>
      </c>
      <c r="T124" s="59">
        <f t="shared" si="88"/>
        <v>532.90758914457615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0.26658459238179993</v>
      </c>
      <c r="AA124" s="21">
        <f>EXP(-LN(2)/25)*AA123+(1-EXP(-LN(2)/25))/(LN(2)/25)*Calculateur!V124*Calculateur!X124*VLOOKUP('Données projet'!$B$9,Paramètres!$A$1:$I$89,3,0)*0.475*44/12</f>
        <v>0.59222118688770742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0.85880577926950741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88.008749437127449</v>
      </c>
      <c r="AO124" s="59">
        <f t="shared" si="90"/>
        <v>258.40359226940507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6.4015358609288242</v>
      </c>
      <c r="AV124" s="21">
        <f>EXP(-LN(2)/25)*AV123+(1-EXP(-LN(2)/25))/(LN(2)/25)*Calculateur!AQ124*Calculateur!AS124*VLOOKUP('Données projet'!$B$10,Paramètres!$A$1:$I$89,3,0)*0.475*44/12</f>
        <v>0.61388839009896812</v>
      </c>
      <c r="AW124" s="21">
        <f>EXP(-LN(2)/2)*AW123+(1-EXP(-LN(2)/2))/(LN(2)/2)*AQ124*AT124*VLOOKUP('Données projet'!$B$10,Paramètres!$A$1:$I$89,3,0)*0.475*44/12</f>
        <v>9.0574326223311704E-15</v>
      </c>
      <c r="AX124" s="21">
        <f t="shared" si="60"/>
        <v>7.0154242510278015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304.99999999999983</v>
      </c>
      <c r="O125" s="13">
        <f>N125*VLOOKUP('Données projet'!$B$9,Paramètres!$A$1:$I$89,3,0)*VLOOKUP('Données projet'!$B$9,Paramètres!$A$1:$I$89,5,0)</f>
        <v>275.96399999999983</v>
      </c>
      <c r="P125" s="13">
        <f t="shared" si="87"/>
        <v>66.113366665488854</v>
      </c>
      <c r="Q125" s="20">
        <f t="shared" si="107"/>
        <v>595.78474694239264</v>
      </c>
      <c r="R125" s="59">
        <f t="shared" si="55"/>
        <v>878.2789928245345</v>
      </c>
      <c r="S125" s="59">
        <f ca="1">AVERAGE(OFFSET($R$3,0,0,'Données projet'!$E$9+1,1))-AVERAGE(OFFSET($H$3,0,0,'Données projet'!$E$9+1,1))</f>
        <v>376.51107072413777</v>
      </c>
      <c r="T125" s="59">
        <f t="shared" si="88"/>
        <v>532.90758914457615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0.26135703112573871</v>
      </c>
      <c r="AA125" s="21">
        <f>EXP(-LN(2)/25)*AA124+(1-EXP(-LN(2)/25))/(LN(2)/25)*Calculateur!V125*Calculateur!X125*VLOOKUP('Données projet'!$B$9,Paramètres!$A$1:$I$89,3,0)*0.475*44/12</f>
        <v>0.57602686738870434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0.83738389851444306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88.008749437127449</v>
      </c>
      <c r="AO125" s="59">
        <f t="shared" si="90"/>
        <v>258.40359226940507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6.2760056472473424</v>
      </c>
      <c r="AV125" s="21">
        <f>EXP(-LN(2)/25)*AV124+(1-EXP(-LN(2)/25))/(LN(2)/25)*Calculateur!AQ125*Calculateur!AS125*VLOOKUP('Données projet'!$B$10,Paramètres!$A$1:$I$89,3,0)*0.475*44/12</f>
        <v>0.59710157978872447</v>
      </c>
      <c r="AW125" s="21">
        <f>EXP(-LN(2)/2)*AW124+(1-EXP(-LN(2)/2))/(LN(2)/2)*AQ125*AT125*VLOOKUP('Données projet'!$B$10,Paramètres!$A$1:$I$89,3,0)*0.475*44/12</f>
        <v>6.4045720273906243E-15</v>
      </c>
      <c r="AX125" s="21">
        <f t="shared" si="60"/>
        <v>6.8731072270360736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304.99999999999983</v>
      </c>
      <c r="O126" s="13">
        <f>N126*VLOOKUP('Données projet'!$B$9,Paramètres!$A$1:$I$89,3,0)*VLOOKUP('Données projet'!$B$9,Paramètres!$A$1:$I$89,5,0)</f>
        <v>275.96399999999983</v>
      </c>
      <c r="P126" s="13">
        <f t="shared" si="87"/>
        <v>66.113366665488854</v>
      </c>
      <c r="Q126" s="20">
        <f t="shared" si="107"/>
        <v>595.78474694239264</v>
      </c>
      <c r="R126" s="59">
        <f t="shared" si="55"/>
        <v>878.46702675924325</v>
      </c>
      <c r="S126" s="59">
        <f ca="1">AVERAGE(OFFSET($R$3,0,0,'Données projet'!$E$9+1,1))-AVERAGE(OFFSET($H$3,0,0,'Données projet'!$E$9+1,1))</f>
        <v>376.51107072413777</v>
      </c>
      <c r="T126" s="59">
        <f t="shared" si="88"/>
        <v>532.90758914457615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0.25623197915741136</v>
      </c>
      <c r="AA126" s="21">
        <f>EXP(-LN(2)/25)*AA125+(1-EXP(-LN(2)/25))/(LN(2)/25)*Calculateur!V126*Calculateur!X126*VLOOKUP('Données projet'!$B$9,Paramètres!$A$1:$I$89,3,0)*0.475*44/12</f>
        <v>0.56027538240802377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0.81650736156543513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88.008749437127449</v>
      </c>
      <c r="AO126" s="59">
        <f t="shared" si="90"/>
        <v>258.40359226940507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6.1529370044902851</v>
      </c>
      <c r="AV126" s="21">
        <f>EXP(-LN(2)/25)*AV125+(1-EXP(-LN(2)/25))/(LN(2)/25)*Calculateur!AQ126*Calculateur!AS126*VLOOKUP('Données projet'!$B$10,Paramètres!$A$1:$I$89,3,0)*0.475*44/12</f>
        <v>0.58077380568919446</v>
      </c>
      <c r="AW126" s="21">
        <f>EXP(-LN(2)/2)*AW125+(1-EXP(-LN(2)/2))/(LN(2)/2)*AQ126*AT126*VLOOKUP('Données projet'!$B$10,Paramètres!$A$1:$I$89,3,0)*0.475*44/12</f>
        <v>4.5287163111655852E-15</v>
      </c>
      <c r="AX126" s="21">
        <f t="shared" si="60"/>
        <v>6.7337108101794838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304.99999999999983</v>
      </c>
      <c r="O127" s="13">
        <f>N127*VLOOKUP('Données projet'!$B$9,Paramètres!$A$1:$I$89,3,0)*VLOOKUP('Données projet'!$B$9,Paramètres!$A$1:$I$89,5,0)</f>
        <v>275.96399999999983</v>
      </c>
      <c r="P127" s="13">
        <f t="shared" si="87"/>
        <v>66.113366665488854</v>
      </c>
      <c r="Q127" s="20">
        <f t="shared" si="107"/>
        <v>595.78474694239264</v>
      </c>
      <c r="R127" s="59">
        <f t="shared" si="55"/>
        <v>878.65179872556598</v>
      </c>
      <c r="S127" s="59">
        <f ca="1">AVERAGE(OFFSET($R$3,0,0,'Données projet'!$E$9+1,1))-AVERAGE(OFFSET($H$3,0,0,'Données projet'!$E$9+1,1))</f>
        <v>376.51107072413777</v>
      </c>
      <c r="T127" s="59">
        <f t="shared" si="88"/>
        <v>532.90758914457615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0.25120742633220983</v>
      </c>
      <c r="AA127" s="21">
        <f>EXP(-LN(2)/25)*AA126+(1-EXP(-LN(2)/25))/(LN(2)/25)*Calculateur!V127*Calculateur!X127*VLOOKUP('Données projet'!$B$9,Paramètres!$A$1:$I$89,3,0)*0.475*44/12</f>
        <v>0.54495462261247452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0.79616204894468434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88.008749437127449</v>
      </c>
      <c r="AO127" s="59">
        <f t="shared" si="90"/>
        <v>258.40359226940507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6.032281662753233</v>
      </c>
      <c r="AV127" s="21">
        <f>EXP(-LN(2)/25)*AV126+(1-EXP(-LN(2)/25))/(LN(2)/25)*Calculateur!AQ127*Calculateur!AS127*VLOOKUP('Données projet'!$B$10,Paramètres!$A$1:$I$89,3,0)*0.475*44/12</f>
        <v>0.56489251543105634</v>
      </c>
      <c r="AW127" s="21">
        <f>EXP(-LN(2)/2)*AW126+(1-EXP(-LN(2)/2))/(LN(2)/2)*AQ127*AT127*VLOOKUP('Données projet'!$B$10,Paramètres!$A$1:$I$89,3,0)*0.475*44/12</f>
        <v>3.2022860136953122E-15</v>
      </c>
      <c r="AX127" s="21">
        <f t="shared" si="60"/>
        <v>6.597174178184293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304.99999999999983</v>
      </c>
      <c r="O128" s="13">
        <f>N128*VLOOKUP('Données projet'!$B$9,Paramètres!$A$1:$I$89,3,0)*VLOOKUP('Données projet'!$B$9,Paramètres!$A$1:$I$89,5,0)</f>
        <v>275.96399999999983</v>
      </c>
      <c r="P128" s="13">
        <f t="shared" si="87"/>
        <v>66.113366665488854</v>
      </c>
      <c r="Q128" s="20">
        <f t="shared" si="107"/>
        <v>595.78474694239264</v>
      </c>
      <c r="R128" s="59">
        <f t="shared" si="55"/>
        <v>878.83336531136115</v>
      </c>
      <c r="S128" s="59">
        <f ca="1">AVERAGE(OFFSET($R$3,0,0,'Données projet'!$E$9+1,1))-AVERAGE(OFFSET($H$3,0,0,'Données projet'!$E$9+1,1))</f>
        <v>376.51107072413777</v>
      </c>
      <c r="T128" s="59">
        <f t="shared" si="88"/>
        <v>532.90758914457615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0.24628140192323589</v>
      </c>
      <c r="AA128" s="21">
        <f>EXP(-LN(2)/25)*AA127+(1-EXP(-LN(2)/25))/(LN(2)/25)*Calculateur!V128*Calculateur!X128*VLOOKUP('Données projet'!$B$9,Paramètres!$A$1:$I$89,3,0)*0.475*44/12</f>
        <v>0.53005280979921832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0.7763342117224542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88.008749437127449</v>
      </c>
      <c r="AO128" s="59">
        <f t="shared" si="90"/>
        <v>258.40359226940507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5.9139922986751525</v>
      </c>
      <c r="AV128" s="21">
        <f>EXP(-LN(2)/25)*AV127+(1-EXP(-LN(2)/25))/(LN(2)/25)*Calculateur!AQ128*Calculateur!AS128*VLOOKUP('Données projet'!$B$10,Paramètres!$A$1:$I$89,3,0)*0.475*44/12</f>
        <v>0.54944549989018776</v>
      </c>
      <c r="AW128" s="21">
        <f>EXP(-LN(2)/2)*AW127+(1-EXP(-LN(2)/2))/(LN(2)/2)*AQ128*AT128*VLOOKUP('Données projet'!$B$10,Paramètres!$A$1:$I$89,3,0)*0.475*44/12</f>
        <v>2.2643581555827926E-15</v>
      </c>
      <c r="AX128" s="21">
        <f t="shared" si="60"/>
        <v>6.4634377985653426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304.99999999999983</v>
      </c>
      <c r="O129" s="13">
        <f>N129*VLOOKUP('Données projet'!$B$9,Paramètres!$A$1:$I$89,3,0)*VLOOKUP('Données projet'!$B$9,Paramètres!$A$1:$I$89,5,0)</f>
        <v>275.96399999999983</v>
      </c>
      <c r="P129" s="13">
        <f t="shared" si="87"/>
        <v>66.113366665488854</v>
      </c>
      <c r="Q129" s="20">
        <f t="shared" si="107"/>
        <v>595.78474694239264</v>
      </c>
      <c r="R129" s="59">
        <f t="shared" si="55"/>
        <v>879.01178212281479</v>
      </c>
      <c r="S129" s="59">
        <f ca="1">AVERAGE(OFFSET($R$3,0,0,'Données projet'!$E$9+1,1))-AVERAGE(OFFSET($H$3,0,0,'Données projet'!$E$9+1,1))</f>
        <v>376.51107072413777</v>
      </c>
      <c r="T129" s="59">
        <f t="shared" si="88"/>
        <v>532.90758914457615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0.24145197384834372</v>
      </c>
      <c r="AA129" s="21">
        <f>EXP(-LN(2)/25)*AA128+(1-EXP(-LN(2)/25))/(LN(2)/25)*Calculateur!V129*Calculateur!X129*VLOOKUP('Données projet'!$B$9,Paramètres!$A$1:$I$89,3,0)*0.475*44/12</f>
        <v>0.5155584878409929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0.75701046168933661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88.008749437127449</v>
      </c>
      <c r="AO129" s="59">
        <f t="shared" si="90"/>
        <v>258.40359226940507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5.7980225168772552</v>
      </c>
      <c r="AV129" s="21">
        <f>EXP(-LN(2)/25)*AV128+(1-EXP(-LN(2)/25))/(LN(2)/25)*Calculateur!AQ129*Calculateur!AS129*VLOOKUP('Données projet'!$B$10,Paramètres!$A$1:$I$89,3,0)*0.475*44/12</f>
        <v>0.53442088380160746</v>
      </c>
      <c r="AW129" s="21">
        <f>EXP(-LN(2)/2)*AW128+(1-EXP(-LN(2)/2))/(LN(2)/2)*AQ129*AT129*VLOOKUP('Données projet'!$B$10,Paramètres!$A$1:$I$89,3,0)*0.475*44/12</f>
        <v>1.6011430068476561E-15</v>
      </c>
      <c r="AX129" s="21">
        <f t="shared" si="60"/>
        <v>6.3324434006788648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304.99999999999983</v>
      </c>
      <c r="O130" s="13">
        <f>N130*VLOOKUP('Données projet'!$B$9,Paramètres!$A$1:$I$89,3,0)*VLOOKUP('Données projet'!$B$9,Paramètres!$A$1:$I$89,5,0)</f>
        <v>275.96399999999983</v>
      </c>
      <c r="P130" s="13">
        <f t="shared" si="87"/>
        <v>66.113366665488854</v>
      </c>
      <c r="Q130" s="20">
        <f t="shared" si="107"/>
        <v>595.78474694239264</v>
      </c>
      <c r="R130" s="59">
        <f t="shared" si="55"/>
        <v>879.18710380147013</v>
      </c>
      <c r="S130" s="59">
        <f ca="1">AVERAGE(OFFSET($R$3,0,0,'Données projet'!$E$9+1,1))-AVERAGE(OFFSET($H$3,0,0,'Données projet'!$E$9+1,1))</f>
        <v>376.51107072413777</v>
      </c>
      <c r="T130" s="59">
        <f t="shared" si="88"/>
        <v>532.90758914457615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0.23671724791233992</v>
      </c>
      <c r="AA130" s="21">
        <f>EXP(-LN(2)/25)*AA129+(1-EXP(-LN(2)/25))/(LN(2)/25)*Calculateur!V130*Calculateur!X130*VLOOKUP('Données projet'!$B$9,Paramètres!$A$1:$I$89,3,0)*0.475*44/12</f>
        <v>0.50146051387893842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0.73817776179127836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88.008749437127449</v>
      </c>
      <c r="AO130" s="59">
        <f t="shared" si="90"/>
        <v>258.40359226940507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5.6843268317658326</v>
      </c>
      <c r="AV130" s="21">
        <f>EXP(-LN(2)/25)*AV129+(1-EXP(-LN(2)/25))/(LN(2)/25)*Calculateur!AQ130*Calculateur!AS130*VLOOKUP('Données projet'!$B$10,Paramètres!$A$1:$I$89,3,0)*0.475*44/12</f>
        <v>0.51980711663007961</v>
      </c>
      <c r="AW130" s="21">
        <f>EXP(-LN(2)/2)*AW129+(1-EXP(-LN(2)/2))/(LN(2)/2)*AQ130*AT130*VLOOKUP('Données projet'!$B$10,Paramètres!$A$1:$I$89,3,0)*0.475*44/12</f>
        <v>1.1321790777913963E-15</v>
      </c>
      <c r="AX130" s="21">
        <f t="shared" si="60"/>
        <v>6.2041339483959135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304.99999999999983</v>
      </c>
      <c r="O131" s="13">
        <f>N131*VLOOKUP('Données projet'!$B$9,Paramètres!$A$1:$I$89,3,0)*VLOOKUP('Données projet'!$B$9,Paramètres!$A$1:$I$89,5,0)</f>
        <v>275.96399999999983</v>
      </c>
      <c r="P131" s="13">
        <f t="shared" si="87"/>
        <v>66.113366665488854</v>
      </c>
      <c r="Q131" s="20">
        <f t="shared" ref="Q131:Q153" si="108">(O131+P131)*0.475*44/12</f>
        <v>595.78474694239264</v>
      </c>
      <c r="R131" s="59">
        <f t="shared" ref="R131:R194" si="109">Q131+(I131+J131)*44/12</f>
        <v>879.35938404096123</v>
      </c>
      <c r="S131" s="59">
        <f ca="1">AVERAGE(OFFSET($R$3,0,0,'Données projet'!$E$9+1,1))-AVERAGE(OFFSET($H$3,0,0,'Données projet'!$E$9+1,1))</f>
        <v>376.51107072413777</v>
      </c>
      <c r="T131" s="59">
        <f t="shared" si="88"/>
        <v>532.90758914457615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0.2320753670640435</v>
      </c>
      <c r="AA131" s="21">
        <f>EXP(-LN(2)/25)*AA130+(1-EXP(-LN(2)/25))/(LN(2)/25)*Calculateur!V131*Calculateur!X131*VLOOKUP('Données projet'!$B$9,Paramètres!$A$1:$I$89,3,0)*0.475*44/12</f>
        <v>0.48774804975625652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0.71982341682030004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88.008749437127449</v>
      </c>
      <c r="AO131" s="59">
        <f t="shared" si="90"/>
        <v>258.40359226940507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5.5728606496919246</v>
      </c>
      <c r="AV131" s="21">
        <f>EXP(-LN(2)/25)*AV130+(1-EXP(-LN(2)/25))/(LN(2)/25)*Calculateur!AQ131*Calculateur!AS131*VLOOKUP('Données projet'!$B$10,Paramètres!$A$1:$I$89,3,0)*0.475*44/12</f>
        <v>0.50559296369036189</v>
      </c>
      <c r="AW131" s="21">
        <f>EXP(-LN(2)/2)*AW130+(1-EXP(-LN(2)/2))/(LN(2)/2)*AQ131*AT131*VLOOKUP('Données projet'!$B$10,Paramètres!$A$1:$I$89,3,0)*0.475*44/12</f>
        <v>8.0057150342382804E-16</v>
      </c>
      <c r="AX131" s="21">
        <f t="shared" si="60"/>
        <v>6.0784536133822877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304.99999999999983</v>
      </c>
      <c r="O132" s="13">
        <f>N132*VLOOKUP('Données projet'!$B$9,Paramètres!$A$1:$I$89,3,0)*VLOOKUP('Données projet'!$B$9,Paramètres!$A$1:$I$89,5,0)</f>
        <v>275.96399999999983</v>
      </c>
      <c r="P132" s="13">
        <f t="shared" si="87"/>
        <v>66.113366665488854</v>
      </c>
      <c r="Q132" s="20">
        <f t="shared" si="108"/>
        <v>595.78474694239264</v>
      </c>
      <c r="R132" s="59">
        <f t="shared" si="109"/>
        <v>879.52867560345794</v>
      </c>
      <c r="S132" s="59">
        <f ca="1">AVERAGE(OFFSET($R$3,0,0,'Données projet'!$E$9+1,1))-AVERAGE(OFFSET($H$3,0,0,'Données projet'!$E$9+1,1))</f>
        <v>376.51107072413777</v>
      </c>
      <c r="T132" s="59">
        <f t="shared" si="88"/>
        <v>532.90758914457615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0.2275245106679144</v>
      </c>
      <c r="AA132" s="21">
        <f>EXP(-LN(2)/25)*AA131+(1-EXP(-LN(2)/25))/(LN(2)/25)*Calculateur!V132*Calculateur!X132*VLOOKUP('Données projet'!$B$9,Paramètres!$A$1:$I$89,3,0)*0.475*44/12</f>
        <v>0.47441055368611651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0.70193506435403097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88.008749437127449</v>
      </c>
      <c r="AO132" s="59">
        <f t="shared" si="90"/>
        <v>258.40359226940507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5.4635802514608285</v>
      </c>
      <c r="AV132" s="21">
        <f>EXP(-LN(2)/25)*AV131+(1-EXP(-LN(2)/25))/(LN(2)/25)*Calculateur!AQ132*Calculateur!AS132*VLOOKUP('Données projet'!$B$10,Paramètres!$A$1:$I$89,3,0)*0.475*44/12</f>
        <v>0.49176749751027055</v>
      </c>
      <c r="AW132" s="21">
        <f>EXP(-LN(2)/2)*AW131+(1-EXP(-LN(2)/2))/(LN(2)/2)*AQ132*AT132*VLOOKUP('Données projet'!$B$10,Paramètres!$A$1:$I$89,3,0)*0.475*44/12</f>
        <v>5.6608953889569815E-16</v>
      </c>
      <c r="AX132" s="21">
        <f t="shared" ref="AX132:AX153" si="114">SUM(AU132:AW132)</f>
        <v>5.9553477489711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304.99999999999983</v>
      </c>
      <c r="O133" s="13">
        <f>N133*VLOOKUP('Données projet'!$B$9,Paramètres!$A$1:$I$89,3,0)*VLOOKUP('Données projet'!$B$9,Paramètres!$A$1:$I$89,5,0)</f>
        <v>275.96399999999983</v>
      </c>
      <c r="P133" s="13">
        <f t="shared" ref="P133:P196" si="141">EXP(-1.0587+0.8836*LN(O133)+0.284)</f>
        <v>66.113366665488854</v>
      </c>
      <c r="Q133" s="20">
        <f t="shared" si="108"/>
        <v>595.78474694239264</v>
      </c>
      <c r="R133" s="59">
        <f t="shared" si="109"/>
        <v>879.69503033582475</v>
      </c>
      <c r="S133" s="59">
        <f ca="1">AVERAGE(OFFSET($R$3,0,0,'Données projet'!$E$9+1,1))-AVERAGE(OFFSET($H$3,0,0,'Données projet'!$E$9+1,1))</f>
        <v>376.51107072413777</v>
      </c>
      <c r="T133" s="59">
        <f t="shared" ref="T133:T196" si="142">$T$3</f>
        <v>532.90758914457615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0.22306289378996511</v>
      </c>
      <c r="AA133" s="21">
        <f>EXP(-LN(2)/25)*AA132+(1-EXP(-LN(2)/25))/(LN(2)/25)*Calculateur!V133*Calculateur!X133*VLOOKUP('Données projet'!$B$9,Paramètres!$A$1:$I$89,3,0)*0.475*44/12</f>
        <v>0.46143777214740289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0.68450066593736802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88.008749437127449</v>
      </c>
      <c r="AO133" s="59">
        <f t="shared" ref="AO133:AO196" si="144">$AO$3</f>
        <v>258.40359226940507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5.3564427751845827</v>
      </c>
      <c r="AV133" s="21">
        <f>EXP(-LN(2)/25)*AV132+(1-EXP(-LN(2)/25))/(LN(2)/25)*Calculateur!AQ133*Calculateur!AS133*VLOOKUP('Données projet'!$B$10,Paramètres!$A$1:$I$89,3,0)*0.475*44/12</f>
        <v>0.47832008942992343</v>
      </c>
      <c r="AW133" s="21">
        <f>EXP(-LN(2)/2)*AW132+(1-EXP(-LN(2)/2))/(LN(2)/2)*AQ133*AT133*VLOOKUP('Données projet'!$B$10,Paramètres!$A$1:$I$89,3,0)*0.475*44/12</f>
        <v>4.0028575171191402E-16</v>
      </c>
      <c r="AX133" s="21">
        <f t="shared" si="114"/>
        <v>5.8347628646145058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304.99999999999983</v>
      </c>
      <c r="O134" s="13">
        <f>N134*VLOOKUP('Données projet'!$B$9,Paramètres!$A$1:$I$89,3,0)*VLOOKUP('Données projet'!$B$9,Paramètres!$A$1:$I$89,5,0)</f>
        <v>275.96399999999983</v>
      </c>
      <c r="P134" s="13">
        <f t="shared" si="141"/>
        <v>66.113366665488854</v>
      </c>
      <c r="Q134" s="20">
        <f t="shared" si="108"/>
        <v>595.78474694239264</v>
      </c>
      <c r="R134" s="59">
        <f t="shared" si="109"/>
        <v>879.85849918549843</v>
      </c>
      <c r="S134" s="59">
        <f ca="1">AVERAGE(OFFSET($R$3,0,0,'Données projet'!$E$9+1,1))-AVERAGE(OFFSET($H$3,0,0,'Données projet'!$E$9+1,1))</f>
        <v>376.51107072413777</v>
      </c>
      <c r="T134" s="59">
        <f t="shared" si="142"/>
        <v>532.90758914457615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0.2186887664976748</v>
      </c>
      <c r="AA134" s="21">
        <f>EXP(-LN(2)/25)*AA133+(1-EXP(-LN(2)/25))/(LN(2)/25)*Calculateur!V134*Calculateur!X134*VLOOKUP('Données projet'!$B$9,Paramètres!$A$1:$I$89,3,0)*0.475*44/12</f>
        <v>0.44881973200207437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0.66750849849974914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88.008749437127449</v>
      </c>
      <c r="AO134" s="59">
        <f t="shared" si="144"/>
        <v>258.40359226940507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5.251406199470706</v>
      </c>
      <c r="AV134" s="21">
        <f>EXP(-LN(2)/25)*AV133+(1-EXP(-LN(2)/25))/(LN(2)/25)*Calculateur!AQ134*Calculateur!AS134*VLOOKUP('Données projet'!$B$10,Paramètres!$A$1:$I$89,3,0)*0.475*44/12</f>
        <v>0.46524040143070189</v>
      </c>
      <c r="AW134" s="21">
        <f>EXP(-LN(2)/2)*AW133+(1-EXP(-LN(2)/2))/(LN(2)/2)*AQ134*AT134*VLOOKUP('Données projet'!$B$10,Paramètres!$A$1:$I$89,3,0)*0.475*44/12</f>
        <v>2.8304476944784908E-16</v>
      </c>
      <c r="AX134" s="21">
        <f t="shared" si="114"/>
        <v>5.7166466009014076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304.99999999999983</v>
      </c>
      <c r="O135" s="13">
        <f>N135*VLOOKUP('Données projet'!$B$9,Paramètres!$A$1:$I$89,3,0)*VLOOKUP('Données projet'!$B$9,Paramètres!$A$1:$I$89,5,0)</f>
        <v>275.96399999999983</v>
      </c>
      <c r="P135" s="13">
        <f t="shared" si="141"/>
        <v>66.113366665488854</v>
      </c>
      <c r="Q135" s="20">
        <f t="shared" si="108"/>
        <v>595.78474694239264</v>
      </c>
      <c r="R135" s="59">
        <f t="shared" si="109"/>
        <v>880.01913221609175</v>
      </c>
      <c r="S135" s="59">
        <f ca="1">AVERAGE(OFFSET($R$3,0,0,'Données projet'!$E$9+1,1))-AVERAGE(OFFSET($H$3,0,0,'Données projet'!$E$9+1,1))</f>
        <v>376.51107072413777</v>
      </c>
      <c r="T135" s="59">
        <f t="shared" si="142"/>
        <v>532.90758914457615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0.21440041317363209</v>
      </c>
      <c r="AA135" s="21">
        <f>EXP(-LN(2)/25)*AA134+(1-EXP(-LN(2)/25))/(LN(2)/25)*Calculateur!V135*Calculateur!X135*VLOOKUP('Données projet'!$B$9,Paramètres!$A$1:$I$89,3,0)*0.475*44/12</f>
        <v>0.43654673282807371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0.65094714600170578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88.008749437127449</v>
      </c>
      <c r="AO135" s="59">
        <f t="shared" si="144"/>
        <v>258.40359226940507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5.148429326940593</v>
      </c>
      <c r="AV135" s="21">
        <f>EXP(-LN(2)/25)*AV134+(1-EXP(-LN(2)/25))/(LN(2)/25)*Calculateur!AQ135*Calculateur!AS135*VLOOKUP('Données projet'!$B$10,Paramètres!$A$1:$I$89,3,0)*0.475*44/12</f>
        <v>0.45251837818764995</v>
      </c>
      <c r="AW135" s="21">
        <f>EXP(-LN(2)/2)*AW134+(1-EXP(-LN(2)/2))/(LN(2)/2)*AQ135*AT135*VLOOKUP('Données projet'!$B$10,Paramètres!$A$1:$I$89,3,0)*0.475*44/12</f>
        <v>2.0014287585595701E-16</v>
      </c>
      <c r="AX135" s="21">
        <f t="shared" si="114"/>
        <v>5.6009477051282426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304.99999999999983</v>
      </c>
      <c r="O136" s="13">
        <f>N136*VLOOKUP('Données projet'!$B$9,Paramètres!$A$1:$I$89,3,0)*VLOOKUP('Données projet'!$B$9,Paramètres!$A$1:$I$89,5,0)</f>
        <v>275.96399999999983</v>
      </c>
      <c r="P136" s="13">
        <f t="shared" si="141"/>
        <v>66.113366665488854</v>
      </c>
      <c r="Q136" s="20">
        <f t="shared" si="108"/>
        <v>595.78474694239264</v>
      </c>
      <c r="R136" s="59">
        <f t="shared" si="109"/>
        <v>880.17697862272598</v>
      </c>
      <c r="S136" s="59">
        <f ca="1">AVERAGE(OFFSET($R$3,0,0,'Données projet'!$E$9+1,1))-AVERAGE(OFFSET($H$3,0,0,'Données projet'!$E$9+1,1))</f>
        <v>376.51107072413777</v>
      </c>
      <c r="T136" s="59">
        <f t="shared" si="142"/>
        <v>532.90758914457615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0.2101961518426366</v>
      </c>
      <c r="AA136" s="21">
        <f>EXP(-LN(2)/25)*AA135+(1-EXP(-LN(2)/25))/(LN(2)/25)*Calculateur!V136*Calculateur!X136*VLOOKUP('Données projet'!$B$9,Paramètres!$A$1:$I$89,3,0)*0.475*44/12</f>
        <v>0.42460933946189511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0.63480549130453168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88.008749437127449</v>
      </c>
      <c r="AO136" s="59">
        <f t="shared" si="144"/>
        <v>258.40359226940507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5.0474717680711052</v>
      </c>
      <c r="AV136" s="21">
        <f>EXP(-LN(2)/25)*AV135+(1-EXP(-LN(2)/25))/(LN(2)/25)*Calculateur!AQ136*Calculateur!AS136*VLOOKUP('Données projet'!$B$10,Paramètres!$A$1:$I$89,3,0)*0.475*44/12</f>
        <v>0.44014423933920138</v>
      </c>
      <c r="AW136" s="21">
        <f>EXP(-LN(2)/2)*AW135+(1-EXP(-LN(2)/2))/(LN(2)/2)*AQ136*AT136*VLOOKUP('Données projet'!$B$10,Paramètres!$A$1:$I$89,3,0)*0.475*44/12</f>
        <v>1.4152238472392454E-16</v>
      </c>
      <c r="AX136" s="21">
        <f t="shared" si="114"/>
        <v>5.4876160074103062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304.99999999999983</v>
      </c>
      <c r="O137" s="13">
        <f>N137*VLOOKUP('Données projet'!$B$9,Paramètres!$A$1:$I$89,3,0)*VLOOKUP('Données projet'!$B$9,Paramètres!$A$1:$I$89,5,0)</f>
        <v>275.96399999999983</v>
      </c>
      <c r="P137" s="13">
        <f t="shared" si="141"/>
        <v>66.113366665488854</v>
      </c>
      <c r="Q137" s="20">
        <f t="shared" si="108"/>
        <v>595.78474694239264</v>
      </c>
      <c r="R137" s="59">
        <f t="shared" si="109"/>
        <v>880.33208674709692</v>
      </c>
      <c r="S137" s="59">
        <f ca="1">AVERAGE(OFFSET($R$3,0,0,'Données projet'!$E$9+1,1))-AVERAGE(OFFSET($H$3,0,0,'Données projet'!$E$9+1,1))</f>
        <v>376.51107072413777</v>
      </c>
      <c r="T137" s="59">
        <f t="shared" si="142"/>
        <v>532.90758914457615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0.20607433351199572</v>
      </c>
      <c r="AA137" s="21">
        <f>EXP(-LN(2)/25)*AA136+(1-EXP(-LN(2)/25))/(LN(2)/25)*Calculateur!V137*Calculateur!X137*VLOOKUP('Données projet'!$B$9,Paramètres!$A$1:$I$89,3,0)*0.475*44/12</f>
        <v>0.41299837474507489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0.61907270825707061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88.008749437127449</v>
      </c>
      <c r="AO137" s="59">
        <f t="shared" si="144"/>
        <v>258.40359226940507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4.9484939253530174</v>
      </c>
      <c r="AV137" s="21">
        <f>EXP(-LN(2)/25)*AV136+(1-EXP(-LN(2)/25))/(LN(2)/25)*Calculateur!AQ137*Calculateur!AS137*VLOOKUP('Données projet'!$B$10,Paramètres!$A$1:$I$89,3,0)*0.475*44/12</f>
        <v>0.42810847196829133</v>
      </c>
      <c r="AW137" s="21">
        <f>EXP(-LN(2)/2)*AW136+(1-EXP(-LN(2)/2))/(LN(2)/2)*AQ137*AT137*VLOOKUP('Données projet'!$B$10,Paramètres!$A$1:$I$89,3,0)*0.475*44/12</f>
        <v>1.0007143792797851E-16</v>
      </c>
      <c r="AX137" s="21">
        <f t="shared" si="114"/>
        <v>5.3766023973213084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304.99999999999983</v>
      </c>
      <c r="O138" s="13">
        <f>N138*VLOOKUP('Données projet'!$B$9,Paramètres!$A$1:$I$89,3,0)*VLOOKUP('Données projet'!$B$9,Paramètres!$A$1:$I$89,5,0)</f>
        <v>275.96399999999983</v>
      </c>
      <c r="P138" s="13">
        <f t="shared" si="141"/>
        <v>66.113366665488854</v>
      </c>
      <c r="Q138" s="20">
        <f t="shared" si="108"/>
        <v>595.78474694239264</v>
      </c>
      <c r="R138" s="59">
        <f t="shared" si="109"/>
        <v>880.48450409227985</v>
      </c>
      <c r="S138" s="59">
        <f ca="1">AVERAGE(OFFSET($R$3,0,0,'Données projet'!$E$9+1,1))-AVERAGE(OFFSET($H$3,0,0,'Données projet'!$E$9+1,1))</f>
        <v>376.51107072413777</v>
      </c>
      <c r="T138" s="59">
        <f t="shared" si="142"/>
        <v>532.90758914457615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0.20203334152475777</v>
      </c>
      <c r="AA138" s="21">
        <f>EXP(-LN(2)/25)*AA137+(1-EXP(-LN(2)/25))/(LN(2)/25)*Calculateur!V138*Calculateur!X138*VLOOKUP('Données projet'!$B$9,Paramètres!$A$1:$I$89,3,0)*0.475*44/12</f>
        <v>0.40170491246903023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0.603738253993788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88.008749437127449</v>
      </c>
      <c r="AO138" s="59">
        <f t="shared" si="144"/>
        <v>258.40359226940507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4.8514569777601082</v>
      </c>
      <c r="AV138" s="21">
        <f>EXP(-LN(2)/25)*AV137+(1-EXP(-LN(2)/25))/(LN(2)/25)*Calculateur!AQ138*Calculateur!AS138*VLOOKUP('Données projet'!$B$10,Paramètres!$A$1:$I$89,3,0)*0.475*44/12</f>
        <v>0.41640182328907233</v>
      </c>
      <c r="AW138" s="21">
        <f>EXP(-LN(2)/2)*AW137+(1-EXP(-LN(2)/2))/(LN(2)/2)*AQ138*AT138*VLOOKUP('Données projet'!$B$10,Paramètres!$A$1:$I$89,3,0)*0.475*44/12</f>
        <v>7.0761192361962269E-17</v>
      </c>
      <c r="AX138" s="21">
        <f t="shared" si="114"/>
        <v>5.2678588010491803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304.99999999999983</v>
      </c>
      <c r="O139" s="13">
        <f>N139*VLOOKUP('Données projet'!$B$9,Paramètres!$A$1:$I$89,3,0)*VLOOKUP('Données projet'!$B$9,Paramètres!$A$1:$I$89,5,0)</f>
        <v>275.96399999999983</v>
      </c>
      <c r="P139" s="13">
        <f t="shared" si="141"/>
        <v>66.113366665488854</v>
      </c>
      <c r="Q139" s="20">
        <f t="shared" si="108"/>
        <v>595.78474694239264</v>
      </c>
      <c r="R139" s="59">
        <f t="shared" si="109"/>
        <v>880.63427733727781</v>
      </c>
      <c r="S139" s="59">
        <f ca="1">AVERAGE(OFFSET($R$3,0,0,'Données projet'!$E$9+1,1))-AVERAGE(OFFSET($H$3,0,0,'Données projet'!$E$9+1,1))</f>
        <v>376.51107072413777</v>
      </c>
      <c r="T139" s="59">
        <f t="shared" si="142"/>
        <v>532.90758914457615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0.19807159092562782</v>
      </c>
      <c r="AA139" s="21">
        <f>EXP(-LN(2)/25)*AA138+(1-EXP(-LN(2)/25))/(LN(2)/25)*Calculateur!V139*Calculateur!X139*VLOOKUP('Données projet'!$B$9,Paramètres!$A$1:$I$89,3,0)*0.475*44/12</f>
        <v>0.39072027051282138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0.58879186143844919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88.008749437127449</v>
      </c>
      <c r="AO139" s="59">
        <f t="shared" si="144"/>
        <v>258.40359226940507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4.7563228655228027</v>
      </c>
      <c r="AV139" s="21">
        <f>EXP(-LN(2)/25)*AV138+(1-EXP(-LN(2)/25))/(LN(2)/25)*Calculateur!AQ139*Calculateur!AS139*VLOOKUP('Données projet'!$B$10,Paramètres!$A$1:$I$89,3,0)*0.475*44/12</f>
        <v>0.40501529353361243</v>
      </c>
      <c r="AW139" s="21">
        <f>EXP(-LN(2)/2)*AW138+(1-EXP(-LN(2)/2))/(LN(2)/2)*AQ139*AT139*VLOOKUP('Données projet'!$B$10,Paramètres!$A$1:$I$89,3,0)*0.475*44/12</f>
        <v>5.0035718963989253E-17</v>
      </c>
      <c r="AX139" s="21">
        <f t="shared" si="114"/>
        <v>5.1613381590564149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304.99999999999983</v>
      </c>
      <c r="O140" s="13">
        <f>N140*VLOOKUP('Données projet'!$B$9,Paramètres!$A$1:$I$89,3,0)*VLOOKUP('Données projet'!$B$9,Paramètres!$A$1:$I$89,5,0)</f>
        <v>275.96399999999983</v>
      </c>
      <c r="P140" s="13">
        <f t="shared" si="141"/>
        <v>66.113366665488854</v>
      </c>
      <c r="Q140" s="20">
        <f t="shared" si="108"/>
        <v>595.78474694239264</v>
      </c>
      <c r="R140" s="59">
        <f t="shared" si="109"/>
        <v>880.78145235131797</v>
      </c>
      <c r="S140" s="59">
        <f ca="1">AVERAGE(OFFSET($R$3,0,0,'Données projet'!$E$9+1,1))-AVERAGE(OFFSET($H$3,0,0,'Données projet'!$E$9+1,1))</f>
        <v>376.51107072413777</v>
      </c>
      <c r="T140" s="59">
        <f t="shared" si="142"/>
        <v>532.90758914457615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0.19418752783931756</v>
      </c>
      <c r="AA140" s="21">
        <f>EXP(-LN(2)/25)*AA139+(1-EXP(-LN(2)/25))/(LN(2)/25)*Calculateur!V140*Calculateur!X140*VLOOKUP('Données projet'!$B$9,Paramètres!$A$1:$I$89,3,0)*0.475*44/12</f>
        <v>0.38003600416856226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0.57422353200787979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88.008749437127449</v>
      </c>
      <c r="AO140" s="59">
        <f t="shared" si="144"/>
        <v>258.40359226940507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4.6630542752003912</v>
      </c>
      <c r="AV140" s="21">
        <f>EXP(-LN(2)/25)*AV139+(1-EXP(-LN(2)/25))/(LN(2)/25)*Calculateur!AQ140*Calculateur!AS140*VLOOKUP('Données projet'!$B$10,Paramètres!$A$1:$I$89,3,0)*0.475*44/12</f>
        <v>0.39394012903310721</v>
      </c>
      <c r="AW140" s="21">
        <f>EXP(-LN(2)/2)*AW139+(1-EXP(-LN(2)/2))/(LN(2)/2)*AQ140*AT140*VLOOKUP('Données projet'!$B$10,Paramètres!$A$1:$I$89,3,0)*0.475*44/12</f>
        <v>3.5380596180981134E-17</v>
      </c>
      <c r="AX140" s="21">
        <f t="shared" si="114"/>
        <v>5.0569944042334987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304.99999999999983</v>
      </c>
      <c r="O141" s="13">
        <f>N141*VLOOKUP('Données projet'!$B$9,Paramètres!$A$1:$I$89,3,0)*VLOOKUP('Données projet'!$B$9,Paramètres!$A$1:$I$89,5,0)</f>
        <v>275.96399999999983</v>
      </c>
      <c r="P141" s="13">
        <f t="shared" si="141"/>
        <v>66.113366665488854</v>
      </c>
      <c r="Q141" s="20">
        <f t="shared" si="108"/>
        <v>595.78474694239264</v>
      </c>
      <c r="R141" s="59">
        <f t="shared" si="109"/>
        <v>880.92607420789864</v>
      </c>
      <c r="S141" s="59">
        <f ca="1">AVERAGE(OFFSET($R$3,0,0,'Données projet'!$E$9+1,1))-AVERAGE(OFFSET($H$3,0,0,'Données projet'!$E$9+1,1))</f>
        <v>376.51107072413777</v>
      </c>
      <c r="T141" s="59">
        <f t="shared" si="142"/>
        <v>532.90758914457615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0.19037962886108528</v>
      </c>
      <c r="AA141" s="21">
        <f>EXP(-LN(2)/25)*AA140+(1-EXP(-LN(2)/25))/(LN(2)/25)*Calculateur!V141*Calculateur!X141*VLOOKUP('Données projet'!$B$9,Paramètres!$A$1:$I$89,3,0)*0.475*44/12</f>
        <v>0.36964389964934807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0.56002352851043335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88.008749437127449</v>
      </c>
      <c r="AO141" s="59">
        <f t="shared" si="144"/>
        <v>258.40359226940507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4.5716146250459797</v>
      </c>
      <c r="AV141" s="21">
        <f>EXP(-LN(2)/25)*AV140+(1-EXP(-LN(2)/25))/(LN(2)/25)*Calculateur!AQ141*Calculateur!AS141*VLOOKUP('Données projet'!$B$10,Paramètres!$A$1:$I$89,3,0)*0.475*44/12</f>
        <v>0.38316781548828588</v>
      </c>
      <c r="AW141" s="21">
        <f>EXP(-LN(2)/2)*AW140+(1-EXP(-LN(2)/2))/(LN(2)/2)*AQ141*AT141*VLOOKUP('Données projet'!$B$10,Paramètres!$A$1:$I$89,3,0)*0.475*44/12</f>
        <v>2.5017859481994626E-17</v>
      </c>
      <c r="AX141" s="21">
        <f t="shared" si="114"/>
        <v>4.9547824405342658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304.99999999999983</v>
      </c>
      <c r="O142" s="13">
        <f>N142*VLOOKUP('Données projet'!$B$9,Paramètres!$A$1:$I$89,3,0)*VLOOKUP('Données projet'!$B$9,Paramètres!$A$1:$I$89,5,0)</f>
        <v>275.96399999999983</v>
      </c>
      <c r="P142" s="13">
        <f t="shared" si="141"/>
        <v>66.113366665488854</v>
      </c>
      <c r="Q142" s="20">
        <f t="shared" si="108"/>
        <v>595.78474694239264</v>
      </c>
      <c r="R142" s="59">
        <f t="shared" si="109"/>
        <v>881.06818719859348</v>
      </c>
      <c r="S142" s="59">
        <f ca="1">AVERAGE(OFFSET($R$3,0,0,'Données projet'!$E$9+1,1))-AVERAGE(OFFSET($H$3,0,0,'Données projet'!$E$9+1,1))</f>
        <v>376.51107072413777</v>
      </c>
      <c r="T142" s="59">
        <f t="shared" si="142"/>
        <v>532.90758914457615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0.18664640045922709</v>
      </c>
      <c r="AA142" s="21">
        <f>EXP(-LN(2)/25)*AA141+(1-EXP(-LN(2)/25))/(LN(2)/25)*Calculateur!V142*Calculateur!X142*VLOOKUP('Données projet'!$B$9,Paramètres!$A$1:$I$89,3,0)*0.475*44/12</f>
        <v>0.35953596777470881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0.54618236823393596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88.008749437127449</v>
      </c>
      <c r="AO142" s="59">
        <f t="shared" si="144"/>
        <v>258.40359226940507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4.4819680506584163</v>
      </c>
      <c r="AV142" s="21">
        <f>EXP(-LN(2)/25)*AV141+(1-EXP(-LN(2)/25))/(LN(2)/25)*Calculateur!AQ142*Calculateur!AS142*VLOOKUP('Données projet'!$B$10,Paramètres!$A$1:$I$89,3,0)*0.475*44/12</f>
        <v>0.37269007142383903</v>
      </c>
      <c r="AW142" s="21">
        <f>EXP(-LN(2)/2)*AW141+(1-EXP(-LN(2)/2))/(LN(2)/2)*AQ142*AT142*VLOOKUP('Données projet'!$B$10,Paramètres!$A$1:$I$89,3,0)*0.475*44/12</f>
        <v>1.7690298090490567E-17</v>
      </c>
      <c r="AX142" s="21">
        <f t="shared" si="114"/>
        <v>4.8546581220822551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304.99999999999983</v>
      </c>
      <c r="O143" s="13">
        <f>N143*VLOOKUP('Données projet'!$B$9,Paramètres!$A$1:$I$89,3,0)*VLOOKUP('Données projet'!$B$9,Paramètres!$A$1:$I$89,5,0)</f>
        <v>275.96399999999983</v>
      </c>
      <c r="P143" s="13">
        <f t="shared" si="141"/>
        <v>66.113366665488854</v>
      </c>
      <c r="Q143" s="20">
        <f t="shared" si="108"/>
        <v>595.78474694239264</v>
      </c>
      <c r="R143" s="59">
        <f t="shared" si="109"/>
        <v>881.20783484661706</v>
      </c>
      <c r="S143" s="59">
        <f ca="1">AVERAGE(OFFSET($R$3,0,0,'Données projet'!$E$9+1,1))-AVERAGE(OFFSET($H$3,0,0,'Données projet'!$E$9+1,1))</f>
        <v>376.51107072413777</v>
      </c>
      <c r="T143" s="59">
        <f t="shared" si="142"/>
        <v>532.90758914457615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0.18298637838928486</v>
      </c>
      <c r="AA143" s="21">
        <f>EXP(-LN(2)/25)*AA142+(1-EXP(-LN(2)/25))/(LN(2)/25)*Calculateur!V143*Calculateur!X143*VLOOKUP('Données projet'!$B$9,Paramètres!$A$1:$I$89,3,0)*0.475*44/12</f>
        <v>0.34970443782873456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0.53269081621801939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88.008749437127449</v>
      </c>
      <c r="AO143" s="59">
        <f t="shared" si="144"/>
        <v>258.40359226940507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4.3940793909155822</v>
      </c>
      <c r="AV143" s="21">
        <f>EXP(-LN(2)/25)*AV142+(1-EXP(-LN(2)/25))/(LN(2)/25)*Calculateur!AQ143*Calculateur!AS143*VLOOKUP('Données projet'!$B$10,Paramètres!$A$1:$I$89,3,0)*0.475*44/12</f>
        <v>0.36249884182183512</v>
      </c>
      <c r="AW143" s="21">
        <f>EXP(-LN(2)/2)*AW142+(1-EXP(-LN(2)/2))/(LN(2)/2)*AQ143*AT143*VLOOKUP('Données projet'!$B$10,Paramètres!$A$1:$I$89,3,0)*0.475*44/12</f>
        <v>1.2508929740997313E-17</v>
      </c>
      <c r="AX143" s="21">
        <f t="shared" si="114"/>
        <v>4.7565782327374171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304.99999999999983</v>
      </c>
      <c r="O144" s="13">
        <f>N144*VLOOKUP('Données projet'!$B$9,Paramètres!$A$1:$I$89,3,0)*VLOOKUP('Données projet'!$B$9,Paramètres!$A$1:$I$89,5,0)</f>
        <v>275.96399999999983</v>
      </c>
      <c r="P144" s="13">
        <f t="shared" si="141"/>
        <v>66.113366665488854</v>
      </c>
      <c r="Q144" s="20">
        <f t="shared" si="108"/>
        <v>595.78474694239264</v>
      </c>
      <c r="R144" s="59">
        <f t="shared" si="109"/>
        <v>881.34505992015261</v>
      </c>
      <c r="S144" s="59">
        <f ca="1">AVERAGE(OFFSET($R$3,0,0,'Données projet'!$E$9+1,1))-AVERAGE(OFFSET($H$3,0,0,'Données projet'!$E$9+1,1))</f>
        <v>376.51107072413777</v>
      </c>
      <c r="T144" s="59">
        <f t="shared" si="142"/>
        <v>532.90758914457615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0.17939812711974115</v>
      </c>
      <c r="AA144" s="21">
        <f>EXP(-LN(2)/25)*AA143+(1-EXP(-LN(2)/25))/(LN(2)/25)*Calculateur!V144*Calculateur!X144*VLOOKUP('Données projet'!$B$9,Paramètres!$A$1:$I$89,3,0)*0.475*44/12</f>
        <v>0.34014175158615068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0.5195398787058918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88.008749437127449</v>
      </c>
      <c r="AO144" s="59">
        <f t="shared" si="144"/>
        <v>258.40359226940507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4.3079141741835159</v>
      </c>
      <c r="AV144" s="21">
        <f>EXP(-LN(2)/25)*AV143+(1-EXP(-LN(2)/25))/(LN(2)/25)*Calculateur!AQ144*Calculateur!AS144*VLOOKUP('Données projet'!$B$10,Paramètres!$A$1:$I$89,3,0)*0.475*44/12</f>
        <v>0.35258629192923147</v>
      </c>
      <c r="AW144" s="21">
        <f>EXP(-LN(2)/2)*AW143+(1-EXP(-LN(2)/2))/(LN(2)/2)*AQ144*AT144*VLOOKUP('Données projet'!$B$10,Paramètres!$A$1:$I$89,3,0)*0.475*44/12</f>
        <v>8.8451490452452836E-18</v>
      </c>
      <c r="AX144" s="21">
        <f t="shared" si="114"/>
        <v>4.6605004661127474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304.99999999999983</v>
      </c>
      <c r="O145" s="13">
        <f>N145*VLOOKUP('Données projet'!$B$9,Paramètres!$A$1:$I$89,3,0)*VLOOKUP('Données projet'!$B$9,Paramètres!$A$1:$I$89,5,0)</f>
        <v>275.96399999999983</v>
      </c>
      <c r="P145" s="13">
        <f t="shared" si="141"/>
        <v>66.113366665488854</v>
      </c>
      <c r="Q145" s="20">
        <f t="shared" si="108"/>
        <v>595.78474694239264</v>
      </c>
      <c r="R145" s="59">
        <f t="shared" si="109"/>
        <v>881.47990444545167</v>
      </c>
      <c r="S145" s="59">
        <f ca="1">AVERAGE(OFFSET($R$3,0,0,'Données projet'!$E$9+1,1))-AVERAGE(OFFSET($H$3,0,0,'Données projet'!$E$9+1,1))</f>
        <v>376.51107072413777</v>
      </c>
      <c r="T145" s="59">
        <f t="shared" si="142"/>
        <v>532.90758914457615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0.17588023926897603</v>
      </c>
      <c r="AA145" s="21">
        <f>EXP(-LN(2)/25)*AA144+(1-EXP(-LN(2)/25))/(LN(2)/25)*Calculateur!V145*Calculateur!X145*VLOOKUP('Données projet'!$B$9,Paramètres!$A$1:$I$89,3,0)*0.475*44/12</f>
        <v>0.33084055750175007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0.50672079677072612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88.008749437127449</v>
      </c>
      <c r="AO145" s="59">
        <f t="shared" si="144"/>
        <v>258.40359226940507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4.2234386047959722</v>
      </c>
      <c r="AV145" s="21">
        <f>EXP(-LN(2)/25)*AV144+(1-EXP(-LN(2)/25))/(LN(2)/25)*Calculateur!AQ145*Calculateur!AS145*VLOOKUP('Données projet'!$B$10,Paramètres!$A$1:$I$89,3,0)*0.475*44/12</f>
        <v>0.34294480123471938</v>
      </c>
      <c r="AW145" s="21">
        <f>EXP(-LN(2)/2)*AW144+(1-EXP(-LN(2)/2))/(LN(2)/2)*AQ145*AT145*VLOOKUP('Données projet'!$B$10,Paramètres!$A$1:$I$89,3,0)*0.475*44/12</f>
        <v>6.2544648704986566E-18</v>
      </c>
      <c r="AX145" s="21">
        <f t="shared" si="114"/>
        <v>4.5663834060306918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304.99999999999983</v>
      </c>
      <c r="O146" s="13">
        <f>N146*VLOOKUP('Données projet'!$B$9,Paramètres!$A$1:$I$89,3,0)*VLOOKUP('Données projet'!$B$9,Paramètres!$A$1:$I$89,5,0)</f>
        <v>275.96399999999983</v>
      </c>
      <c r="P146" s="13">
        <f t="shared" si="141"/>
        <v>66.113366665488854</v>
      </c>
      <c r="Q146" s="20">
        <f t="shared" si="108"/>
        <v>595.78474694239264</v>
      </c>
      <c r="R146" s="59">
        <f t="shared" si="109"/>
        <v>881.61240971970415</v>
      </c>
      <c r="S146" s="59">
        <f ca="1">AVERAGE(OFFSET($R$3,0,0,'Données projet'!$E$9+1,1))-AVERAGE(OFFSET($H$3,0,0,'Données projet'!$E$9+1,1))</f>
        <v>376.51107072413777</v>
      </c>
      <c r="T146" s="59">
        <f t="shared" si="142"/>
        <v>532.90758914457615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0.17243133505326472</v>
      </c>
      <c r="AA146" s="21">
        <f>EXP(-LN(2)/25)*AA145+(1-EXP(-LN(2)/25))/(LN(2)/25)*Calculateur!V146*Calculateur!X146*VLOOKUP('Données projet'!$B$9,Paramètres!$A$1:$I$89,3,0)*0.475*44/12</f>
        <v>0.32179370505871596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0.49422504011198065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88.008749437127449</v>
      </c>
      <c r="AO146" s="59">
        <f t="shared" si="144"/>
        <v>258.40359226940507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4.1406195497991094</v>
      </c>
      <c r="AV146" s="21">
        <f>EXP(-LN(2)/25)*AV145+(1-EXP(-LN(2)/25))/(LN(2)/25)*Calculateur!AQ146*Calculateur!AS146*VLOOKUP('Données projet'!$B$10,Paramètres!$A$1:$I$89,3,0)*0.475*44/12</f>
        <v>0.33356695761027266</v>
      </c>
      <c r="AW146" s="21">
        <f>EXP(-LN(2)/2)*AW145+(1-EXP(-LN(2)/2))/(LN(2)/2)*AQ146*AT146*VLOOKUP('Données projet'!$B$10,Paramètres!$A$1:$I$89,3,0)*0.475*44/12</f>
        <v>4.4225745226226418E-18</v>
      </c>
      <c r="AX146" s="21">
        <f t="shared" si="114"/>
        <v>4.4741865074093816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304.99999999999983</v>
      </c>
      <c r="O147" s="13">
        <f>N147*VLOOKUP('Données projet'!$B$9,Paramètres!$A$1:$I$89,3,0)*VLOOKUP('Données projet'!$B$9,Paramètres!$A$1:$I$89,5,0)</f>
        <v>275.96399999999983</v>
      </c>
      <c r="P147" s="13">
        <f t="shared" si="141"/>
        <v>66.113366665488854</v>
      </c>
      <c r="Q147" s="20">
        <f t="shared" si="108"/>
        <v>595.78474694239264</v>
      </c>
      <c r="R147" s="59">
        <f t="shared" si="109"/>
        <v>881.74261632368552</v>
      </c>
      <c r="S147" s="59">
        <f ca="1">AVERAGE(OFFSET($R$3,0,0,'Données projet'!$E$9+1,1))-AVERAGE(OFFSET($H$3,0,0,'Données projet'!$E$9+1,1))</f>
        <v>376.51107072413777</v>
      </c>
      <c r="T147" s="59">
        <f t="shared" si="142"/>
        <v>532.90758914457615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0.16905006174559964</v>
      </c>
      <c r="AA147" s="21">
        <f>EXP(-LN(2)/25)*AA146+(1-EXP(-LN(2)/25))/(LN(2)/25)*Calculateur!V147*Calculateur!X147*VLOOKUP('Données projet'!$B$9,Paramètres!$A$1:$I$89,3,0)*0.475*44/12</f>
        <v>0.31299423927148989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0.4820443010170895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88.008749437127449</v>
      </c>
      <c r="AO147" s="59">
        <f t="shared" si="144"/>
        <v>258.40359226940507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4.059424525956099</v>
      </c>
      <c r="AV147" s="21">
        <f>EXP(-LN(2)/25)*AV146+(1-EXP(-LN(2)/25))/(LN(2)/25)*Calculateur!AQ147*Calculateur!AS147*VLOOKUP('Données projet'!$B$10,Paramètres!$A$1:$I$89,3,0)*0.475*44/12</f>
        <v>0.32444555161289584</v>
      </c>
      <c r="AW147" s="21">
        <f>EXP(-LN(2)/2)*AW146+(1-EXP(-LN(2)/2))/(LN(2)/2)*AQ147*AT147*VLOOKUP('Données projet'!$B$10,Paramètres!$A$1:$I$89,3,0)*0.475*44/12</f>
        <v>3.1272324352493283E-18</v>
      </c>
      <c r="AX147" s="21">
        <f t="shared" si="114"/>
        <v>4.3838700775689947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304.99999999999983</v>
      </c>
      <c r="O148" s="13">
        <f>N148*VLOOKUP('Données projet'!$B$9,Paramètres!$A$1:$I$89,3,0)*VLOOKUP('Données projet'!$B$9,Paramètres!$A$1:$I$89,5,0)</f>
        <v>275.96399999999983</v>
      </c>
      <c r="P148" s="13">
        <f t="shared" si="141"/>
        <v>66.113366665488854</v>
      </c>
      <c r="Q148" s="20">
        <f t="shared" si="108"/>
        <v>595.78474694239264</v>
      </c>
      <c r="R148" s="59">
        <f t="shared" si="109"/>
        <v>881.87056413418622</v>
      </c>
      <c r="S148" s="59">
        <f ca="1">AVERAGE(OFFSET($R$3,0,0,'Données projet'!$E$9+1,1))-AVERAGE(OFFSET($H$3,0,0,'Données projet'!$E$9+1,1))</f>
        <v>376.51107072413777</v>
      </c>
      <c r="T148" s="59">
        <f t="shared" si="142"/>
        <v>532.90758914457615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0.1657350931451248</v>
      </c>
      <c r="AA148" s="21">
        <f>EXP(-LN(2)/25)*AA147+(1-EXP(-LN(2)/25))/(LN(2)/25)*Calculateur!V148*Calculateur!X148*VLOOKUP('Données projet'!$B$9,Paramètres!$A$1:$I$89,3,0)*0.475*44/12</f>
        <v>0.3044353953389593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0.4701704884840841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88.008749437127449</v>
      </c>
      <c r="AO148" s="59">
        <f t="shared" si="144"/>
        <v>258.40359226940507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3.9798216870065755</v>
      </c>
      <c r="AV148" s="21">
        <f>EXP(-LN(2)/25)*AV147+(1-EXP(-LN(2)/25))/(LN(2)/25)*Calculateur!AQ148*Calculateur!AS148*VLOOKUP('Données projet'!$B$10,Paramètres!$A$1:$I$89,3,0)*0.475*44/12</f>
        <v>0.31557357094219118</v>
      </c>
      <c r="AW148" s="21">
        <f>EXP(-LN(2)/2)*AW147+(1-EXP(-LN(2)/2))/(LN(2)/2)*AQ148*AT148*VLOOKUP('Données projet'!$B$10,Paramètres!$A$1:$I$89,3,0)*0.475*44/12</f>
        <v>2.2112872613113209E-18</v>
      </c>
      <c r="AX148" s="21">
        <f t="shared" si="114"/>
        <v>4.2953952579487664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304.99999999999983</v>
      </c>
      <c r="O149" s="13">
        <f>N149*VLOOKUP('Données projet'!$B$9,Paramètres!$A$1:$I$89,3,0)*VLOOKUP('Données projet'!$B$9,Paramètres!$A$1:$I$89,5,0)</f>
        <v>275.96399999999983</v>
      </c>
      <c r="P149" s="13">
        <f t="shared" si="141"/>
        <v>66.113366665488854</v>
      </c>
      <c r="Q149" s="20">
        <f t="shared" si="108"/>
        <v>595.78474694239264</v>
      </c>
      <c r="R149" s="59">
        <f t="shared" si="109"/>
        <v>881.99629233622329</v>
      </c>
      <c r="S149" s="59">
        <f ca="1">AVERAGE(OFFSET($R$3,0,0,'Données projet'!$E$9+1,1))-AVERAGE(OFFSET($H$3,0,0,'Données projet'!$E$9+1,1))</f>
        <v>376.51107072413777</v>
      </c>
      <c r="T149" s="59">
        <f t="shared" si="142"/>
        <v>532.90758914457615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0.16248512905697407</v>
      </c>
      <c r="AA149" s="21">
        <f>EXP(-LN(2)/25)*AA148+(1-EXP(-LN(2)/25))/(LN(2)/25)*Calculateur!V149*Calculateur!X149*VLOOKUP('Données projet'!$B$9,Paramètres!$A$1:$I$89,3,0)*0.475*44/12</f>
        <v>0.29611059344385382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0.45859572250082792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88.008749437127449</v>
      </c>
      <c r="AO149" s="59">
        <f t="shared" si="144"/>
        <v>258.40359226940507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3.9017798111759148</v>
      </c>
      <c r="AV149" s="21">
        <f>EXP(-LN(2)/25)*AV148+(1-EXP(-LN(2)/25))/(LN(2)/25)*Calculateur!AQ149*Calculateur!AS149*VLOOKUP('Données projet'!$B$10,Paramètres!$A$1:$I$89,3,0)*0.475*44/12</f>
        <v>0.30694419504948411</v>
      </c>
      <c r="AW149" s="21">
        <f>EXP(-LN(2)/2)*AW148+(1-EXP(-LN(2)/2))/(LN(2)/2)*AQ149*AT149*VLOOKUP('Données projet'!$B$10,Paramètres!$A$1:$I$89,3,0)*0.475*44/12</f>
        <v>1.5636162176246641E-18</v>
      </c>
      <c r="AX149" s="21">
        <f t="shared" si="114"/>
        <v>4.208724006225399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304.99999999999983</v>
      </c>
      <c r="O150" s="13">
        <f>N150*VLOOKUP('Données projet'!$B$9,Paramètres!$A$1:$I$89,3,0)*VLOOKUP('Données projet'!$B$9,Paramètres!$A$1:$I$89,5,0)</f>
        <v>275.96399999999983</v>
      </c>
      <c r="P150" s="13">
        <f t="shared" si="141"/>
        <v>66.113366665488854</v>
      </c>
      <c r="Q150" s="20">
        <f t="shared" si="108"/>
        <v>595.78474694239264</v>
      </c>
      <c r="R150" s="59">
        <f t="shared" si="109"/>
        <v>882.11983943504106</v>
      </c>
      <c r="S150" s="59">
        <f ca="1">AVERAGE(OFFSET($R$3,0,0,'Données projet'!$E$9+1,1))-AVERAGE(OFFSET($H$3,0,0,'Données projet'!$E$9+1,1))</f>
        <v>376.51107072413777</v>
      </c>
      <c r="T150" s="59">
        <f t="shared" si="142"/>
        <v>532.90758914457615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0.1592988947823096</v>
      </c>
      <c r="AA150" s="21">
        <f>EXP(-LN(2)/25)*AA149+(1-EXP(-LN(2)/25))/(LN(2)/25)*Calculateur!V150*Calculateur!X150*VLOOKUP('Données projet'!$B$9,Paramètres!$A$1:$I$89,3,0)*0.475*44/12</f>
        <v>0.28801343369435228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0.44731232847666191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88.008749437127449</v>
      </c>
      <c r="AO150" s="59">
        <f t="shared" si="144"/>
        <v>258.40359226940507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3.8252682889294491</v>
      </c>
      <c r="AV150" s="21">
        <f>EXP(-LN(2)/25)*AV149+(1-EXP(-LN(2)/25))/(LN(2)/25)*Calculateur!AQ150*Calculateur!AS150*VLOOKUP('Données projet'!$B$10,Paramètres!$A$1:$I$89,3,0)*0.475*44/12</f>
        <v>0.29855078989436229</v>
      </c>
      <c r="AW150" s="21">
        <f>EXP(-LN(2)/2)*AW149+(1-EXP(-LN(2)/2))/(LN(2)/2)*AQ150*AT150*VLOOKUP('Données projet'!$B$10,Paramètres!$A$1:$I$89,3,0)*0.475*44/12</f>
        <v>1.1056436306556605E-18</v>
      </c>
      <c r="AX150" s="21">
        <f t="shared" si="114"/>
        <v>4.1238190788238116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304.99999999999983</v>
      </c>
      <c r="O151" s="13">
        <f>N151*VLOOKUP('Données projet'!$B$9,Paramètres!$A$1:$I$89,3,0)*VLOOKUP('Données projet'!$B$9,Paramètres!$A$1:$I$89,5,0)</f>
        <v>275.96399999999983</v>
      </c>
      <c r="P151" s="13">
        <f t="shared" si="141"/>
        <v>66.113366665488854</v>
      </c>
      <c r="Q151" s="20">
        <f t="shared" si="108"/>
        <v>595.78474694239264</v>
      </c>
      <c r="R151" s="59">
        <f t="shared" si="109"/>
        <v>882.24124326790434</v>
      </c>
      <c r="S151" s="59">
        <f ca="1">AVERAGE(OFFSET($R$3,0,0,'Données projet'!$E$9+1,1))-AVERAGE(OFFSET($H$3,0,0,'Données projet'!$E$9+1,1))</f>
        <v>376.51107072413777</v>
      </c>
      <c r="T151" s="59">
        <f t="shared" si="142"/>
        <v>532.90758914457615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0.1561751406183603</v>
      </c>
      <c r="AA151" s="21">
        <f>EXP(-LN(2)/25)*AA150+(1-EXP(-LN(2)/25))/(LN(2)/25)*Calculateur!V151*Calculateur!X151*VLOOKUP('Données projet'!$B$9,Paramètres!$A$1:$I$89,3,0)*0.475*44/12</f>
        <v>0.280137691204012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0.43631283182237229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88.008749437127449</v>
      </c>
      <c r="AO151" s="59">
        <f t="shared" si="144"/>
        <v>258.40359226940507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3.7502571109668161</v>
      </c>
      <c r="AV151" s="21">
        <f>EXP(-LN(2)/25)*AV150+(1-EXP(-LN(2)/25))/(LN(2)/25)*Calculateur!AQ151*Calculateur!AS151*VLOOKUP('Données projet'!$B$10,Paramètres!$A$1:$I$89,3,0)*0.475*44/12</f>
        <v>0.29038690284459728</v>
      </c>
      <c r="AW151" s="21">
        <f>EXP(-LN(2)/2)*AW150+(1-EXP(-LN(2)/2))/(LN(2)/2)*AQ151*AT151*VLOOKUP('Données projet'!$B$10,Paramètres!$A$1:$I$89,3,0)*0.475*44/12</f>
        <v>7.8180810881233207E-19</v>
      </c>
      <c r="AX151" s="21">
        <f t="shared" si="114"/>
        <v>4.0406440138114137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304.99999999999983</v>
      </c>
      <c r="O152" s="13">
        <f>N152*VLOOKUP('Données projet'!$B$9,Paramètres!$A$1:$I$89,3,0)*VLOOKUP('Données projet'!$B$9,Paramètres!$A$1:$I$89,5,0)</f>
        <v>275.96399999999983</v>
      </c>
      <c r="P152" s="13">
        <f t="shared" si="141"/>
        <v>66.113366665488854</v>
      </c>
      <c r="Q152" s="20">
        <f t="shared" si="108"/>
        <v>595.78474694239264</v>
      </c>
      <c r="R152" s="59">
        <f t="shared" si="109"/>
        <v>882.36054101568573</v>
      </c>
      <c r="S152" s="59">
        <f ca="1">AVERAGE(OFFSET($R$3,0,0,'Données projet'!$E$9+1,1))-AVERAGE(OFFSET($H$3,0,0,'Données projet'!$E$9+1,1))</f>
        <v>376.51107072413777</v>
      </c>
      <c r="T152" s="59">
        <f t="shared" si="142"/>
        <v>532.90758914457615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0.15311264136826414</v>
      </c>
      <c r="AA152" s="21">
        <f>EXP(-LN(2)/25)*AA151+(1-EXP(-LN(2)/25))/(LN(2)/25)*Calculateur!V152*Calculateur!X152*VLOOKUP('Données projet'!$B$9,Paramètres!$A$1:$I$89,3,0)*0.475*44/12</f>
        <v>0.27247731130623737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0.4255899526745015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88.008749437127449</v>
      </c>
      <c r="AO152" s="59">
        <f t="shared" si="144"/>
        <v>258.40359226940507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3.6767168564517294</v>
      </c>
      <c r="AV152" s="21">
        <f>EXP(-LN(2)/25)*AV151+(1-EXP(-LN(2)/25))/(LN(2)/25)*Calculateur!AQ152*Calculateur!AS152*VLOOKUP('Données projet'!$B$10,Paramètres!$A$1:$I$89,3,0)*0.475*44/12</f>
        <v>0.28244625771552823</v>
      </c>
      <c r="AW152" s="21">
        <f>EXP(-LN(2)/2)*AW151+(1-EXP(-LN(2)/2))/(LN(2)/2)*AQ152*AT152*VLOOKUP('Données projet'!$B$10,Paramètres!$A$1:$I$89,3,0)*0.475*44/12</f>
        <v>5.5282181532783023E-19</v>
      </c>
      <c r="AX152" s="21">
        <f t="shared" si="114"/>
        <v>3.9591631141672576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304.99999999999983</v>
      </c>
      <c r="O153" s="13">
        <f>N153*VLOOKUP('Données projet'!$B$9,Paramètres!$A$1:$I$89,3,0)*VLOOKUP('Données projet'!$B$9,Paramètres!$A$1:$I$89,5,0)</f>
        <v>275.96399999999983</v>
      </c>
      <c r="P153" s="13">
        <f t="shared" si="141"/>
        <v>66.113366665488854</v>
      </c>
      <c r="Q153" s="20">
        <f t="shared" si="108"/>
        <v>595.78474694239264</v>
      </c>
      <c r="R153" s="59">
        <f t="shared" si="109"/>
        <v>882.47776921425293</v>
      </c>
      <c r="S153" s="59">
        <f ca="1">AVERAGE(OFFSET($R$3,0,0,'Données projet'!$E$9+1,1))-AVERAGE(OFFSET($H$3,0,0,'Données projet'!$E$9+1,1))</f>
        <v>376.51107072413777</v>
      </c>
      <c r="T153" s="59">
        <f t="shared" si="142"/>
        <v>532.90758914457615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0.15011019586052227</v>
      </c>
      <c r="AA153" s="21">
        <f>EXP(-LN(2)/25)*AA152+(1-EXP(-LN(2)/25))/(LN(2)/25)*Calculateur!V153*Calculateur!X153*VLOOKUP('Données projet'!$B$9,Paramètres!$A$1:$I$89,3,0)*0.475*44/12</f>
        <v>0.26502640489960927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0.41513660076013154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88.008749437127449</v>
      </c>
      <c r="AO153" s="59">
        <f t="shared" si="144"/>
        <v>258.40359226940507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3.6046186814725574</v>
      </c>
      <c r="AV153" s="21">
        <f>EXP(-LN(2)/25)*AV152+(1-EXP(-LN(2)/25))/(LN(2)/25)*Calculateur!AQ153*Calculateur!AS153*VLOOKUP('Données projet'!$B$10,Paramètres!$A$1:$I$89,3,0)*0.475*44/12</f>
        <v>0.27472274994509394</v>
      </c>
      <c r="AW153" s="21">
        <f>EXP(-LN(2)/2)*AW152+(1-EXP(-LN(2)/2))/(LN(2)/2)*AQ153*AT153*VLOOKUP('Données projet'!$B$10,Paramètres!$A$1:$I$89,3,0)*0.475*44/12</f>
        <v>3.9090405440616604E-19</v>
      </c>
      <c r="AX153" s="21">
        <f t="shared" si="114"/>
        <v>3.8793414314176511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304.99999999999983</v>
      </c>
      <c r="O154" s="13">
        <f>N154*VLOOKUP('Données projet'!$B$9,Paramètres!$A$1:$I$89,3,0)*VLOOKUP('Données projet'!$B$9,Paramètres!$A$1:$I$89,5,0)</f>
        <v>275.96399999999983</v>
      </c>
      <c r="P154" s="13">
        <f t="shared" si="141"/>
        <v>66.113366665488854</v>
      </c>
      <c r="Q154" s="20">
        <f t="shared" ref="Q154:Q203" si="162">(O154+P154)*0.475*44/12</f>
        <v>595.78474694239264</v>
      </c>
      <c r="R154" s="59">
        <f t="shared" si="109"/>
        <v>882.59296376565794</v>
      </c>
      <c r="S154" s="59">
        <f ca="1">AVERAGE(OFFSET($R$3,0,0,'Données projet'!$E$9+1,1))-AVERAGE(OFFSET($H$3,0,0,'Données projet'!$E$9+1,1))</f>
        <v>376.51107072413777</v>
      </c>
      <c r="T154" s="59">
        <f t="shared" si="142"/>
        <v>532.90758914457615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0.14716662647787629</v>
      </c>
      <c r="AA154" s="21">
        <f>EXP(-LN(2)/25)*AA153+(1-EXP(-LN(2)/25))/(LN(2)/25)*Calculateur!V154*Calculateur!X154*VLOOKUP('Données projet'!$B$9,Paramètres!$A$1:$I$89,3,0)*0.475*44/12</f>
        <v>0.25777924392049656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0.40494587039837282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88.008749437127449</v>
      </c>
      <c r="AO154" s="59">
        <f t="shared" si="144"/>
        <v>258.40359226940507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3.5339343077291825</v>
      </c>
      <c r="AV154" s="21">
        <f>EXP(-LN(2)/25)*AV153+(1-EXP(-LN(2)/25))/(LN(2)/25)*Calculateur!AQ154*Calculateur!AS154*VLOOKUP('Données projet'!$B$10,Paramètres!$A$1:$I$89,3,0)*0.475*44/12</f>
        <v>0.26721044190080379</v>
      </c>
      <c r="AW154" s="21">
        <f>EXP(-LN(2)/2)*AW153+(1-EXP(-LN(2)/2))/(LN(2)/2)*AQ154*AT154*VLOOKUP('Données projet'!$B$10,Paramètres!$A$1:$I$89,3,0)*0.475*44/12</f>
        <v>2.7641090766391511E-19</v>
      </c>
      <c r="AX154" s="21">
        <f t="shared" ref="AX154:AX203" si="166">SUM(AU154:AW154)</f>
        <v>3.8011447496299864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304.99999999999983</v>
      </c>
      <c r="O155" s="13">
        <f>N155*VLOOKUP('Données projet'!$B$9,Paramètres!$A$1:$I$89,3,0)*VLOOKUP('Données projet'!$B$9,Paramètres!$A$1:$I$89,5,0)</f>
        <v>275.96399999999983</v>
      </c>
      <c r="P155" s="13">
        <f t="shared" si="141"/>
        <v>66.113366665488854</v>
      </c>
      <c r="Q155" s="20">
        <f t="shared" si="162"/>
        <v>595.78474694239264</v>
      </c>
      <c r="R155" s="59">
        <f t="shared" si="109"/>
        <v>882.7061599491326</v>
      </c>
      <c r="S155" s="59">
        <f ca="1">AVERAGE(OFFSET($R$3,0,0,'Données projet'!$E$9+1,1))-AVERAGE(OFFSET($H$3,0,0,'Données projet'!$E$9+1,1))</f>
        <v>376.51107072413777</v>
      </c>
      <c r="T155" s="59">
        <f t="shared" si="142"/>
        <v>532.90758914457615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0.14428077869542394</v>
      </c>
      <c r="AA155" s="21">
        <f>EXP(-LN(2)/25)*AA154+(1-EXP(-LN(2)/25))/(LN(2)/25)*Calculateur!V155*Calculateur!X155*VLOOKUP('Données projet'!$B$9,Paramètres!$A$1:$I$89,3,0)*0.475*44/12</f>
        <v>0.25073025693946932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0.39501103563489326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88.008749437127449</v>
      </c>
      <c r="AO155" s="59">
        <f t="shared" si="144"/>
        <v>258.40359226940507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3.4646360114417041</v>
      </c>
      <c r="AV155" s="21">
        <f>EXP(-LN(2)/25)*AV154+(1-EXP(-LN(2)/25))/(LN(2)/25)*Calculateur!AQ155*Calculateur!AS155*VLOOKUP('Données projet'!$B$10,Paramètres!$A$1:$I$89,3,0)*0.475*44/12</f>
        <v>0.25990355831503986</v>
      </c>
      <c r="AW155" s="21">
        <f>EXP(-LN(2)/2)*AW154+(1-EXP(-LN(2)/2))/(LN(2)/2)*AQ155*AT155*VLOOKUP('Données projet'!$B$10,Paramètres!$A$1:$I$89,3,0)*0.475*44/12</f>
        <v>1.9545202720308302E-19</v>
      </c>
      <c r="AX155" s="21">
        <f t="shared" si="166"/>
        <v>3.7245395697567441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304.99999999999983</v>
      </c>
      <c r="O156" s="13">
        <f>N156*VLOOKUP('Données projet'!$B$9,Paramètres!$A$1:$I$89,3,0)*VLOOKUP('Données projet'!$B$9,Paramètres!$A$1:$I$89,5,0)</f>
        <v>275.96399999999983</v>
      </c>
      <c r="P156" s="13">
        <f t="shared" si="141"/>
        <v>66.113366665488854</v>
      </c>
      <c r="Q156" s="20">
        <f t="shared" si="162"/>
        <v>595.78474694239264</v>
      </c>
      <c r="R156" s="59">
        <f t="shared" si="109"/>
        <v>882.81739243189259</v>
      </c>
      <c r="S156" s="59">
        <f ca="1">AVERAGE(OFFSET($R$3,0,0,'Données projet'!$E$9+1,1))-AVERAGE(OFFSET($H$3,0,0,'Données projet'!$E$9+1,1))</f>
        <v>376.51107072413777</v>
      </c>
      <c r="T156" s="59">
        <f t="shared" si="142"/>
        <v>532.90758914457615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0.14145152062779215</v>
      </c>
      <c r="AA156" s="21">
        <f>EXP(-LN(2)/25)*AA155+(1-EXP(-LN(2)/25))/(LN(2)/25)*Calculateur!V156*Calculateur!X156*VLOOKUP('Données projet'!$B$9,Paramètres!$A$1:$I$89,3,0)*0.475*44/12</f>
        <v>0.24387402487812837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0.38532554550592052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88.008749437127449</v>
      </c>
      <c r="AO156" s="59">
        <f t="shared" si="144"/>
        <v>258.40359226940507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3.396696612476636</v>
      </c>
      <c r="AV156" s="21">
        <f>EXP(-LN(2)/25)*AV155+(1-EXP(-LN(2)/25))/(LN(2)/25)*Calculateur!AQ156*Calculateur!AS156*VLOOKUP('Données projet'!$B$10,Paramètres!$A$1:$I$89,3,0)*0.475*44/12</f>
        <v>0.252796481845181</v>
      </c>
      <c r="AW156" s="21">
        <f>EXP(-LN(2)/2)*AW155+(1-EXP(-LN(2)/2))/(LN(2)/2)*AQ156*AT156*VLOOKUP('Données projet'!$B$10,Paramètres!$A$1:$I$89,3,0)*0.475*44/12</f>
        <v>1.3820545383195756E-19</v>
      </c>
      <c r="AX156" s="21">
        <f t="shared" si="166"/>
        <v>3.6494930943218171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304.99999999999983</v>
      </c>
      <c r="O157" s="13">
        <f>N157*VLOOKUP('Données projet'!$B$9,Paramètres!$A$1:$I$89,3,0)*VLOOKUP('Données projet'!$B$9,Paramètres!$A$1:$I$89,5,0)</f>
        <v>275.96399999999983</v>
      </c>
      <c r="P157" s="13">
        <f t="shared" si="141"/>
        <v>66.113366665488854</v>
      </c>
      <c r="Q157" s="20">
        <f t="shared" si="162"/>
        <v>595.78474694239264</v>
      </c>
      <c r="R157" s="59">
        <f t="shared" si="109"/>
        <v>882.92669527975545</v>
      </c>
      <c r="S157" s="59">
        <f ca="1">AVERAGE(OFFSET($R$3,0,0,'Données projet'!$E$9+1,1))-AVERAGE(OFFSET($H$3,0,0,'Données projet'!$E$9+1,1))</f>
        <v>376.51107072413777</v>
      </c>
      <c r="T157" s="59">
        <f t="shared" si="142"/>
        <v>532.90758914457615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0.13867774258518958</v>
      </c>
      <c r="AA157" s="21">
        <f>EXP(-LN(2)/25)*AA156+(1-EXP(-LN(2)/25))/(LN(2)/25)*Calculateur!V157*Calculateur!X157*VLOOKUP('Données projet'!$B$9,Paramètres!$A$1:$I$89,3,0)*0.475*44/12</f>
        <v>0.23720527684305837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0.37588301942824798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88.008749437127449</v>
      </c>
      <c r="AO157" s="59">
        <f t="shared" si="144"/>
        <v>258.40359226940507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3.3300894636863316</v>
      </c>
      <c r="AV157" s="21">
        <f>EXP(-LN(2)/25)*AV156+(1-EXP(-LN(2)/25))/(LN(2)/25)*Calculateur!AQ157*Calculateur!AS157*VLOOKUP('Données projet'!$B$10,Paramètres!$A$1:$I$89,3,0)*0.475*44/12</f>
        <v>0.24588374875513533</v>
      </c>
      <c r="AW157" s="21">
        <f>EXP(-LN(2)/2)*AW156+(1-EXP(-LN(2)/2))/(LN(2)/2)*AQ157*AT157*VLOOKUP('Données projet'!$B$10,Paramètres!$A$1:$I$89,3,0)*0.475*44/12</f>
        <v>9.7726013601541509E-20</v>
      </c>
      <c r="AX157" s="21">
        <f t="shared" si="166"/>
        <v>3.5759732124414669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304.99999999999983</v>
      </c>
      <c r="O158" s="13">
        <f>N158*VLOOKUP('Données projet'!$B$9,Paramètres!$A$1:$I$89,3,0)*VLOOKUP('Données projet'!$B$9,Paramètres!$A$1:$I$89,5,0)</f>
        <v>275.96399999999983</v>
      </c>
      <c r="P158" s="13">
        <f t="shared" si="141"/>
        <v>66.113366665488854</v>
      </c>
      <c r="Q158" s="20">
        <f t="shared" si="162"/>
        <v>595.78474694239264</v>
      </c>
      <c r="R158" s="59">
        <f t="shared" si="109"/>
        <v>883.03410196757227</v>
      </c>
      <c r="S158" s="59">
        <f ca="1">AVERAGE(OFFSET($R$3,0,0,'Données projet'!$E$9+1,1))-AVERAGE(OFFSET($H$3,0,0,'Données projet'!$E$9+1,1))</f>
        <v>376.51107072413777</v>
      </c>
      <c r="T158" s="59">
        <f t="shared" si="142"/>
        <v>532.90758914457615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0.13595835663816491</v>
      </c>
      <c r="AA158" s="21">
        <f>EXP(-LN(2)/25)*AA157+(1-EXP(-LN(2)/25))/(LN(2)/25)*Calculateur!V158*Calculateur!X158*VLOOKUP('Données projet'!$B$9,Paramètres!$A$1:$I$89,3,0)*0.475*44/12</f>
        <v>0.23071888607370156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0.36667724271186647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88.008749437127449</v>
      </c>
      <c r="AO158" s="59">
        <f t="shared" si="144"/>
        <v>258.40359226940507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3.2647884404574556</v>
      </c>
      <c r="AV158" s="21">
        <f>EXP(-LN(2)/25)*AV157+(1-EXP(-LN(2)/25))/(LN(2)/25)*Calculateur!AQ158*Calculateur!AS158*VLOOKUP('Données projet'!$B$10,Paramètres!$A$1:$I$89,3,0)*0.475*44/12</f>
        <v>0.23916004471496177</v>
      </c>
      <c r="AW158" s="21">
        <f>EXP(-LN(2)/2)*AW157+(1-EXP(-LN(2)/2))/(LN(2)/2)*AQ158*AT158*VLOOKUP('Données projet'!$B$10,Paramètres!$A$1:$I$89,3,0)*0.475*44/12</f>
        <v>6.9102726915978778E-20</v>
      </c>
      <c r="AX158" s="21">
        <f t="shared" si="166"/>
        <v>3.5039484851724172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304.99999999999983</v>
      </c>
      <c r="O159" s="13">
        <f>N159*VLOOKUP('Données projet'!$B$9,Paramètres!$A$1:$I$89,3,0)*VLOOKUP('Données projet'!$B$9,Paramètres!$A$1:$I$89,5,0)</f>
        <v>275.96399999999983</v>
      </c>
      <c r="P159" s="13">
        <f t="shared" si="141"/>
        <v>66.113366665488854</v>
      </c>
      <c r="Q159" s="20">
        <f t="shared" si="162"/>
        <v>595.78474694239264</v>
      </c>
      <c r="R159" s="59">
        <f t="shared" si="109"/>
        <v>883.13964538948096</v>
      </c>
      <c r="S159" s="59">
        <f ca="1">AVERAGE(OFFSET($R$3,0,0,'Données projet'!$E$9+1,1))-AVERAGE(OFFSET($H$3,0,0,'Données projet'!$E$9+1,1))</f>
        <v>376.51107072413777</v>
      </c>
      <c r="T159" s="59">
        <f t="shared" si="142"/>
        <v>532.90758914457615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0.13329229619089975</v>
      </c>
      <c r="AA159" s="21">
        <f>EXP(-LN(2)/25)*AA158+(1-EXP(-LN(2)/25))/(LN(2)/25)*Calculateur!V159*Calculateur!X159*VLOOKUP('Données projet'!$B$9,Paramètres!$A$1:$I$89,3,0)*0.475*44/12</f>
        <v>0.22440986600103729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0.35770216219193707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88.008749437127449</v>
      </c>
      <c r="AO159" s="59">
        <f t="shared" si="144"/>
        <v>258.40359226940507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3.2007679304644068</v>
      </c>
      <c r="AV159" s="21">
        <f>EXP(-LN(2)/25)*AV158+(1-EXP(-LN(2)/25))/(LN(2)/25)*Calculateur!AQ159*Calculateur!AS159*VLOOKUP('Données projet'!$B$10,Paramètres!$A$1:$I$89,3,0)*0.475*44/12</f>
        <v>0.232620200715351</v>
      </c>
      <c r="AW159" s="21">
        <f>EXP(-LN(2)/2)*AW158+(1-EXP(-LN(2)/2))/(LN(2)/2)*AQ159*AT159*VLOOKUP('Données projet'!$B$10,Paramètres!$A$1:$I$89,3,0)*0.475*44/12</f>
        <v>4.8863006800770754E-20</v>
      </c>
      <c r="AX159" s="21">
        <f t="shared" si="166"/>
        <v>3.4333881311797576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304.99999999999983</v>
      </c>
      <c r="O160" s="13">
        <f>N160*VLOOKUP('Données projet'!$B$9,Paramètres!$A$1:$I$89,3,0)*VLOOKUP('Données projet'!$B$9,Paramètres!$A$1:$I$89,5,0)</f>
        <v>275.96399999999983</v>
      </c>
      <c r="P160" s="13">
        <f t="shared" si="141"/>
        <v>66.113366665488854</v>
      </c>
      <c r="Q160" s="20">
        <f t="shared" si="162"/>
        <v>595.78474694239264</v>
      </c>
      <c r="R160" s="59">
        <f t="shared" si="109"/>
        <v>883.24335786897927</v>
      </c>
      <c r="S160" s="59">
        <f ca="1">AVERAGE(OFFSET($R$3,0,0,'Données projet'!$E$9+1,1))-AVERAGE(OFFSET($H$3,0,0,'Données projet'!$E$9+1,1))</f>
        <v>376.51107072413777</v>
      </c>
      <c r="T160" s="59">
        <f t="shared" si="142"/>
        <v>532.90758914457615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0.13067851556286914</v>
      </c>
      <c r="AA160" s="21">
        <f>EXP(-LN(2)/25)*AA159+(1-EXP(-LN(2)/25))/(LN(2)/25)*Calculateur!V160*Calculateur!X160*VLOOKUP('Données projet'!$B$9,Paramètres!$A$1:$I$89,3,0)*0.475*44/12</f>
        <v>0.21827336641403697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0.34895188197690608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88.008749437127449</v>
      </c>
      <c r="AO160" s="59">
        <f t="shared" si="144"/>
        <v>258.40359226940507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3.1380028236236663</v>
      </c>
      <c r="AV160" s="21">
        <f>EXP(-LN(2)/25)*AV159+(1-EXP(-LN(2)/25))/(LN(2)/25)*Calculateur!AQ160*Calculateur!AS160*VLOOKUP('Données projet'!$B$10,Paramètres!$A$1:$I$89,3,0)*0.475*44/12</f>
        <v>0.22625918909382503</v>
      </c>
      <c r="AW160" s="21">
        <f>EXP(-LN(2)/2)*AW159+(1-EXP(-LN(2)/2))/(LN(2)/2)*AQ160*AT160*VLOOKUP('Données projet'!$B$10,Paramètres!$A$1:$I$89,3,0)*0.475*44/12</f>
        <v>3.4551363457989389E-20</v>
      </c>
      <c r="AX160" s="21">
        <f t="shared" si="166"/>
        <v>3.3642620127174911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304.99999999999983</v>
      </c>
      <c r="O161" s="13">
        <f>N161*VLOOKUP('Données projet'!$B$9,Paramètres!$A$1:$I$89,3,0)*VLOOKUP('Données projet'!$B$9,Paramètres!$A$1:$I$89,5,0)</f>
        <v>275.96399999999983</v>
      </c>
      <c r="P161" s="13">
        <f t="shared" si="141"/>
        <v>66.113366665488854</v>
      </c>
      <c r="Q161" s="20">
        <f t="shared" si="162"/>
        <v>595.78474694239264</v>
      </c>
      <c r="R161" s="59">
        <f t="shared" si="109"/>
        <v>883.34527116882464</v>
      </c>
      <c r="S161" s="59">
        <f ca="1">AVERAGE(OFFSET($R$3,0,0,'Données projet'!$E$9+1,1))-AVERAGE(OFFSET($H$3,0,0,'Données projet'!$E$9+1,1))</f>
        <v>376.51107072413777</v>
      </c>
      <c r="T161" s="59">
        <f t="shared" si="142"/>
        <v>532.90758914457615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0.12811598957870546</v>
      </c>
      <c r="AA161" s="21">
        <f>EXP(-LN(2)/25)*AA160+(1-EXP(-LN(2)/25))/(LN(2)/25)*Calculateur!V161*Calculateur!X161*VLOOKUP('Données projet'!$B$9,Paramètres!$A$1:$I$89,3,0)*0.475*44/12</f>
        <v>0.21230466973094766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0.34042065930965315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88.008749437127449</v>
      </c>
      <c r="AO161" s="59">
        <f t="shared" si="144"/>
        <v>258.40359226940507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3.0764685022451377</v>
      </c>
      <c r="AV161" s="21">
        <f>EXP(-LN(2)/25)*AV160+(1-EXP(-LN(2)/25))/(LN(2)/25)*Calculateur!AQ161*Calculateur!AS161*VLOOKUP('Données projet'!$B$10,Paramètres!$A$1:$I$89,3,0)*0.475*44/12</f>
        <v>0.22007211966960075</v>
      </c>
      <c r="AW161" s="21">
        <f>EXP(-LN(2)/2)*AW160+(1-EXP(-LN(2)/2))/(LN(2)/2)*AQ161*AT161*VLOOKUP('Données projet'!$B$10,Paramètres!$A$1:$I$89,3,0)*0.475*44/12</f>
        <v>2.4431503400385377E-20</v>
      </c>
      <c r="AX161" s="21">
        <f t="shared" si="166"/>
        <v>3.2965406219147386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304.99999999999983</v>
      </c>
      <c r="O162" s="13">
        <f>N162*VLOOKUP('Données projet'!$B$9,Paramètres!$A$1:$I$89,3,0)*VLOOKUP('Données projet'!$B$9,Paramètres!$A$1:$I$89,5,0)</f>
        <v>275.96399999999983</v>
      </c>
      <c r="P162" s="13">
        <f t="shared" si="141"/>
        <v>66.113366665488854</v>
      </c>
      <c r="Q162" s="20">
        <f t="shared" si="162"/>
        <v>595.78474694239264</v>
      </c>
      <c r="R162" s="59">
        <f t="shared" si="109"/>
        <v>883.44541650076167</v>
      </c>
      <c r="S162" s="59">
        <f ca="1">AVERAGE(OFFSET($R$3,0,0,'Données projet'!$E$9+1,1))-AVERAGE(OFFSET($H$3,0,0,'Données projet'!$E$9+1,1))</f>
        <v>376.51107072413777</v>
      </c>
      <c r="T162" s="59">
        <f t="shared" si="142"/>
        <v>532.90758914457615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0.12560371316610469</v>
      </c>
      <c r="AA162" s="21">
        <f>EXP(-LN(2)/25)*AA161+(1-EXP(-LN(2)/25))/(LN(2)/25)*Calculateur!V162*Calculateur!X162*VLOOKUP('Données projet'!$B$9,Paramètres!$A$1:$I$89,3,0)*0.475*44/12</f>
        <v>0.20649918737253756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0.33210290053864222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88.008749437127449</v>
      </c>
      <c r="AO162" s="59">
        <f t="shared" si="144"/>
        <v>258.40359226940507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3.0161408313766116</v>
      </c>
      <c r="AV162" s="21">
        <f>EXP(-LN(2)/25)*AV161+(1-EXP(-LN(2)/25))/(LN(2)/25)*Calculateur!AQ162*Calculateur!AS162*VLOOKUP('Données projet'!$B$10,Paramètres!$A$1:$I$89,3,0)*0.475*44/12</f>
        <v>0.21405423598414572</v>
      </c>
      <c r="AW162" s="21">
        <f>EXP(-LN(2)/2)*AW161+(1-EXP(-LN(2)/2))/(LN(2)/2)*AQ162*AT162*VLOOKUP('Données projet'!$B$10,Paramètres!$A$1:$I$89,3,0)*0.475*44/12</f>
        <v>1.7275681728994695E-20</v>
      </c>
      <c r="AX162" s="21">
        <f t="shared" si="166"/>
        <v>3.2301950673607571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304.99999999999983</v>
      </c>
      <c r="O163" s="13">
        <f>N163*VLOOKUP('Données projet'!$B$9,Paramètres!$A$1:$I$89,3,0)*VLOOKUP('Données projet'!$B$9,Paramètres!$A$1:$I$89,5,0)</f>
        <v>275.96399999999983</v>
      </c>
      <c r="P163" s="13">
        <f t="shared" si="141"/>
        <v>66.113366665488854</v>
      </c>
      <c r="Q163" s="20">
        <f t="shared" si="162"/>
        <v>595.78474694239264</v>
      </c>
      <c r="R163" s="59">
        <f t="shared" si="109"/>
        <v>883.54382453508106</v>
      </c>
      <c r="S163" s="59">
        <f ca="1">AVERAGE(OFFSET($R$3,0,0,'Données projet'!$E$9+1,1))-AVERAGE(OFFSET($H$3,0,0,'Données projet'!$E$9+1,1))</f>
        <v>376.51107072413777</v>
      </c>
      <c r="T163" s="59">
        <f t="shared" si="142"/>
        <v>532.90758914457615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0.12314070096161774</v>
      </c>
      <c r="AA163" s="21">
        <f>EXP(-LN(2)/25)*AA162+(1-EXP(-LN(2)/25))/(LN(2)/25)*Calculateur!V163*Calculateur!X163*VLOOKUP('Données projet'!$B$9,Paramètres!$A$1:$I$89,3,0)*0.475*44/12</f>
        <v>0.20085245623451523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0.32399315719613297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88.008749437127449</v>
      </c>
      <c r="AO163" s="59">
        <f t="shared" si="144"/>
        <v>258.40359226940507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2.9569961493375718</v>
      </c>
      <c r="AV163" s="21">
        <f>EXP(-LN(2)/25)*AV162+(1-EXP(-LN(2)/25))/(LN(2)/25)*Calculateur!AQ163*Calculateur!AS163*VLOOKUP('Données projet'!$B$10,Paramètres!$A$1:$I$89,3,0)*0.475*44/12</f>
        <v>0.20820091164453622</v>
      </c>
      <c r="AW163" s="21">
        <f>EXP(-LN(2)/2)*AW162+(1-EXP(-LN(2)/2))/(LN(2)/2)*AQ163*AT163*VLOOKUP('Données projet'!$B$10,Paramètres!$A$1:$I$89,3,0)*0.475*44/12</f>
        <v>1.2215751700192689E-20</v>
      </c>
      <c r="AX163" s="21">
        <f t="shared" si="166"/>
        <v>3.1651970609821078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304.99999999999983</v>
      </c>
      <c r="O164" s="13">
        <f>N164*VLOOKUP('Données projet'!$B$9,Paramètres!$A$1:$I$89,3,0)*VLOOKUP('Données projet'!$B$9,Paramètres!$A$1:$I$89,5,0)</f>
        <v>275.96399999999983</v>
      </c>
      <c r="P164" s="13">
        <f t="shared" si="141"/>
        <v>66.113366665488854</v>
      </c>
      <c r="Q164" s="20">
        <f t="shared" si="162"/>
        <v>595.78474694239264</v>
      </c>
      <c r="R164" s="59">
        <f t="shared" si="109"/>
        <v>883.64052541001229</v>
      </c>
      <c r="S164" s="59">
        <f ca="1">AVERAGE(OFFSET($R$3,0,0,'Données projet'!$E$9+1,1))-AVERAGE(OFFSET($H$3,0,0,'Données projet'!$E$9+1,1))</f>
        <v>376.51107072413777</v>
      </c>
      <c r="T164" s="59">
        <f t="shared" si="142"/>
        <v>532.90758914457615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0.12072598692417166</v>
      </c>
      <c r="AA164" s="21">
        <f>EXP(-LN(2)/25)*AA163+(1-EXP(-LN(2)/25))/(LN(2)/25)*Calculateur!V164*Calculateur!X164*VLOOKUP('Données projet'!$B$9,Paramètres!$A$1:$I$89,3,0)*0.475*44/12</f>
        <v>0.1953601352564108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0.31608612218058246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88.008749437127449</v>
      </c>
      <c r="AO164" s="59">
        <f t="shared" si="144"/>
        <v>258.40359226940507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2.8990112584386236</v>
      </c>
      <c r="AV164" s="21">
        <f>EXP(-LN(2)/25)*AV163+(1-EXP(-LN(2)/25))/(LN(2)/25)*Calculateur!AQ164*Calculateur!AS164*VLOOKUP('Données projet'!$B$10,Paramètres!$A$1:$I$89,3,0)*0.475*44/12</f>
        <v>0.20250764676680627</v>
      </c>
      <c r="AW164" s="21">
        <f>EXP(-LN(2)/2)*AW163+(1-EXP(-LN(2)/2))/(LN(2)/2)*AQ164*AT164*VLOOKUP('Données projet'!$B$10,Paramètres!$A$1:$I$89,3,0)*0.475*44/12</f>
        <v>8.6378408644973473E-21</v>
      </c>
      <c r="AX164" s="21">
        <f t="shared" si="166"/>
        <v>3.1015189052054297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304.99999999999983</v>
      </c>
      <c r="O165" s="13">
        <f>N165*VLOOKUP('Données projet'!$B$9,Paramètres!$A$1:$I$89,3,0)*VLOOKUP('Données projet'!$B$9,Paramètres!$A$1:$I$89,5,0)</f>
        <v>275.96399999999983</v>
      </c>
      <c r="P165" s="13">
        <f t="shared" si="141"/>
        <v>66.113366665488854</v>
      </c>
      <c r="Q165" s="20">
        <f t="shared" si="162"/>
        <v>595.78474694239264</v>
      </c>
      <c r="R165" s="59">
        <f t="shared" si="109"/>
        <v>883.7355487409543</v>
      </c>
      <c r="S165" s="59">
        <f ca="1">AVERAGE(OFFSET($R$3,0,0,'Données projet'!$E$9+1,1))-AVERAGE(OFFSET($H$3,0,0,'Données projet'!$E$9+1,1))</f>
        <v>376.51107072413777</v>
      </c>
      <c r="T165" s="59">
        <f t="shared" si="142"/>
        <v>532.90758914457615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0.11835862395616976</v>
      </c>
      <c r="AA165" s="21">
        <f>EXP(-LN(2)/25)*AA164+(1-EXP(-LN(2)/25))/(LN(2)/25)*Calculateur!V165*Calculateur!X165*VLOOKUP('Données projet'!$B$9,Paramètres!$A$1:$I$89,3,0)*0.475*44/12</f>
        <v>0.19001800208428124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0.30837662604045102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88.008749437127449</v>
      </c>
      <c r="AO165" s="59">
        <f t="shared" si="144"/>
        <v>258.40359226940507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2.8421634158829123</v>
      </c>
      <c r="AV165" s="21">
        <f>EXP(-LN(2)/25)*AV164+(1-EXP(-LN(2)/25))/(LN(2)/25)*Calculateur!AQ165*Calculateur!AS165*VLOOKUP('Données projet'!$B$10,Paramètres!$A$1:$I$89,3,0)*0.475*44/12</f>
        <v>0.19697006451655363</v>
      </c>
      <c r="AW165" s="21">
        <f>EXP(-LN(2)/2)*AW164+(1-EXP(-LN(2)/2))/(LN(2)/2)*AQ165*AT165*VLOOKUP('Données projet'!$B$10,Paramètres!$A$1:$I$89,3,0)*0.475*44/12</f>
        <v>6.1078758500963443E-21</v>
      </c>
      <c r="AX165" s="21">
        <f t="shared" si="166"/>
        <v>3.0391334803994661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304.99999999999983</v>
      </c>
      <c r="O166" s="13">
        <f>N166*VLOOKUP('Données projet'!$B$9,Paramètres!$A$1:$I$89,3,0)*VLOOKUP('Données projet'!$B$9,Paramètres!$A$1:$I$89,5,0)</f>
        <v>275.96399999999983</v>
      </c>
      <c r="P166" s="13">
        <f t="shared" si="141"/>
        <v>66.113366665488854</v>
      </c>
      <c r="Q166" s="20">
        <f t="shared" si="162"/>
        <v>595.78474694239264</v>
      </c>
      <c r="R166" s="59">
        <f t="shared" si="109"/>
        <v>883.82892362954487</v>
      </c>
      <c r="S166" s="59">
        <f ca="1">AVERAGE(OFFSET($R$3,0,0,'Données projet'!$E$9+1,1))-AVERAGE(OFFSET($H$3,0,0,'Données projet'!$E$9+1,1))</f>
        <v>376.51107072413777</v>
      </c>
      <c r="T166" s="59">
        <f t="shared" si="142"/>
        <v>532.90758914457615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0.11603768353202155</v>
      </c>
      <c r="AA166" s="21">
        <f>EXP(-LN(2)/25)*AA165+(1-EXP(-LN(2)/25))/(LN(2)/25)*Calculateur!V166*Calculateur!X166*VLOOKUP('Données projet'!$B$9,Paramètres!$A$1:$I$89,3,0)*0.475*44/12</f>
        <v>0.18482194982467412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0.30085963335669569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88.008749437127449</v>
      </c>
      <c r="AO166" s="59">
        <f t="shared" si="144"/>
        <v>258.40359226940507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2.7864303248459583</v>
      </c>
      <c r="AV166" s="21">
        <f>EXP(-LN(2)/25)*AV165+(1-EXP(-LN(2)/25))/(LN(2)/25)*Calculateur!AQ166*Calculateur!AS166*VLOOKUP('Données projet'!$B$10,Paramètres!$A$1:$I$89,3,0)*0.475*44/12</f>
        <v>0.19158390774414297</v>
      </c>
      <c r="AW166" s="21">
        <f>EXP(-LN(2)/2)*AW165+(1-EXP(-LN(2)/2))/(LN(2)/2)*AQ166*AT166*VLOOKUP('Données projet'!$B$10,Paramètres!$A$1:$I$89,3,0)*0.475*44/12</f>
        <v>4.3189204322486736E-21</v>
      </c>
      <c r="AX166" s="21">
        <f t="shared" si="166"/>
        <v>2.9780142325901013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304.99999999999983</v>
      </c>
      <c r="O167" s="13">
        <f>N167*VLOOKUP('Données projet'!$B$9,Paramètres!$A$1:$I$89,3,0)*VLOOKUP('Données projet'!$B$9,Paramètres!$A$1:$I$89,5,0)</f>
        <v>275.96399999999983</v>
      </c>
      <c r="P167" s="13">
        <f t="shared" si="141"/>
        <v>66.113366665488854</v>
      </c>
      <c r="Q167" s="20">
        <f t="shared" si="162"/>
        <v>595.78474694239264</v>
      </c>
      <c r="R167" s="59">
        <f t="shared" si="109"/>
        <v>883.92067867257333</v>
      </c>
      <c r="S167" s="59">
        <f ca="1">AVERAGE(OFFSET($R$3,0,0,'Données projet'!$E$9+1,1))-AVERAGE(OFFSET($H$3,0,0,'Données projet'!$E$9+1,1))</f>
        <v>376.51107072413777</v>
      </c>
      <c r="T167" s="59">
        <f t="shared" si="142"/>
        <v>532.90758914457615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0.11376225533395702</v>
      </c>
      <c r="AA167" s="21">
        <f>EXP(-LN(2)/25)*AA166+(1-EXP(-LN(2)/25))/(LN(2)/25)*Calculateur!V167*Calculateur!X167*VLOOKUP('Données projet'!$B$9,Paramètres!$A$1:$I$89,3,0)*0.475*44/12</f>
        <v>0.17976798388735449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0.2935302392213115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88.008749437127449</v>
      </c>
      <c r="AO167" s="59">
        <f t="shared" si="144"/>
        <v>258.40359226940507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2.7317901257304102</v>
      </c>
      <c r="AV167" s="21">
        <f>EXP(-LN(2)/25)*AV166+(1-EXP(-LN(2)/25))/(LN(2)/25)*Calculateur!AQ167*Calculateur!AS167*VLOOKUP('Données projet'!$B$10,Paramètres!$A$1:$I$89,3,0)*0.475*44/12</f>
        <v>0.18634503571191954</v>
      </c>
      <c r="AW167" s="21">
        <f>EXP(-LN(2)/2)*AW166+(1-EXP(-LN(2)/2))/(LN(2)/2)*AQ167*AT167*VLOOKUP('Données projet'!$B$10,Paramètres!$A$1:$I$89,3,0)*0.475*44/12</f>
        <v>3.0539379250481722E-21</v>
      </c>
      <c r="AX167" s="21">
        <f t="shared" si="166"/>
        <v>2.9181351614423297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304.99999999999983</v>
      </c>
      <c r="O168" s="13">
        <f>N168*VLOOKUP('Données projet'!$B$9,Paramètres!$A$1:$I$89,3,0)*VLOOKUP('Données projet'!$B$9,Paramètres!$A$1:$I$89,5,0)</f>
        <v>275.96399999999983</v>
      </c>
      <c r="P168" s="13">
        <f t="shared" si="141"/>
        <v>66.113366665488854</v>
      </c>
      <c r="Q168" s="20">
        <f t="shared" si="162"/>
        <v>595.78474694239264</v>
      </c>
      <c r="R168" s="59">
        <f t="shared" si="109"/>
        <v>884.01084197073874</v>
      </c>
      <c r="S168" s="59">
        <f ca="1">AVERAGE(OFFSET($R$3,0,0,'Données projet'!$E$9+1,1))-AVERAGE(OFFSET($H$3,0,0,'Données projet'!$E$9+1,1))</f>
        <v>376.51107072413777</v>
      </c>
      <c r="T168" s="59">
        <f t="shared" si="142"/>
        <v>532.90758914457615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0.11153144689498237</v>
      </c>
      <c r="AA168" s="21">
        <f>EXP(-LN(2)/25)*AA167+(1-EXP(-LN(2)/25))/(LN(2)/25)*Calculateur!V168*Calculateur!X168*VLOOKUP('Données projet'!$B$9,Paramètres!$A$1:$I$89,3,0)*0.475*44/12</f>
        <v>0.17485221891436736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0.28638366580934971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88.008749437127449</v>
      </c>
      <c r="AO168" s="59">
        <f t="shared" si="144"/>
        <v>258.40359226940507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2.6782213875922873</v>
      </c>
      <c r="AV168" s="21">
        <f>EXP(-LN(2)/25)*AV167+(1-EXP(-LN(2)/25))/(LN(2)/25)*Calculateur!AQ168*Calculateur!AS168*VLOOKUP('Données projet'!$B$10,Paramètres!$A$1:$I$89,3,0)*0.475*44/12</f>
        <v>0.18124942091091759</v>
      </c>
      <c r="AW168" s="21">
        <f>EXP(-LN(2)/2)*AW167+(1-EXP(-LN(2)/2))/(LN(2)/2)*AQ168*AT168*VLOOKUP('Données projet'!$B$10,Paramètres!$A$1:$I$89,3,0)*0.475*44/12</f>
        <v>2.1594602161243368E-21</v>
      </c>
      <c r="AX168" s="21">
        <f t="shared" si="166"/>
        <v>2.8594708085032048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304.99999999999983</v>
      </c>
      <c r="O169" s="13">
        <f>N169*VLOOKUP('Données projet'!$B$9,Paramètres!$A$1:$I$89,3,0)*VLOOKUP('Données projet'!$B$9,Paramètres!$A$1:$I$89,5,0)</f>
        <v>275.96399999999983</v>
      </c>
      <c r="P169" s="13">
        <f t="shared" si="141"/>
        <v>66.113366665488854</v>
      </c>
      <c r="Q169" s="20">
        <f t="shared" si="162"/>
        <v>595.78474694239264</v>
      </c>
      <c r="R169" s="59">
        <f t="shared" si="109"/>
        <v>884.09944113725601</v>
      </c>
      <c r="S169" s="59">
        <f ca="1">AVERAGE(OFFSET($R$3,0,0,'Données projet'!$E$9+1,1))-AVERAGE(OFFSET($H$3,0,0,'Données projet'!$E$9+1,1))</f>
        <v>376.51107072413777</v>
      </c>
      <c r="T169" s="59">
        <f t="shared" si="142"/>
        <v>532.90758914457615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0.10934438324883722</v>
      </c>
      <c r="AA169" s="21">
        <f>EXP(-LN(2)/25)*AA168+(1-EXP(-LN(2)/25))/(LN(2)/25)*Calculateur!V169*Calculateur!X169*VLOOKUP('Données projet'!$B$9,Paramètres!$A$1:$I$89,3,0)*0.475*44/12</f>
        <v>0.17007087579307542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0.27941525904191267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88.008749437127449</v>
      </c>
      <c r="AO169" s="59">
        <f t="shared" si="144"/>
        <v>258.40359226940507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2.625703099735349</v>
      </c>
      <c r="AV169" s="21">
        <f>EXP(-LN(2)/25)*AV168+(1-EXP(-LN(2)/25))/(LN(2)/25)*Calculateur!AQ169*Calculateur!AS169*VLOOKUP('Données projet'!$B$10,Paramètres!$A$1:$I$89,3,0)*0.475*44/12</f>
        <v>0.17629314596461576</v>
      </c>
      <c r="AW169" s="21">
        <f>EXP(-LN(2)/2)*AW168+(1-EXP(-LN(2)/2))/(LN(2)/2)*AQ169*AT169*VLOOKUP('Données projet'!$B$10,Paramètres!$A$1:$I$89,3,0)*0.475*44/12</f>
        <v>1.5269689625240861E-21</v>
      </c>
      <c r="AX169" s="21">
        <f t="shared" si="166"/>
        <v>2.8019962456999647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304.99999999999983</v>
      </c>
      <c r="O170" s="13">
        <f>N170*VLOOKUP('Données projet'!$B$9,Paramètres!$A$1:$I$89,3,0)*VLOOKUP('Données projet'!$B$9,Paramètres!$A$1:$I$89,5,0)</f>
        <v>275.96399999999983</v>
      </c>
      <c r="P170" s="13">
        <f t="shared" si="141"/>
        <v>66.113366665488854</v>
      </c>
      <c r="Q170" s="20">
        <f t="shared" si="162"/>
        <v>595.78474694239264</v>
      </c>
      <c r="R170" s="59">
        <f t="shared" si="109"/>
        <v>884.18650330631226</v>
      </c>
      <c r="S170" s="59">
        <f ca="1">AVERAGE(OFFSET($R$3,0,0,'Données projet'!$E$9+1,1))-AVERAGE(OFFSET($H$3,0,0,'Données projet'!$E$9+1,1))</f>
        <v>376.51107072413777</v>
      </c>
      <c r="T170" s="59">
        <f t="shared" si="142"/>
        <v>532.90758914457615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0.10720020658681587</v>
      </c>
      <c r="AA170" s="21">
        <f>EXP(-LN(2)/25)*AA169+(1-EXP(-LN(2)/25))/(LN(2)/25)*Calculateur!V170*Calculateur!X170*VLOOKUP('Données projet'!$B$9,Paramètres!$A$1:$I$89,3,0)*0.475*44/12</f>
        <v>0.16542027875087512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0.27262048533769101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88.008749437127449</v>
      </c>
      <c r="AO170" s="59">
        <f t="shared" si="144"/>
        <v>258.40359226940507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2.5742146634702925</v>
      </c>
      <c r="AV170" s="21">
        <f>EXP(-LN(2)/25)*AV169+(1-EXP(-LN(2)/25))/(LN(2)/25)*Calculateur!AQ170*Calculateur!AS170*VLOOKUP('Données projet'!$B$10,Paramètres!$A$1:$I$89,3,0)*0.475*44/12</f>
        <v>0.17147240061735972</v>
      </c>
      <c r="AW170" s="21">
        <f>EXP(-LN(2)/2)*AW169+(1-EXP(-LN(2)/2))/(LN(2)/2)*AQ170*AT170*VLOOKUP('Données projet'!$B$10,Paramètres!$A$1:$I$89,3,0)*0.475*44/12</f>
        <v>1.0797301080621684E-21</v>
      </c>
      <c r="AX170" s="21">
        <f t="shared" si="166"/>
        <v>2.7456870640876523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304.99999999999983</v>
      </c>
      <c r="O171" s="13">
        <f>N171*VLOOKUP('Données projet'!$B$9,Paramètres!$A$1:$I$89,3,0)*VLOOKUP('Données projet'!$B$9,Paramètres!$A$1:$I$89,5,0)</f>
        <v>275.96399999999983</v>
      </c>
      <c r="P171" s="13">
        <f t="shared" si="141"/>
        <v>66.113366665488854</v>
      </c>
      <c r="Q171" s="20">
        <f t="shared" si="162"/>
        <v>595.78474694239264</v>
      </c>
      <c r="R171" s="59">
        <f t="shared" si="109"/>
        <v>884.27205514137722</v>
      </c>
      <c r="S171" s="59">
        <f ca="1">AVERAGE(OFFSET($R$3,0,0,'Données projet'!$E$9+1,1))-AVERAGE(OFFSET($H$3,0,0,'Données projet'!$E$9+1,1))</f>
        <v>376.51107072413777</v>
      </c>
      <c r="T171" s="59">
        <f t="shared" si="142"/>
        <v>532.90758914457615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0.10509807592131813</v>
      </c>
      <c r="AA171" s="21">
        <f>EXP(-LN(2)/25)*AA170+(1-EXP(-LN(2)/25))/(LN(2)/25)*Calculateur!V171*Calculateur!X171*VLOOKUP('Données projet'!$B$9,Paramètres!$A$1:$I$89,3,0)*0.475*44/12</f>
        <v>0.16089685252935804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0.26599492845067618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88.008749437127449</v>
      </c>
      <c r="AO171" s="59">
        <f t="shared" si="144"/>
        <v>258.40359226940507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2.5237358840355486</v>
      </c>
      <c r="AV171" s="21">
        <f>EXP(-LN(2)/25)*AV170+(1-EXP(-LN(2)/25))/(LN(2)/25)*Calculateur!AQ171*Calculateur!AS171*VLOOKUP('Données projet'!$B$10,Paramètres!$A$1:$I$89,3,0)*0.475*44/12</f>
        <v>0.16678347880513636</v>
      </c>
      <c r="AW171" s="21">
        <f>EXP(-LN(2)/2)*AW170+(1-EXP(-LN(2)/2))/(LN(2)/2)*AQ171*AT171*VLOOKUP('Données projet'!$B$10,Paramètres!$A$1:$I$89,3,0)*0.475*44/12</f>
        <v>7.6348448126204304E-22</v>
      </c>
      <c r="AX171" s="21">
        <f t="shared" si="166"/>
        <v>2.6905193628406852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304.99999999999983</v>
      </c>
      <c r="O172" s="13">
        <f>N172*VLOOKUP('Données projet'!$B$9,Paramètres!$A$1:$I$89,3,0)*VLOOKUP('Données projet'!$B$9,Paramètres!$A$1:$I$89,5,0)</f>
        <v>275.96399999999983</v>
      </c>
      <c r="P172" s="13">
        <f t="shared" si="141"/>
        <v>66.113366665488854</v>
      </c>
      <c r="Q172" s="20">
        <f t="shared" si="162"/>
        <v>595.78474694239264</v>
      </c>
      <c r="R172" s="59">
        <f t="shared" si="109"/>
        <v>884.35612284336912</v>
      </c>
      <c r="S172" s="59">
        <f ca="1">AVERAGE(OFFSET($R$3,0,0,'Données projet'!$E$9+1,1))-AVERAGE(OFFSET($H$3,0,0,'Données projet'!$E$9+1,1))</f>
        <v>376.51107072413777</v>
      </c>
      <c r="T172" s="59">
        <f t="shared" si="142"/>
        <v>532.90758914457615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0.10303716675599769</v>
      </c>
      <c r="AA172" s="21">
        <f>EXP(-LN(2)/25)*AA171+(1-EXP(-LN(2)/25))/(LN(2)/25)*Calculateur!V172*Calculateur!X172*VLOOKUP('Données projet'!$B$9,Paramètres!$A$1:$I$89,3,0)*0.475*44/12</f>
        <v>0.156497119635745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0.2595342863917427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88.008749437127449</v>
      </c>
      <c r="AO172" s="59">
        <f t="shared" si="144"/>
        <v>258.40359226940507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2.4742469626765047</v>
      </c>
      <c r="AV172" s="21">
        <f>EXP(-LN(2)/25)*AV171+(1-EXP(-LN(2)/25))/(LN(2)/25)*Calculateur!AQ172*Calculateur!AS172*VLOOKUP('Données projet'!$B$10,Paramètres!$A$1:$I$89,3,0)*0.475*44/12</f>
        <v>0.16222277580644795</v>
      </c>
      <c r="AW172" s="21">
        <f>EXP(-LN(2)/2)*AW171+(1-EXP(-LN(2)/2))/(LN(2)/2)*AQ172*AT172*VLOOKUP('Données projet'!$B$10,Paramètres!$A$1:$I$89,3,0)*0.475*44/12</f>
        <v>5.398650540310842E-22</v>
      </c>
      <c r="AX172" s="21">
        <f t="shared" si="166"/>
        <v>2.6364697384829525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304.99999999999983</v>
      </c>
      <c r="O173" s="13">
        <f>N173*VLOOKUP('Données projet'!$B$9,Paramètres!$A$1:$I$89,3,0)*VLOOKUP('Données projet'!$B$9,Paramètres!$A$1:$I$89,5,0)</f>
        <v>275.96399999999983</v>
      </c>
      <c r="P173" s="13">
        <f t="shared" si="141"/>
        <v>66.113366665488854</v>
      </c>
      <c r="Q173" s="20">
        <f t="shared" si="162"/>
        <v>595.78474694239264</v>
      </c>
      <c r="R173" s="59">
        <f t="shared" si="109"/>
        <v>884.43873215867848</v>
      </c>
      <c r="S173" s="59">
        <f ca="1">AVERAGE(OFFSET($R$3,0,0,'Données projet'!$E$9+1,1))-AVERAGE(OFFSET($H$3,0,0,'Données projet'!$E$9+1,1))</f>
        <v>376.51107072413777</v>
      </c>
      <c r="T173" s="59">
        <f t="shared" si="142"/>
        <v>532.90758914457615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0.10101667076237873</v>
      </c>
      <c r="AA173" s="21">
        <f>EXP(-LN(2)/25)*AA172+(1-EXP(-LN(2)/25))/(LN(2)/25)*Calculateur!V173*Calculateur!X173*VLOOKUP('Données projet'!$B$9,Paramètres!$A$1:$I$89,3,0)*0.475*44/12</f>
        <v>0.15221769766947971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0.25323436843185843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88.008749437127449</v>
      </c>
      <c r="AO173" s="59">
        <f t="shared" si="144"/>
        <v>258.40359226940507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2.4257284888800501</v>
      </c>
      <c r="AV173" s="21">
        <f>EXP(-LN(2)/25)*AV172+(1-EXP(-LN(2)/25))/(LN(2)/25)*Calculateur!AQ173*Calculateur!AS173*VLOOKUP('Données projet'!$B$10,Paramètres!$A$1:$I$89,3,0)*0.475*44/12</f>
        <v>0.15778678547109562</v>
      </c>
      <c r="AW173" s="21">
        <f>EXP(-LN(2)/2)*AW172+(1-EXP(-LN(2)/2))/(LN(2)/2)*AQ173*AT173*VLOOKUP('Données projet'!$B$10,Paramètres!$A$1:$I$89,3,0)*0.475*44/12</f>
        <v>3.8174224063102152E-22</v>
      </c>
      <c r="AX173" s="21">
        <f t="shared" si="166"/>
        <v>2.5835152743511456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304.99999999999983</v>
      </c>
      <c r="O174" s="13">
        <f>N174*VLOOKUP('Données projet'!$B$9,Paramètres!$A$1:$I$89,3,0)*VLOOKUP('Données projet'!$B$9,Paramètres!$A$1:$I$89,5,0)</f>
        <v>275.96399999999983</v>
      </c>
      <c r="P174" s="13">
        <f t="shared" si="141"/>
        <v>66.113366665488854</v>
      </c>
      <c r="Q174" s="20">
        <f t="shared" si="162"/>
        <v>595.78474694239264</v>
      </c>
      <c r="R174" s="59">
        <f t="shared" si="109"/>
        <v>884.5199083870541</v>
      </c>
      <c r="S174" s="59">
        <f ca="1">AVERAGE(OFFSET($R$3,0,0,'Données projet'!$E$9+1,1))-AVERAGE(OFFSET($H$3,0,0,'Données projet'!$E$9+1,1))</f>
        <v>376.51107072413777</v>
      </c>
      <c r="T174" s="59">
        <f t="shared" si="142"/>
        <v>532.90758914457615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9.9035795462813769E-2</v>
      </c>
      <c r="AA174" s="21">
        <f>EXP(-LN(2)/25)*AA173+(1-EXP(-LN(2)/25))/(LN(2)/25)*Calculateur!V174*Calculateur!X174*VLOOKUP('Données projet'!$B$9,Paramètres!$A$1:$I$89,3,0)*0.475*44/12</f>
        <v>0.14805529672192697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0.24709109218474073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88.008749437127449</v>
      </c>
      <c r="AO174" s="59">
        <f t="shared" si="144"/>
        <v>258.40359226940507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2.3781614327613974</v>
      </c>
      <c r="AV174" s="21">
        <f>EXP(-LN(2)/25)*AV173+(1-EXP(-LN(2)/25))/(LN(2)/25)*Calculateur!AQ174*Calculateur!AS174*VLOOKUP('Données projet'!$B$10,Paramètres!$A$1:$I$89,3,0)*0.475*44/12</f>
        <v>0.15347209752474208</v>
      </c>
      <c r="AW174" s="21">
        <f>EXP(-LN(2)/2)*AW173+(1-EXP(-LN(2)/2))/(LN(2)/2)*AQ174*AT174*VLOOKUP('Données projet'!$B$10,Paramètres!$A$1:$I$89,3,0)*0.475*44/12</f>
        <v>2.699325270155421E-22</v>
      </c>
      <c r="AX174" s="21">
        <f t="shared" si="166"/>
        <v>2.5316335302861392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304.99999999999983</v>
      </c>
      <c r="O175" s="13">
        <f>N175*VLOOKUP('Données projet'!$B$9,Paramètres!$A$1:$I$89,3,0)*VLOOKUP('Données projet'!$B$9,Paramètres!$A$1:$I$89,5,0)</f>
        <v>275.96399999999983</v>
      </c>
      <c r="P175" s="13">
        <f t="shared" si="141"/>
        <v>66.113366665488854</v>
      </c>
      <c r="Q175" s="20">
        <f t="shared" si="162"/>
        <v>595.78474694239264</v>
      </c>
      <c r="R175" s="59">
        <f t="shared" si="109"/>
        <v>884.59967638935029</v>
      </c>
      <c r="S175" s="59">
        <f ca="1">AVERAGE(OFFSET($R$3,0,0,'Données projet'!$E$9+1,1))-AVERAGE(OFFSET($H$3,0,0,'Données projet'!$E$9+1,1))</f>
        <v>376.51107072413777</v>
      </c>
      <c r="T175" s="59">
        <f t="shared" si="142"/>
        <v>532.90758914457615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9.7093763919658641E-2</v>
      </c>
      <c r="AA175" s="21">
        <f>EXP(-LN(2)/25)*AA174+(1-EXP(-LN(2)/25))/(LN(2)/25)*Calculateur!V175*Calculateur!X175*VLOOKUP('Données projet'!$B$9,Paramètres!$A$1:$I$89,3,0)*0.475*44/12</f>
        <v>0.1440067168471762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0.24110048076683482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88.008749437127449</v>
      </c>
      <c r="AO175" s="59">
        <f t="shared" si="144"/>
        <v>258.40359226940507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2.331527137600192</v>
      </c>
      <c r="AV175" s="21">
        <f>EXP(-LN(2)/25)*AV174+(1-EXP(-LN(2)/25))/(LN(2)/25)*Calculateur!AQ175*Calculateur!AS175*VLOOKUP('Données projet'!$B$10,Paramètres!$A$1:$I$89,3,0)*0.475*44/12</f>
        <v>0.14927539494718117</v>
      </c>
      <c r="AW175" s="21">
        <f>EXP(-LN(2)/2)*AW174+(1-EXP(-LN(2)/2))/(LN(2)/2)*AQ175*AT175*VLOOKUP('Données projet'!$B$10,Paramètres!$A$1:$I$89,3,0)*0.475*44/12</f>
        <v>1.9087112031551076E-22</v>
      </c>
      <c r="AX175" s="21">
        <f t="shared" si="166"/>
        <v>2.480802532547373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304.99999999999983</v>
      </c>
      <c r="O176" s="13">
        <f>N176*VLOOKUP('Données projet'!$B$9,Paramètres!$A$1:$I$89,3,0)*VLOOKUP('Données projet'!$B$9,Paramètres!$A$1:$I$89,5,0)</f>
        <v>275.96399999999983</v>
      </c>
      <c r="P176" s="13">
        <f t="shared" si="141"/>
        <v>66.113366665488854</v>
      </c>
      <c r="Q176" s="20">
        <f t="shared" si="162"/>
        <v>595.78474694239264</v>
      </c>
      <c r="R176" s="59">
        <f t="shared" si="109"/>
        <v>884.67806059514112</v>
      </c>
      <c r="S176" s="59">
        <f ca="1">AVERAGE(OFFSET($R$3,0,0,'Données projet'!$E$9+1,1))-AVERAGE(OFFSET($H$3,0,0,'Données projet'!$E$9+1,1))</f>
        <v>376.51107072413777</v>
      </c>
      <c r="T176" s="59">
        <f t="shared" si="142"/>
        <v>532.90758914457615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9.5189814430542502E-2</v>
      </c>
      <c r="AA176" s="21">
        <f>EXP(-LN(2)/25)*AA175+(1-EXP(-LN(2)/25))/(LN(2)/25)*Calculateur!V176*Calculateur!X176*VLOOKUP('Données projet'!$B$9,Paramètres!$A$1:$I$89,3,0)*0.475*44/12</f>
        <v>0.14006884560200605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0.23525866003254856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88.008749437127449</v>
      </c>
      <c r="AO176" s="59">
        <f t="shared" si="144"/>
        <v>258.40359226940507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2.2858073125229863</v>
      </c>
      <c r="AV176" s="21">
        <f>EXP(-LN(2)/25)*AV175+(1-EXP(-LN(2)/25))/(LN(2)/25)*Calculateur!AQ176*Calculateur!AS176*VLOOKUP('Données projet'!$B$10,Paramètres!$A$1:$I$89,3,0)*0.475*44/12</f>
        <v>0.14519345142229867</v>
      </c>
      <c r="AW176" s="21">
        <f>EXP(-LN(2)/2)*AW175+(1-EXP(-LN(2)/2))/(LN(2)/2)*AQ176*AT176*VLOOKUP('Données projet'!$B$10,Paramètres!$A$1:$I$89,3,0)*0.475*44/12</f>
        <v>1.3496626350777105E-22</v>
      </c>
      <c r="AX176" s="21">
        <f t="shared" si="166"/>
        <v>2.4310007639452849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304.99999999999983</v>
      </c>
      <c r="O177" s="13">
        <f>N177*VLOOKUP('Données projet'!$B$9,Paramètres!$A$1:$I$89,3,0)*VLOOKUP('Données projet'!$B$9,Paramètres!$A$1:$I$89,5,0)</f>
        <v>275.96399999999983</v>
      </c>
      <c r="P177" s="13">
        <f t="shared" si="141"/>
        <v>66.113366665488854</v>
      </c>
      <c r="Q177" s="20">
        <f t="shared" si="162"/>
        <v>595.78474694239264</v>
      </c>
      <c r="R177" s="59">
        <f t="shared" si="109"/>
        <v>884.75508501020238</v>
      </c>
      <c r="S177" s="59">
        <f ca="1">AVERAGE(OFFSET($R$3,0,0,'Données projet'!$E$9+1,1))-AVERAGE(OFFSET($H$3,0,0,'Données projet'!$E$9+1,1))</f>
        <v>376.51107072413777</v>
      </c>
      <c r="T177" s="59">
        <f t="shared" si="142"/>
        <v>532.90758914457615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9.3323200229613407E-2</v>
      </c>
      <c r="AA177" s="21">
        <f>EXP(-LN(2)/25)*AA176+(1-EXP(-LN(2)/25))/(LN(2)/25)*Calculateur!V177*Calculateur!X177*VLOOKUP('Données projet'!$B$9,Paramètres!$A$1:$I$89,3,0)*0.475*44/12</f>
        <v>0.13623865565311874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0.22956185588273215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88.008749437127449</v>
      </c>
      <c r="AO177" s="59">
        <f t="shared" si="144"/>
        <v>258.40359226940507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2.240984025329205</v>
      </c>
      <c r="AV177" s="21">
        <f>EXP(-LN(2)/25)*AV176+(1-EXP(-LN(2)/25))/(LN(2)/25)*Calculateur!AQ177*Calculateur!AS177*VLOOKUP('Données projet'!$B$10,Paramètres!$A$1:$I$89,3,0)*0.475*44/12</f>
        <v>0.14122312885776414</v>
      </c>
      <c r="AW177" s="21">
        <f>EXP(-LN(2)/2)*AW176+(1-EXP(-LN(2)/2))/(LN(2)/2)*AQ177*AT177*VLOOKUP('Données projet'!$B$10,Paramètres!$A$1:$I$89,3,0)*0.475*44/12</f>
        <v>9.543556015775538E-23</v>
      </c>
      <c r="AX177" s="21">
        <f t="shared" si="166"/>
        <v>2.3822071541869692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304.99999999999983</v>
      </c>
      <c r="O178" s="13">
        <f>N178*VLOOKUP('Données projet'!$B$9,Paramètres!$A$1:$I$89,3,0)*VLOOKUP('Données projet'!$B$9,Paramètres!$A$1:$I$89,5,0)</f>
        <v>275.96399999999983</v>
      </c>
      <c r="P178" s="13">
        <f t="shared" si="141"/>
        <v>66.113366665488854</v>
      </c>
      <c r="Q178" s="20">
        <f t="shared" si="162"/>
        <v>595.78474694239264</v>
      </c>
      <c r="R178" s="59">
        <f t="shared" si="109"/>
        <v>884.83077322386305</v>
      </c>
      <c r="S178" s="59">
        <f ca="1">AVERAGE(OFFSET($R$3,0,0,'Données projet'!$E$9+1,1))-AVERAGE(OFFSET($H$3,0,0,'Données projet'!$E$9+1,1))</f>
        <v>376.51107072413777</v>
      </c>
      <c r="T178" s="59">
        <f t="shared" si="142"/>
        <v>532.90758914457615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9.1493189194642291E-2</v>
      </c>
      <c r="AA178" s="21">
        <f>EXP(-LN(2)/25)*AA177+(1-EXP(-LN(2)/25))/(LN(2)/25)*Calculateur!V178*Calculateur!X178*VLOOKUP('Données projet'!$B$9,Paramètres!$A$1:$I$89,3,0)*0.475*44/12</f>
        <v>0.13251320244980469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0.22400639164444697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88.008749437127449</v>
      </c>
      <c r="AO178" s="59">
        <f t="shared" si="144"/>
        <v>258.40359226940507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2.197039695457788</v>
      </c>
      <c r="AV178" s="21">
        <f>EXP(-LN(2)/25)*AV177+(1-EXP(-LN(2)/25))/(LN(2)/25)*Calculateur!AQ178*Calculateur!AS178*VLOOKUP('Données projet'!$B$10,Paramètres!$A$1:$I$89,3,0)*0.475*44/12</f>
        <v>0.137361374972547</v>
      </c>
      <c r="AW178" s="21">
        <f>EXP(-LN(2)/2)*AW177+(1-EXP(-LN(2)/2))/(LN(2)/2)*AQ178*AT178*VLOOKUP('Données projet'!$B$10,Paramètres!$A$1:$I$89,3,0)*0.475*44/12</f>
        <v>6.7483131753885526E-23</v>
      </c>
      <c r="AX178" s="21">
        <f t="shared" si="166"/>
        <v>2.3344010704303351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304.99999999999983</v>
      </c>
      <c r="O179" s="13">
        <f>N179*VLOOKUP('Données projet'!$B$9,Paramètres!$A$1:$I$89,3,0)*VLOOKUP('Données projet'!$B$9,Paramètres!$A$1:$I$89,5,0)</f>
        <v>275.96399999999983</v>
      </c>
      <c r="P179" s="13">
        <f t="shared" si="141"/>
        <v>66.113366665488854</v>
      </c>
      <c r="Q179" s="20">
        <f t="shared" si="162"/>
        <v>595.78474694239264</v>
      </c>
      <c r="R179" s="59">
        <f t="shared" si="109"/>
        <v>884.9051484162303</v>
      </c>
      <c r="S179" s="59">
        <f ca="1">AVERAGE(OFFSET($R$3,0,0,'Données projet'!$E$9+1,1))-AVERAGE(OFFSET($H$3,0,0,'Données projet'!$E$9+1,1))</f>
        <v>376.51107072413777</v>
      </c>
      <c r="T179" s="59">
        <f t="shared" si="142"/>
        <v>532.90758914457615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8.9699063559870451E-2</v>
      </c>
      <c r="AA179" s="21">
        <f>EXP(-LN(2)/25)*AA178+(1-EXP(-LN(2)/25))/(LN(2)/25)*Calculateur!V179*Calculateur!X179*VLOOKUP('Données projet'!$B$9,Paramètres!$A$1:$I$89,3,0)*0.475*44/12</f>
        <v>0.12888962196024834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0.21858868552011879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88.008749437127449</v>
      </c>
      <c r="AO179" s="59">
        <f t="shared" si="144"/>
        <v>258.40359226940507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2.1539570870917548</v>
      </c>
      <c r="AV179" s="21">
        <f>EXP(-LN(2)/25)*AV178+(1-EXP(-LN(2)/25))/(LN(2)/25)*Calculateur!AQ179*Calculateur!AS179*VLOOKUP('Données projet'!$B$10,Paramètres!$A$1:$I$89,3,0)*0.475*44/12</f>
        <v>0.13360522095040192</v>
      </c>
      <c r="AW179" s="21">
        <f>EXP(-LN(2)/2)*AW178+(1-EXP(-LN(2)/2))/(LN(2)/2)*AQ179*AT179*VLOOKUP('Données projet'!$B$10,Paramètres!$A$1:$I$89,3,0)*0.475*44/12</f>
        <v>4.771778007887769E-23</v>
      </c>
      <c r="AX179" s="21">
        <f t="shared" si="166"/>
        <v>2.2875623080421565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304.99999999999983</v>
      </c>
      <c r="O180" s="13">
        <f>N180*VLOOKUP('Données projet'!$B$9,Paramètres!$A$1:$I$89,3,0)*VLOOKUP('Données projet'!$B$9,Paramètres!$A$1:$I$89,5,0)</f>
        <v>275.96399999999983</v>
      </c>
      <c r="P180" s="13">
        <f t="shared" si="141"/>
        <v>66.113366665488854</v>
      </c>
      <c r="Q180" s="20">
        <f t="shared" si="162"/>
        <v>595.78474694239264</v>
      </c>
      <c r="R180" s="59">
        <f t="shared" si="109"/>
        <v>884.97823336528791</v>
      </c>
      <c r="S180" s="59">
        <f ca="1">AVERAGE(OFFSET($R$3,0,0,'Données projet'!$E$9+1,1))-AVERAGE(OFFSET($H$3,0,0,'Données projet'!$E$9+1,1))</f>
        <v>376.51107072413777</v>
      </c>
      <c r="T180" s="59">
        <f t="shared" si="142"/>
        <v>532.90758914457615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8.7940119634487904E-2</v>
      </c>
      <c r="AA180" s="21">
        <f>EXP(-LN(2)/25)*AA179+(1-EXP(-LN(2)/25))/(LN(2)/25)*Calculateur!V180*Calculateur!X180*VLOOKUP('Données projet'!$B$9,Paramètres!$A$1:$I$89,3,0)*0.475*44/12</f>
        <v>0.12536512846973472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0.21330524810422263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88.008749437127449</v>
      </c>
      <c r="AO180" s="59">
        <f t="shared" si="144"/>
        <v>258.40359226940507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2.1117193023979834</v>
      </c>
      <c r="AV180" s="21">
        <f>EXP(-LN(2)/25)*AV179+(1-EXP(-LN(2)/25))/(LN(2)/25)*Calculateur!AQ180*Calculateur!AS180*VLOOKUP('Données projet'!$B$10,Paramètres!$A$1:$I$89,3,0)*0.475*44/12</f>
        <v>0.12995177915751996</v>
      </c>
      <c r="AW180" s="21">
        <f>EXP(-LN(2)/2)*AW179+(1-EXP(-LN(2)/2))/(LN(2)/2)*AQ180*AT180*VLOOKUP('Données projet'!$B$10,Paramètres!$A$1:$I$89,3,0)*0.475*44/12</f>
        <v>3.3741565876942763E-23</v>
      </c>
      <c r="AX180" s="21">
        <f t="shared" si="166"/>
        <v>2.2416710815555034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304.99999999999983</v>
      </c>
      <c r="O181" s="13">
        <f>N181*VLOOKUP('Données projet'!$B$9,Paramètres!$A$1:$I$89,3,0)*VLOOKUP('Données projet'!$B$9,Paramètres!$A$1:$I$89,5,0)</f>
        <v>275.96399999999983</v>
      </c>
      <c r="P181" s="13">
        <f t="shared" si="141"/>
        <v>66.113366665488854</v>
      </c>
      <c r="Q181" s="20">
        <f t="shared" si="162"/>
        <v>595.78474694239264</v>
      </c>
      <c r="R181" s="59">
        <f t="shared" si="109"/>
        <v>885.05005045387281</v>
      </c>
      <c r="S181" s="59">
        <f ca="1">AVERAGE(OFFSET($R$3,0,0,'Données projet'!$E$9+1,1))-AVERAGE(OFFSET($H$3,0,0,'Données projet'!$E$9+1,1))</f>
        <v>376.51107072413777</v>
      </c>
      <c r="T181" s="59">
        <f t="shared" si="142"/>
        <v>532.90758914457615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8.6215667526632248E-2</v>
      </c>
      <c r="AA181" s="21">
        <f>EXP(-LN(2)/25)*AA180+(1-EXP(-LN(2)/25))/(LN(2)/25)*Calculateur!V181*Calculateur!X181*VLOOKUP('Données projet'!$B$9,Paramètres!$A$1:$I$89,3,0)*0.475*44/12</f>
        <v>0.12193701243906424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0.20815267996569647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88.008749437127449</v>
      </c>
      <c r="AO181" s="59">
        <f t="shared" si="144"/>
        <v>258.40359226940507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2.070309774899552</v>
      </c>
      <c r="AV181" s="21">
        <f>EXP(-LN(2)/25)*AV180+(1-EXP(-LN(2)/25))/(LN(2)/25)*Calculateur!AQ181*Calculateur!AS181*VLOOKUP('Données projet'!$B$10,Paramètres!$A$1:$I$89,3,0)*0.475*44/12</f>
        <v>0.12639824092259053</v>
      </c>
      <c r="AW181" s="21">
        <f>EXP(-LN(2)/2)*AW180+(1-EXP(-LN(2)/2))/(LN(2)/2)*AQ181*AT181*VLOOKUP('Données projet'!$B$10,Paramètres!$A$1:$I$89,3,0)*0.475*44/12</f>
        <v>2.3858890039438845E-23</v>
      </c>
      <c r="AX181" s="21">
        <f t="shared" si="166"/>
        <v>2.1967080158221424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304.99999999999983</v>
      </c>
      <c r="O182" s="13">
        <f>N182*VLOOKUP('Données projet'!$B$9,Paramètres!$A$1:$I$89,3,0)*VLOOKUP('Données projet'!$B$9,Paramètres!$A$1:$I$89,5,0)</f>
        <v>275.96399999999983</v>
      </c>
      <c r="P182" s="13">
        <f t="shared" si="141"/>
        <v>66.113366665488854</v>
      </c>
      <c r="Q182" s="20">
        <f t="shared" si="162"/>
        <v>595.78474694239264</v>
      </c>
      <c r="R182" s="59">
        <f t="shared" si="109"/>
        <v>885.12062167652971</v>
      </c>
      <c r="S182" s="59">
        <f ca="1">AVERAGE(OFFSET($R$3,0,0,'Données projet'!$E$9+1,1))-AVERAGE(OFFSET($H$3,0,0,'Données projet'!$E$9+1,1))</f>
        <v>376.51107072413777</v>
      </c>
      <c r="T182" s="59">
        <f t="shared" si="142"/>
        <v>532.90758914457615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8.4525030872799709E-2</v>
      </c>
      <c r="AA182" s="21">
        <f>EXP(-LN(2)/25)*AA181+(1-EXP(-LN(2)/25))/(LN(2)/25)*Calculateur!V182*Calculateur!X182*VLOOKUP('Données projet'!$B$9,Paramètres!$A$1:$I$89,3,0)*0.475*44/12</f>
        <v>0.11860263842152924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0.20312766929432896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88.008749437127449</v>
      </c>
      <c r="AO182" s="59">
        <f t="shared" si="144"/>
        <v>258.40359226940507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2.0297122629780469</v>
      </c>
      <c r="AV182" s="21">
        <f>EXP(-LN(2)/25)*AV181+(1-EXP(-LN(2)/25))/(LN(2)/25)*Calculateur!AQ182*Calculateur!AS182*VLOOKUP('Données projet'!$B$10,Paramètres!$A$1:$I$89,3,0)*0.475*44/12</f>
        <v>0.12294187437756769</v>
      </c>
      <c r="AW182" s="21">
        <f>EXP(-LN(2)/2)*AW181+(1-EXP(-LN(2)/2))/(LN(2)/2)*AQ182*AT182*VLOOKUP('Données projet'!$B$10,Paramètres!$A$1:$I$89,3,0)*0.475*44/12</f>
        <v>1.6870782938471381E-23</v>
      </c>
      <c r="AX182" s="21">
        <f t="shared" si="166"/>
        <v>2.1526541373556145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304.99999999999983</v>
      </c>
      <c r="O183" s="13">
        <f>N183*VLOOKUP('Données projet'!$B$9,Paramètres!$A$1:$I$89,3,0)*VLOOKUP('Données projet'!$B$9,Paramètres!$A$1:$I$89,5,0)</f>
        <v>275.96399999999983</v>
      </c>
      <c r="P183" s="13">
        <f t="shared" si="141"/>
        <v>66.113366665488854</v>
      </c>
      <c r="Q183" s="20">
        <f t="shared" si="162"/>
        <v>595.78474694239264</v>
      </c>
      <c r="R183" s="59">
        <f t="shared" si="109"/>
        <v>885.18996864624728</v>
      </c>
      <c r="S183" s="59">
        <f ca="1">AVERAGE(OFFSET($R$3,0,0,'Données projet'!$E$9+1,1))-AVERAGE(OFFSET($H$3,0,0,'Données projet'!$E$9+1,1))</f>
        <v>376.51107072413777</v>
      </c>
      <c r="T183" s="59">
        <f t="shared" si="142"/>
        <v>532.90758914457615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8.286754657256229E-2</v>
      </c>
      <c r="AA183" s="21">
        <f>EXP(-LN(2)/25)*AA182+(1-EXP(-LN(2)/25))/(LN(2)/25)*Calculateur!V183*Calculateur!X183*VLOOKUP('Données projet'!$B$9,Paramètres!$A$1:$I$89,3,0)*0.475*44/12</f>
        <v>0.11535944303685083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0.19822698960941312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88.008749437127449</v>
      </c>
      <c r="AO183" s="59">
        <f t="shared" si="144"/>
        <v>258.40359226940507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1.9899108435032853</v>
      </c>
      <c r="AV183" s="21">
        <f>EXP(-LN(2)/25)*AV182+(1-EXP(-LN(2)/25))/(LN(2)/25)*Calculateur!AQ183*Calculateur!AS183*VLOOKUP('Données projet'!$B$10,Paramètres!$A$1:$I$89,3,0)*0.475*44/12</f>
        <v>0.11958002235748091</v>
      </c>
      <c r="AW183" s="21">
        <f>EXP(-LN(2)/2)*AW182+(1-EXP(-LN(2)/2))/(LN(2)/2)*AQ183*AT183*VLOOKUP('Données projet'!$B$10,Paramètres!$A$1:$I$89,3,0)*0.475*44/12</f>
        <v>1.1929445019719422E-23</v>
      </c>
      <c r="AX183" s="21">
        <f t="shared" si="166"/>
        <v>2.1094908658607663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304.99999999999983</v>
      </c>
      <c r="O184" s="13">
        <f>N184*VLOOKUP('Données projet'!$B$9,Paramètres!$A$1:$I$89,3,0)*VLOOKUP('Données projet'!$B$9,Paramètres!$A$1:$I$89,5,0)</f>
        <v>275.96399999999983</v>
      </c>
      <c r="P184" s="13">
        <f t="shared" si="141"/>
        <v>66.113366665488854</v>
      </c>
      <c r="Q184" s="20">
        <f t="shared" si="162"/>
        <v>595.78474694239264</v>
      </c>
      <c r="R184" s="59">
        <f t="shared" si="109"/>
        <v>885.25811260107673</v>
      </c>
      <c r="S184" s="59">
        <f ca="1">AVERAGE(OFFSET($R$3,0,0,'Données projet'!$E$9+1,1))-AVERAGE(OFFSET($H$3,0,0,'Données projet'!$E$9+1,1))</f>
        <v>376.51107072413777</v>
      </c>
      <c r="T184" s="59">
        <f t="shared" si="142"/>
        <v>532.90758914457615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8.1242564528486924E-2</v>
      </c>
      <c r="AA184" s="21">
        <f>EXP(-LN(2)/25)*AA183+(1-EXP(-LN(2)/25))/(LN(2)/25)*Calculateur!V184*Calculateur!X184*VLOOKUP('Données projet'!$B$9,Paramètres!$A$1:$I$89,3,0)*0.475*44/12</f>
        <v>0.1122049330005187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0.19344749752900564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88.008749437127449</v>
      </c>
      <c r="AO184" s="59">
        <f t="shared" si="144"/>
        <v>258.40359226940507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1.9508899055879549</v>
      </c>
      <c r="AV184" s="21">
        <f>EXP(-LN(2)/25)*AV183+(1-EXP(-LN(2)/25))/(LN(2)/25)*Calculateur!AQ184*Calculateur!AS184*VLOOKUP('Données projet'!$B$10,Paramètres!$A$1:$I$89,3,0)*0.475*44/12</f>
        <v>0.11631010035767553</v>
      </c>
      <c r="AW184" s="21">
        <f>EXP(-LN(2)/2)*AW183+(1-EXP(-LN(2)/2))/(LN(2)/2)*AQ184*AT184*VLOOKUP('Données projet'!$B$10,Paramètres!$A$1:$I$89,3,0)*0.475*44/12</f>
        <v>8.4353914692356907E-24</v>
      </c>
      <c r="AX184" s="21">
        <f t="shared" si="166"/>
        <v>2.0672000059456304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304.99999999999983</v>
      </c>
      <c r="O185" s="13">
        <f>N185*VLOOKUP('Données projet'!$B$9,Paramètres!$A$1:$I$89,3,0)*VLOOKUP('Données projet'!$B$9,Paramètres!$A$1:$I$89,5,0)</f>
        <v>275.96399999999983</v>
      </c>
      <c r="P185" s="13">
        <f t="shared" si="141"/>
        <v>66.113366665488854</v>
      </c>
      <c r="Q185" s="20">
        <f t="shared" si="162"/>
        <v>595.78474694239264</v>
      </c>
      <c r="R185" s="59">
        <f t="shared" si="109"/>
        <v>885.32507441063706</v>
      </c>
      <c r="S185" s="59">
        <f ca="1">AVERAGE(OFFSET($R$3,0,0,'Données projet'!$E$9+1,1))-AVERAGE(OFFSET($H$3,0,0,'Données projet'!$E$9+1,1))</f>
        <v>376.51107072413777</v>
      </c>
      <c r="T185" s="59">
        <f t="shared" si="142"/>
        <v>532.90758914457615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7.9649447391154704E-2</v>
      </c>
      <c r="AA185" s="21">
        <f>EXP(-LN(2)/25)*AA184+(1-EXP(-LN(2)/25))/(LN(2)/25)*Calculateur!V185*Calculateur!X185*VLOOKUP('Données projet'!$B$9,Paramètres!$A$1:$I$89,3,0)*0.475*44/12</f>
        <v>0.10913668320701854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0.18878613059817323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88.008749437127449</v>
      </c>
      <c r="AO185" s="59">
        <f t="shared" si="144"/>
        <v>258.40359226940507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1.9126341444647221</v>
      </c>
      <c r="AV185" s="21">
        <f>EXP(-LN(2)/25)*AV184+(1-EXP(-LN(2)/25))/(LN(2)/25)*Calculateur!AQ185*Calculateur!AS185*VLOOKUP('Données projet'!$B$10,Paramètres!$A$1:$I$89,3,0)*0.475*44/12</f>
        <v>0.11312959454691254</v>
      </c>
      <c r="AW185" s="21">
        <f>EXP(-LN(2)/2)*AW184+(1-EXP(-LN(2)/2))/(LN(2)/2)*AQ185*AT185*VLOOKUP('Données projet'!$B$10,Paramètres!$A$1:$I$89,3,0)*0.475*44/12</f>
        <v>5.9647225098597112E-24</v>
      </c>
      <c r="AX185" s="21">
        <f t="shared" si="166"/>
        <v>2.0257637390116345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304.99999999999983</v>
      </c>
      <c r="O186" s="13">
        <f>N186*VLOOKUP('Données projet'!$B$9,Paramètres!$A$1:$I$89,3,0)*VLOOKUP('Données projet'!$B$9,Paramètres!$A$1:$I$89,5,0)</f>
        <v>275.96399999999983</v>
      </c>
      <c r="P186" s="13">
        <f t="shared" si="141"/>
        <v>66.113366665488854</v>
      </c>
      <c r="Q186" s="20">
        <f t="shared" si="162"/>
        <v>595.78474694239264</v>
      </c>
      <c r="R186" s="59">
        <f t="shared" si="109"/>
        <v>885.3908745825056</v>
      </c>
      <c r="S186" s="59">
        <f ca="1">AVERAGE(OFFSET($R$3,0,0,'Données projet'!$E$9+1,1))-AVERAGE(OFFSET($H$3,0,0,'Données projet'!$E$9+1,1))</f>
        <v>376.51107072413777</v>
      </c>
      <c r="T186" s="59">
        <f t="shared" si="142"/>
        <v>532.90758914457615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7.8087570309180052E-2</v>
      </c>
      <c r="AA186" s="21">
        <f>EXP(-LN(2)/25)*AA185+(1-EXP(-LN(2)/25))/(LN(2)/25)*Calculateur!V186*Calculateur!X186*VLOOKUP('Données projet'!$B$9,Paramètres!$A$1:$I$89,3,0)*0.475*44/12</f>
        <v>0.10615233486547389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0.18423990517465394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88.008749437127449</v>
      </c>
      <c r="AO186" s="59">
        <f t="shared" si="144"/>
        <v>258.40359226940507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1.8751285554834056</v>
      </c>
      <c r="AV186" s="21">
        <f>EXP(-LN(2)/25)*AV185+(1-EXP(-LN(2)/25))/(LN(2)/25)*Calculateur!AQ186*Calculateur!AS186*VLOOKUP('Données projet'!$B$10,Paramètres!$A$1:$I$89,3,0)*0.475*44/12</f>
        <v>0.1100360598348004</v>
      </c>
      <c r="AW186" s="21">
        <f>EXP(-LN(2)/2)*AW185+(1-EXP(-LN(2)/2))/(LN(2)/2)*AQ186*AT186*VLOOKUP('Données projet'!$B$10,Paramètres!$A$1:$I$89,3,0)*0.475*44/12</f>
        <v>4.2176957346178453E-24</v>
      </c>
      <c r="AX186" s="21">
        <f t="shared" si="166"/>
        <v>1.9851646153182061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304.99999999999983</v>
      </c>
      <c r="O187" s="13">
        <f>N187*VLOOKUP('Données projet'!$B$9,Paramètres!$A$1:$I$89,3,0)*VLOOKUP('Données projet'!$B$9,Paramètres!$A$1:$I$89,5,0)</f>
        <v>275.96399999999983</v>
      </c>
      <c r="P187" s="13">
        <f t="shared" si="141"/>
        <v>66.113366665488854</v>
      </c>
      <c r="Q187" s="20">
        <f t="shared" si="162"/>
        <v>595.78474694239264</v>
      </c>
      <c r="R187" s="59">
        <f t="shared" si="109"/>
        <v>885.45553326849938</v>
      </c>
      <c r="S187" s="59">
        <f ca="1">AVERAGE(OFFSET($R$3,0,0,'Données projet'!$E$9+1,1))-AVERAGE(OFFSET($H$3,0,0,'Données projet'!$E$9+1,1))</f>
        <v>376.51107072413777</v>
      </c>
      <c r="T187" s="59">
        <f t="shared" si="142"/>
        <v>532.90758914457615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7.655632068413197E-2</v>
      </c>
      <c r="AA187" s="21">
        <f>EXP(-LN(2)/25)*AA186+(1-EXP(-LN(2)/25))/(LN(2)/25)*Calculateur!V187*Calculateur!X187*VLOOKUP('Données projet'!$B$9,Paramètres!$A$1:$I$89,3,0)*0.475*44/12</f>
        <v>0.10324959368626883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0.1798059143704008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88.008749437127449</v>
      </c>
      <c r="AO187" s="59">
        <f t="shared" si="144"/>
        <v>258.40359226940507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1.8383584282258623</v>
      </c>
      <c r="AV187" s="21">
        <f>EXP(-LN(2)/25)*AV186+(1-EXP(-LN(2)/25))/(LN(2)/25)*Calculateur!AQ187*Calculateur!AS187*VLOOKUP('Données projet'!$B$10,Paramètres!$A$1:$I$89,3,0)*0.475*44/12</f>
        <v>0.10702711799207289</v>
      </c>
      <c r="AW187" s="21">
        <f>EXP(-LN(2)/2)*AW186+(1-EXP(-LN(2)/2))/(LN(2)/2)*AQ187*AT187*VLOOKUP('Données projet'!$B$10,Paramètres!$A$1:$I$89,3,0)*0.475*44/12</f>
        <v>2.9823612549298556E-24</v>
      </c>
      <c r="AX187" s="21">
        <f t="shared" si="166"/>
        <v>1.9453855462179352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304.99999999999983</v>
      </c>
      <c r="O188" s="13">
        <f>N188*VLOOKUP('Données projet'!$B$9,Paramètres!$A$1:$I$89,3,0)*VLOOKUP('Données projet'!$B$9,Paramètres!$A$1:$I$89,5,0)</f>
        <v>275.96399999999983</v>
      </c>
      <c r="P188" s="13">
        <f t="shared" si="141"/>
        <v>66.113366665488854</v>
      </c>
      <c r="Q188" s="20">
        <f t="shared" si="162"/>
        <v>595.78474694239264</v>
      </c>
      <c r="R188" s="59">
        <f t="shared" si="109"/>
        <v>885.51907027084644</v>
      </c>
      <c r="S188" s="59">
        <f ca="1">AVERAGE(OFFSET($R$3,0,0,'Données projet'!$E$9+1,1))-AVERAGE(OFFSET($H$3,0,0,'Données projet'!$E$9+1,1))</f>
        <v>376.51107072413777</v>
      </c>
      <c r="T188" s="59">
        <f t="shared" si="142"/>
        <v>532.90758914457615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7.5055097930261036E-2</v>
      </c>
      <c r="AA188" s="21">
        <f>EXP(-LN(2)/25)*AA187+(1-EXP(-LN(2)/25))/(LN(2)/25)*Calculateur!V188*Calculateur!X188*VLOOKUP('Données projet'!$B$9,Paramètres!$A$1:$I$89,3,0)*0.475*44/12</f>
        <v>0.10042622811725765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0.1754813260475187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88.008749437127449</v>
      </c>
      <c r="AO188" s="59">
        <f t="shared" si="144"/>
        <v>258.40359226940507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1.8023093407362762</v>
      </c>
      <c r="AV188" s="21">
        <f>EXP(-LN(2)/25)*AV187+(1-EXP(-LN(2)/25))/(LN(2)/25)*Calculateur!AQ188*Calculateur!AS188*VLOOKUP('Données projet'!$B$10,Paramètres!$A$1:$I$89,3,0)*0.475*44/12</f>
        <v>0.10410045582226814</v>
      </c>
      <c r="AW188" s="21">
        <f>EXP(-LN(2)/2)*AW187+(1-EXP(-LN(2)/2))/(LN(2)/2)*AQ188*AT188*VLOOKUP('Données projet'!$B$10,Paramètres!$A$1:$I$89,3,0)*0.475*44/12</f>
        <v>2.1088478673089227E-24</v>
      </c>
      <c r="AX188" s="21">
        <f t="shared" si="166"/>
        <v>1.9064097965585445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304.99999999999983</v>
      </c>
      <c r="O189" s="13">
        <f>N189*VLOOKUP('Données projet'!$B$9,Paramètres!$A$1:$I$89,3,0)*VLOOKUP('Données projet'!$B$9,Paramètres!$A$1:$I$89,5,0)</f>
        <v>275.96399999999983</v>
      </c>
      <c r="P189" s="13">
        <f t="shared" si="141"/>
        <v>66.113366665488854</v>
      </c>
      <c r="Q189" s="20">
        <f t="shared" si="162"/>
        <v>595.78474694239264</v>
      </c>
      <c r="R189" s="59">
        <f t="shared" si="109"/>
        <v>885.58150504825005</v>
      </c>
      <c r="S189" s="59">
        <f ca="1">AVERAGE(OFFSET($R$3,0,0,'Données projet'!$E$9+1,1))-AVERAGE(OFFSET($H$3,0,0,'Données projet'!$E$9+1,1))</f>
        <v>376.51107072413777</v>
      </c>
      <c r="T189" s="59">
        <f t="shared" si="142"/>
        <v>532.90758914457615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7.3583313238938047E-2</v>
      </c>
      <c r="AA189" s="21">
        <f>EXP(-LN(2)/25)*AA188+(1-EXP(-LN(2)/25))/(LN(2)/25)*Calculateur!V189*Calculateur!X189*VLOOKUP('Données projet'!$B$9,Paramètres!$A$1:$I$89,3,0)*0.475*44/12</f>
        <v>9.7680067628205428E-2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0.17126338086714349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88.008749437127449</v>
      </c>
      <c r="AO189" s="59">
        <f t="shared" si="144"/>
        <v>258.40359226940507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1.7669671538645888</v>
      </c>
      <c r="AV189" s="21">
        <f>EXP(-LN(2)/25)*AV188+(1-EXP(-LN(2)/25))/(LN(2)/25)*Calculateur!AQ189*Calculateur!AS189*VLOOKUP('Données projet'!$B$10,Paramètres!$A$1:$I$89,3,0)*0.475*44/12</f>
        <v>0.10125382338340316</v>
      </c>
      <c r="AW189" s="21">
        <f>EXP(-LN(2)/2)*AW188+(1-EXP(-LN(2)/2))/(LN(2)/2)*AQ189*AT189*VLOOKUP('Données projet'!$B$10,Paramètres!$A$1:$I$89,3,0)*0.475*44/12</f>
        <v>1.4911806274649278E-24</v>
      </c>
      <c r="AX189" s="21">
        <f t="shared" si="166"/>
        <v>1.8682209772479919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304.99999999999983</v>
      </c>
      <c r="O190" s="13">
        <f>N190*VLOOKUP('Données projet'!$B$9,Paramètres!$A$1:$I$89,3,0)*VLOOKUP('Données projet'!$B$9,Paramètres!$A$1:$I$89,5,0)</f>
        <v>275.96399999999983</v>
      </c>
      <c r="P190" s="13">
        <f t="shared" si="141"/>
        <v>66.113366665488854</v>
      </c>
      <c r="Q190" s="20">
        <f t="shared" si="162"/>
        <v>595.78474694239264</v>
      </c>
      <c r="R190" s="59">
        <f t="shared" si="109"/>
        <v>885.64285672184906</v>
      </c>
      <c r="S190" s="59">
        <f ca="1">AVERAGE(OFFSET($R$3,0,0,'Données projet'!$E$9+1,1))-AVERAGE(OFFSET($H$3,0,0,'Données projet'!$E$9+1,1))</f>
        <v>376.51107072413777</v>
      </c>
      <c r="T190" s="59">
        <f t="shared" si="142"/>
        <v>532.90758914457615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7.2140389347711872E-2</v>
      </c>
      <c r="AA190" s="21">
        <f>EXP(-LN(2)/25)*AA189+(1-EXP(-LN(2)/25))/(LN(2)/25)*Calculateur!V190*Calculateur!X190*VLOOKUP('Données projet'!$B$9,Paramètres!$A$1:$I$89,3,0)*0.475*44/12</f>
        <v>9.5009001042140648E-2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0.16714939038985252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88.008749437127449</v>
      </c>
      <c r="AO190" s="59">
        <f t="shared" si="144"/>
        <v>258.40359226940507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1.7323180057208498</v>
      </c>
      <c r="AV190" s="21">
        <f>EXP(-LN(2)/25)*AV189+(1-EXP(-LN(2)/25))/(LN(2)/25)*Calculateur!AQ190*Calculateur!AS190*VLOOKUP('Données projet'!$B$10,Paramètres!$A$1:$I$89,3,0)*0.475*44/12</f>
        <v>9.8485032258276844E-2</v>
      </c>
      <c r="AW190" s="21">
        <f>EXP(-LN(2)/2)*AW189+(1-EXP(-LN(2)/2))/(LN(2)/2)*AQ190*AT190*VLOOKUP('Données projet'!$B$10,Paramètres!$A$1:$I$89,3,0)*0.475*44/12</f>
        <v>1.0544239336544613E-24</v>
      </c>
      <c r="AX190" s="21">
        <f t="shared" si="166"/>
        <v>1.8308030379791267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304.99999999999983</v>
      </c>
      <c r="O191" s="13">
        <f>N191*VLOOKUP('Données projet'!$B$9,Paramètres!$A$1:$I$89,3,0)*VLOOKUP('Données projet'!$B$9,Paramètres!$A$1:$I$89,5,0)</f>
        <v>275.96399999999983</v>
      </c>
      <c r="P191" s="13">
        <f t="shared" si="141"/>
        <v>66.113366665488854</v>
      </c>
      <c r="Q191" s="20">
        <f t="shared" si="162"/>
        <v>595.78474694239264</v>
      </c>
      <c r="R191" s="59">
        <f t="shared" si="109"/>
        <v>885.70314408107288</v>
      </c>
      <c r="S191" s="59">
        <f ca="1">AVERAGE(OFFSET($R$3,0,0,'Données projet'!$E$9+1,1))-AVERAGE(OFFSET($H$3,0,0,'Données projet'!$E$9+1,1))</f>
        <v>376.51107072413777</v>
      </c>
      <c r="T191" s="59">
        <f t="shared" si="142"/>
        <v>532.90758914457615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7.0725760313895977E-2</v>
      </c>
      <c r="AA191" s="21">
        <f>EXP(-LN(2)/25)*AA190+(1-EXP(-LN(2)/25))/(LN(2)/25)*Calculateur!V191*Calculateur!X191*VLOOKUP('Données projet'!$B$9,Paramètres!$A$1:$I$89,3,0)*0.475*44/12</f>
        <v>9.2410974912337088E-2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0.16313673522623306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88.008749437127449</v>
      </c>
      <c r="AO191" s="59">
        <f t="shared" si="144"/>
        <v>258.40359226940507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1.698348306238316</v>
      </c>
      <c r="AV191" s="21">
        <f>EXP(-LN(2)/25)*AV190+(1-EXP(-LN(2)/25))/(LN(2)/25)*Calculateur!AQ191*Calculateur!AS191*VLOOKUP('Données projet'!$B$10,Paramètres!$A$1:$I$89,3,0)*0.475*44/12</f>
        <v>9.5791953872071511E-2</v>
      </c>
      <c r="AW191" s="21">
        <f>EXP(-LN(2)/2)*AW190+(1-EXP(-LN(2)/2))/(LN(2)/2)*AQ191*AT191*VLOOKUP('Données projet'!$B$10,Paramètres!$A$1:$I$89,3,0)*0.475*44/12</f>
        <v>7.455903137324639E-25</v>
      </c>
      <c r="AX191" s="21">
        <f t="shared" si="166"/>
        <v>1.7941402601103875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304.99999999999983</v>
      </c>
      <c r="O192" s="13">
        <f>N192*VLOOKUP('Données projet'!$B$9,Paramètres!$A$1:$I$89,3,0)*VLOOKUP('Données projet'!$B$9,Paramètres!$A$1:$I$89,5,0)</f>
        <v>275.96399999999983</v>
      </c>
      <c r="P192" s="13">
        <f t="shared" si="141"/>
        <v>66.113366665488854</v>
      </c>
      <c r="Q192" s="20">
        <f t="shared" si="162"/>
        <v>595.78474694239264</v>
      </c>
      <c r="R192" s="59">
        <f t="shared" si="109"/>
        <v>885.76238558939644</v>
      </c>
      <c r="S192" s="59">
        <f ca="1">AVERAGE(OFFSET($R$3,0,0,'Données projet'!$E$9+1,1))-AVERAGE(OFFSET($H$3,0,0,'Données projet'!$E$9+1,1))</f>
        <v>376.51107072413777</v>
      </c>
      <c r="T192" s="59">
        <f t="shared" si="142"/>
        <v>532.90758914457615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6.9338871292594695E-2</v>
      </c>
      <c r="AA192" s="21">
        <f>EXP(-LN(2)/25)*AA191+(1-EXP(-LN(2)/25))/(LN(2)/25)*Calculateur!V192*Calculateur!X192*VLOOKUP('Données projet'!$B$9,Paramètres!$A$1:$I$89,3,0)*0.475*44/12</f>
        <v>8.9883991943677272E-2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0.15922286323627197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88.008749437127449</v>
      </c>
      <c r="AO192" s="59">
        <f t="shared" si="144"/>
        <v>258.40359226940507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1.6650447318431638</v>
      </c>
      <c r="AV192" s="21">
        <f>EXP(-LN(2)/25)*AV191+(1-EXP(-LN(2)/25))/(LN(2)/25)*Calculateur!AQ192*Calculateur!AS192*VLOOKUP('Données projet'!$B$10,Paramètres!$A$1:$I$89,3,0)*0.475*44/12</f>
        <v>9.3172517855959799E-2</v>
      </c>
      <c r="AW192" s="21">
        <f>EXP(-LN(2)/2)*AW191+(1-EXP(-LN(2)/2))/(LN(2)/2)*AQ192*AT192*VLOOKUP('Données projet'!$B$10,Paramètres!$A$1:$I$89,3,0)*0.475*44/12</f>
        <v>5.2721196682723067E-25</v>
      </c>
      <c r="AX192" s="21">
        <f t="shared" si="166"/>
        <v>1.7582172496991235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304.99999999999983</v>
      </c>
      <c r="O193" s="13">
        <f>N193*VLOOKUP('Données projet'!$B$9,Paramètres!$A$1:$I$89,3,0)*VLOOKUP('Données projet'!$B$9,Paramètres!$A$1:$I$89,5,0)</f>
        <v>275.96399999999983</v>
      </c>
      <c r="P193" s="13">
        <f t="shared" si="141"/>
        <v>66.113366665488854</v>
      </c>
      <c r="Q193" s="20">
        <f t="shared" si="162"/>
        <v>595.78474694239264</v>
      </c>
      <c r="R193" s="59">
        <f t="shared" si="109"/>
        <v>885.82059938999487</v>
      </c>
      <c r="S193" s="59">
        <f ca="1">AVERAGE(OFFSET($R$3,0,0,'Données projet'!$E$9+1,1))-AVERAGE(OFFSET($H$3,0,0,'Données projet'!$E$9+1,1))</f>
        <v>376.51107072413777</v>
      </c>
      <c r="T193" s="59">
        <f t="shared" si="142"/>
        <v>532.90758914457615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6.7979178319082359E-2</v>
      </c>
      <c r="AA193" s="21">
        <f>EXP(-LN(2)/25)*AA192+(1-EXP(-LN(2)/25))/(LN(2)/25)*Calculateur!V193*Calculateur!X193*VLOOKUP('Données projet'!$B$9,Paramètres!$A$1:$I$89,3,0)*0.475*44/12</f>
        <v>8.7426109457183709E-2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0.15540528777626605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88.008749437127449</v>
      </c>
      <c r="AO193" s="59">
        <f t="shared" si="144"/>
        <v>258.40359226940507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1.6323942202287258</v>
      </c>
      <c r="AV193" s="21">
        <f>EXP(-LN(2)/25)*AV192+(1-EXP(-LN(2)/25))/(LN(2)/25)*Calculateur!AQ193*Calculateur!AS193*VLOOKUP('Données projet'!$B$10,Paramètres!$A$1:$I$89,3,0)*0.475*44/12</f>
        <v>9.0624710455458807E-2</v>
      </c>
      <c r="AW193" s="21">
        <f>EXP(-LN(2)/2)*AW192+(1-EXP(-LN(2)/2))/(LN(2)/2)*AQ193*AT193*VLOOKUP('Données projet'!$B$10,Paramètres!$A$1:$I$89,3,0)*0.475*44/12</f>
        <v>3.7279515686623195E-25</v>
      </c>
      <c r="AX193" s="21">
        <f t="shared" si="166"/>
        <v>1.7230189306841845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304.99999999999983</v>
      </c>
      <c r="O194" s="13">
        <f>N194*VLOOKUP('Données projet'!$B$9,Paramètres!$A$1:$I$89,3,0)*VLOOKUP('Données projet'!$B$9,Paramètres!$A$1:$I$89,5,0)</f>
        <v>275.96399999999983</v>
      </c>
      <c r="P194" s="13">
        <f t="shared" si="141"/>
        <v>66.113366665488854</v>
      </c>
      <c r="Q194" s="20">
        <f t="shared" si="162"/>
        <v>595.78474694239264</v>
      </c>
      <c r="R194" s="59">
        <f t="shared" si="109"/>
        <v>885.87780331129943</v>
      </c>
      <c r="S194" s="59">
        <f ca="1">AVERAGE(OFFSET($R$3,0,0,'Données projet'!$E$9+1,1))-AVERAGE(OFFSET($H$3,0,0,'Données projet'!$E$9+1,1))</f>
        <v>376.51107072413777</v>
      </c>
      <c r="T194" s="59">
        <f t="shared" si="142"/>
        <v>532.90758914457615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6.6646148095449775E-2</v>
      </c>
      <c r="AA194" s="21">
        <f>EXP(-LN(2)/25)*AA193+(1-EXP(-LN(2)/25))/(LN(2)/25)*Calculateur!V194*Calculateur!X194*VLOOKUP('Données projet'!$B$9,Paramètres!$A$1:$I$89,3,0)*0.475*44/12</f>
        <v>8.5035437896537738E-2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0.1516815859919875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88.008749437127449</v>
      </c>
      <c r="AO194" s="59">
        <f t="shared" si="144"/>
        <v>258.40359226940507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1.6003839652322014</v>
      </c>
      <c r="AV194" s="21">
        <f>EXP(-LN(2)/25)*AV193+(1-EXP(-LN(2)/25))/(LN(2)/25)*Calculateur!AQ194*Calculateur!AS194*VLOOKUP('Données projet'!$B$10,Paramètres!$A$1:$I$89,3,0)*0.475*44/12</f>
        <v>8.8146572982307894E-2</v>
      </c>
      <c r="AW194" s="21">
        <f>EXP(-LN(2)/2)*AW193+(1-EXP(-LN(2)/2))/(LN(2)/2)*AQ194*AT194*VLOOKUP('Données projet'!$B$10,Paramètres!$A$1:$I$89,3,0)*0.475*44/12</f>
        <v>2.6360598341361533E-25</v>
      </c>
      <c r="AX194" s="21">
        <f t="shared" si="166"/>
        <v>1.6885305382145093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304.99999999999983</v>
      </c>
      <c r="O195" s="13">
        <f>N195*VLOOKUP('Données projet'!$B$9,Paramètres!$A$1:$I$89,3,0)*VLOOKUP('Données projet'!$B$9,Paramètres!$A$1:$I$89,5,0)</f>
        <v>275.96399999999983</v>
      </c>
      <c r="P195" s="13">
        <f t="shared" si="141"/>
        <v>66.113366665488854</v>
      </c>
      <c r="Q195" s="20">
        <f t="shared" si="162"/>
        <v>595.78474694239264</v>
      </c>
      <c r="R195" s="59">
        <f t="shared" ref="R195:R203" si="191">Q195+(I195+J195)*44/12</f>
        <v>885.93401487245831</v>
      </c>
      <c r="S195" s="59">
        <f ca="1">AVERAGE(OFFSET($R$3,0,0,'Données projet'!$E$9+1,1))-AVERAGE(OFFSET($H$3,0,0,'Données projet'!$E$9+1,1))</f>
        <v>376.51107072413777</v>
      </c>
      <c r="T195" s="59">
        <f t="shared" si="142"/>
        <v>532.90758914457615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6.533925778143447E-2</v>
      </c>
      <c r="AA195" s="21">
        <f>EXP(-LN(2)/25)*AA194+(1-EXP(-LN(2)/25))/(LN(2)/25)*Calculateur!V195*Calculateur!X195*VLOOKUP('Données projet'!$B$9,Paramètres!$A$1:$I$89,3,0)*0.475*44/12</f>
        <v>8.2710139375437586E-2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0.14804939715687204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88.008749437127449</v>
      </c>
      <c r="AO195" s="59">
        <f t="shared" si="144"/>
        <v>258.40359226940507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1.5690014118118312</v>
      </c>
      <c r="AV195" s="21">
        <f>EXP(-LN(2)/25)*AV194+(1-EXP(-LN(2)/25))/(LN(2)/25)*Calculateur!AQ195*Calculateur!AS195*VLOOKUP('Données projet'!$B$10,Paramètres!$A$1:$I$89,3,0)*0.475*44/12</f>
        <v>8.5736200308679872E-2</v>
      </c>
      <c r="AW195" s="21">
        <f>EXP(-LN(2)/2)*AW194+(1-EXP(-LN(2)/2))/(LN(2)/2)*AQ195*AT195*VLOOKUP('Données projet'!$B$10,Paramètres!$A$1:$I$89,3,0)*0.475*44/12</f>
        <v>1.8639757843311598E-25</v>
      </c>
      <c r="AX195" s="21">
        <f t="shared" si="166"/>
        <v>1.6547376121205111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304.99999999999983</v>
      </c>
      <c r="O196" s="13">
        <f>N196*VLOOKUP('Données projet'!$B$9,Paramètres!$A$1:$I$89,3,0)*VLOOKUP('Données projet'!$B$9,Paramètres!$A$1:$I$89,5,0)</f>
        <v>275.96399999999983</v>
      </c>
      <c r="P196" s="13">
        <f t="shared" si="141"/>
        <v>66.113366665488854</v>
      </c>
      <c r="Q196" s="20">
        <f t="shared" si="162"/>
        <v>595.78474694239264</v>
      </c>
      <c r="R196" s="59">
        <f t="shared" si="191"/>
        <v>885.9892512887011</v>
      </c>
      <c r="S196" s="59">
        <f ca="1">AVERAGE(OFFSET($R$3,0,0,'Données projet'!$E$9+1,1))-AVERAGE(OFFSET($H$3,0,0,'Données projet'!$E$9+1,1))</f>
        <v>376.51107072413777</v>
      </c>
      <c r="T196" s="59">
        <f t="shared" si="142"/>
        <v>532.90758914457615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6.4057994789352632E-2</v>
      </c>
      <c r="AA196" s="21">
        <f>EXP(-LN(2)/25)*AA195+(1-EXP(-LN(2)/25))/(LN(2)/25)*Calculateur!V196*Calculateur!X196*VLOOKUP('Données projet'!$B$9,Paramètres!$A$1:$I$89,3,0)*0.475*44/12</f>
        <v>8.0448426264679046E-2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0.14450642105403166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88.008749437127449</v>
      </c>
      <c r="AO196" s="59">
        <f t="shared" si="144"/>
        <v>258.40359226940507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1.5382342511225668</v>
      </c>
      <c r="AV196" s="21">
        <f>EXP(-LN(2)/25)*AV195+(1-EXP(-LN(2)/25))/(LN(2)/25)*Calculateur!AQ196*Calculateur!AS196*VLOOKUP('Données projet'!$B$10,Paramètres!$A$1:$I$89,3,0)*0.475*44/12</f>
        <v>8.3391739402568194E-2</v>
      </c>
      <c r="AW196" s="21">
        <f>EXP(-LN(2)/2)*AW195+(1-EXP(-LN(2)/2))/(LN(2)/2)*AQ196*AT196*VLOOKUP('Données projet'!$B$10,Paramètres!$A$1:$I$89,3,0)*0.475*44/12</f>
        <v>1.3180299170680767E-25</v>
      </c>
      <c r="AX196" s="21">
        <f t="shared" si="166"/>
        <v>1.6216259905251351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304.99999999999983</v>
      </c>
      <c r="O197" s="13">
        <f>N197*VLOOKUP('Données projet'!$B$9,Paramètres!$A$1:$I$89,3,0)*VLOOKUP('Données projet'!$B$9,Paramètres!$A$1:$I$89,5,0)</f>
        <v>275.96399999999983</v>
      </c>
      <c r="P197" s="13">
        <f t="shared" ref="P197:P203" si="203">EXP(-1.0587+0.8836*LN(O197)+0.284)</f>
        <v>66.113366665488854</v>
      </c>
      <c r="Q197" s="20">
        <f t="shared" si="162"/>
        <v>595.78474694239264</v>
      </c>
      <c r="R197" s="59">
        <f t="shared" si="191"/>
        <v>886.04352947661232</v>
      </c>
      <c r="S197" s="59">
        <f ca="1">AVERAGE(OFFSET($R$3,0,0,'Données projet'!$E$9+1,1))-AVERAGE(OFFSET($H$3,0,0,'Données projet'!$E$9+1,1))</f>
        <v>376.51107072413777</v>
      </c>
      <c r="T197" s="59">
        <f t="shared" ref="T197:T203" si="204">$T$3</f>
        <v>532.90758914457615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6.2801856583052262E-2</v>
      </c>
      <c r="AA197" s="21">
        <f>EXP(-LN(2)/25)*AA196+(1-EXP(-LN(2)/25))/(LN(2)/25)*Calculateur!V197*Calculateur!X197*VLOOKUP('Données projet'!$B$9,Paramètres!$A$1:$I$89,3,0)*0.475*44/12</f>
        <v>7.8248559817872529E-2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0.14105041640092481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88.008749437127449</v>
      </c>
      <c r="AO197" s="59">
        <f t="shared" ref="AO197:AO203" si="205">$AO$3</f>
        <v>258.40359226940507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1.508070415688304</v>
      </c>
      <c r="AV197" s="21">
        <f>EXP(-LN(2)/25)*AV196+(1-EXP(-LN(2)/25))/(LN(2)/25)*Calculateur!AQ197*Calculateur!AS197*VLOOKUP('Données projet'!$B$10,Paramètres!$A$1:$I$89,3,0)*0.475*44/12</f>
        <v>8.1111387903223989E-2</v>
      </c>
      <c r="AW197" s="21">
        <f>EXP(-LN(2)/2)*AW196+(1-EXP(-LN(2)/2))/(LN(2)/2)*AQ197*AT197*VLOOKUP('Données projet'!$B$10,Paramètres!$A$1:$I$89,3,0)*0.475*44/12</f>
        <v>9.3198789216557988E-26</v>
      </c>
      <c r="AX197" s="21">
        <f t="shared" si="166"/>
        <v>1.5891818035915279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304.99999999999983</v>
      </c>
      <c r="O198" s="13">
        <f>N198*VLOOKUP('Données projet'!$B$9,Paramètres!$A$1:$I$89,3,0)*VLOOKUP('Données projet'!$B$9,Paramètres!$A$1:$I$89,5,0)</f>
        <v>275.96399999999983</v>
      </c>
      <c r="P198" s="13">
        <f t="shared" si="203"/>
        <v>66.113366665488854</v>
      </c>
      <c r="Q198" s="20">
        <f t="shared" si="162"/>
        <v>595.78474694239264</v>
      </c>
      <c r="R198" s="59">
        <f t="shared" si="191"/>
        <v>886.0968660593112</v>
      </c>
      <c r="S198" s="59">
        <f ca="1">AVERAGE(OFFSET($R$3,0,0,'Données projet'!$E$9+1,1))-AVERAGE(OFFSET($H$3,0,0,'Données projet'!$E$9+1,1))</f>
        <v>376.51107072413777</v>
      </c>
      <c r="T198" s="59">
        <f t="shared" si="204"/>
        <v>532.90758914457615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6.1570350480808785E-2</v>
      </c>
      <c r="AA198" s="21">
        <f>EXP(-LN(2)/25)*AA197+(1-EXP(-LN(2)/25))/(LN(2)/25)*Calculateur!V198*Calculateur!X198*VLOOKUP('Données projet'!$B$9,Paramètres!$A$1:$I$89,3,0)*0.475*44/12</f>
        <v>7.6108848834739881E-2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0.13767919931554867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88.008749437127449</v>
      </c>
      <c r="AO198" s="59">
        <f t="shared" si="205"/>
        <v>258.40359226940507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1.4784980746687841</v>
      </c>
      <c r="AV198" s="21">
        <f>EXP(-LN(2)/25)*AV197+(1-EXP(-LN(2)/25))/(LN(2)/25)*Calculateur!AQ198*Calculateur!AS198*VLOOKUP('Données projet'!$B$10,Paramètres!$A$1:$I$89,3,0)*0.475*44/12</f>
        <v>7.8893392735547824E-2</v>
      </c>
      <c r="AW198" s="21">
        <f>EXP(-LN(2)/2)*AW197+(1-EXP(-LN(2)/2))/(LN(2)/2)*AQ198*AT198*VLOOKUP('Données projet'!$B$10,Paramètres!$A$1:$I$89,3,0)*0.475*44/12</f>
        <v>6.5901495853403834E-26</v>
      </c>
      <c r="AX198" s="21">
        <f t="shared" si="166"/>
        <v>1.5573914674043319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304.99999999999983</v>
      </c>
      <c r="O199" s="13">
        <f>N199*VLOOKUP('Données projet'!$B$9,Paramètres!$A$1:$I$89,3,0)*VLOOKUP('Données projet'!$B$9,Paramètres!$A$1:$I$89,5,0)</f>
        <v>275.96399999999983</v>
      </c>
      <c r="P199" s="13">
        <f t="shared" si="203"/>
        <v>66.113366665488854</v>
      </c>
      <c r="Q199" s="20">
        <f t="shared" si="162"/>
        <v>595.78474694239264</v>
      </c>
      <c r="R199" s="59">
        <f t="shared" si="191"/>
        <v>886.14927737154289</v>
      </c>
      <c r="S199" s="59">
        <f ca="1">AVERAGE(OFFSET($R$3,0,0,'Données projet'!$E$9+1,1))-AVERAGE(OFFSET($H$3,0,0,'Données projet'!$E$9+1,1))</f>
        <v>376.51107072413777</v>
      </c>
      <c r="T199" s="59">
        <f t="shared" si="204"/>
        <v>532.90758914457615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6.0362993462085748E-2</v>
      </c>
      <c r="AA199" s="21">
        <f>EXP(-LN(2)/25)*AA198+(1-EXP(-LN(2)/25))/(LN(2)/25)*Calculateur!V199*Calculateur!X199*VLOOKUP('Données projet'!$B$9,Paramètres!$A$1:$I$89,3,0)*0.475*44/12</f>
        <v>7.4027648360963511E-2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0.13439064182304927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88.008749437127449</v>
      </c>
      <c r="AO199" s="59">
        <f t="shared" si="205"/>
        <v>258.40359226940507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1.44950562921931</v>
      </c>
      <c r="AV199" s="21">
        <f>EXP(-LN(2)/25)*AV198+(1-EXP(-LN(2)/25))/(LN(2)/25)*Calculateur!AQ199*Calculateur!AS199*VLOOKUP('Données projet'!$B$10,Paramètres!$A$1:$I$89,3,0)*0.475*44/12</f>
        <v>7.6736048762371056E-2</v>
      </c>
      <c r="AW199" s="21">
        <f>EXP(-LN(2)/2)*AW198+(1-EXP(-LN(2)/2))/(LN(2)/2)*AQ199*AT199*VLOOKUP('Données projet'!$B$10,Paramètres!$A$1:$I$89,3,0)*0.475*44/12</f>
        <v>4.6599394608278994E-26</v>
      </c>
      <c r="AX199" s="21">
        <f t="shared" si="166"/>
        <v>1.5262416779816812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304.99999999999983</v>
      </c>
      <c r="O200" s="13">
        <f>N200*VLOOKUP('Données projet'!$B$9,Paramètres!$A$1:$I$89,3,0)*VLOOKUP('Données projet'!$B$9,Paramètres!$A$1:$I$89,5,0)</f>
        <v>275.96399999999983</v>
      </c>
      <c r="P200" s="13">
        <f t="shared" si="203"/>
        <v>66.113366665488854</v>
      </c>
      <c r="Q200" s="20">
        <f t="shared" si="162"/>
        <v>595.78474694239264</v>
      </c>
      <c r="R200" s="59">
        <f t="shared" si="191"/>
        <v>886.20077946468143</v>
      </c>
      <c r="S200" s="59">
        <f ca="1">AVERAGE(OFFSET($R$3,0,0,'Données projet'!$E$9+1,1))-AVERAGE(OFFSET($H$3,0,0,'Données projet'!$E$9+1,1))</f>
        <v>376.51107072413777</v>
      </c>
      <c r="T200" s="59">
        <f t="shared" si="204"/>
        <v>532.90758914457615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5.9179311978084806E-2</v>
      </c>
      <c r="AA200" s="21">
        <f>EXP(-LN(2)/25)*AA199+(1-EXP(-LN(2)/25))/(LN(2)/25)*Calculateur!V200*Calculateur!X200*VLOOKUP('Données projet'!$B$9,Paramètres!$A$1:$I$89,3,0)*0.475*44/12</f>
        <v>7.2003358423588126E-2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0.13118267040167292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88.008749437127449</v>
      </c>
      <c r="AO200" s="59">
        <f t="shared" si="205"/>
        <v>258.40359226940507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1.4210817079414544</v>
      </c>
      <c r="AV200" s="21">
        <f>EXP(-LN(2)/25)*AV199+(1-EXP(-LN(2)/25))/(LN(2)/25)*Calculateur!AQ200*Calculateur!AS200*VLOOKUP('Données projet'!$B$10,Paramètres!$A$1:$I$89,3,0)*0.475*44/12</f>
        <v>7.46376974735906E-2</v>
      </c>
      <c r="AW200" s="21">
        <f>EXP(-LN(2)/2)*AW199+(1-EXP(-LN(2)/2))/(LN(2)/2)*AQ200*AT200*VLOOKUP('Données projet'!$B$10,Paramètres!$A$1:$I$89,3,0)*0.475*44/12</f>
        <v>3.2950747926701917E-26</v>
      </c>
      <c r="AX200" s="21">
        <f t="shared" si="166"/>
        <v>1.4957194054150449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304.99999999999983</v>
      </c>
      <c r="O201" s="13">
        <f>N201*VLOOKUP('Données projet'!$B$9,Paramètres!$A$1:$I$89,3,0)*VLOOKUP('Données projet'!$B$9,Paramètres!$A$1:$I$89,5,0)</f>
        <v>275.96399999999983</v>
      </c>
      <c r="P201" s="13">
        <f t="shared" si="203"/>
        <v>66.113366665488854</v>
      </c>
      <c r="Q201" s="20">
        <f t="shared" si="162"/>
        <v>595.78474694239264</v>
      </c>
      <c r="R201" s="59">
        <f t="shared" si="191"/>
        <v>886.25138811164561</v>
      </c>
      <c r="S201" s="59">
        <f ca="1">AVERAGE(OFFSET($R$3,0,0,'Données projet'!$E$9+1,1))-AVERAGE(OFFSET($H$3,0,0,'Données projet'!$E$9+1,1))</f>
        <v>376.51107072413777</v>
      </c>
      <c r="T201" s="59">
        <f t="shared" si="204"/>
        <v>532.90758914457615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5.8018841766010701E-2</v>
      </c>
      <c r="AA201" s="21">
        <f>EXP(-LN(2)/25)*AA200+(1-EXP(-LN(2)/25))/(LN(2)/25)*Calculateur!V201*Calculateur!X201*VLOOKUP('Données projet'!$B$9,Paramètres!$A$1:$I$89,3,0)*0.475*44/12</f>
        <v>7.0034422801003055E-2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0.12805326456701377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88.008749437127449</v>
      </c>
      <c r="AO201" s="59">
        <f t="shared" si="205"/>
        <v>258.40359226940507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1.3932151624229774</v>
      </c>
      <c r="AV201" s="21">
        <f>EXP(-LN(2)/25)*AV200+(1-EXP(-LN(2)/25))/(LN(2)/25)*Calculateur!AQ201*Calculateur!AS201*VLOOKUP('Données projet'!$B$10,Paramètres!$A$1:$I$89,3,0)*0.475*44/12</f>
        <v>7.2596725711149349E-2</v>
      </c>
      <c r="AW201" s="21">
        <f>EXP(-LN(2)/2)*AW200+(1-EXP(-LN(2)/2))/(LN(2)/2)*AQ201*AT201*VLOOKUP('Données projet'!$B$10,Paramètres!$A$1:$I$89,3,0)*0.475*44/12</f>
        <v>2.3299697304139497E-26</v>
      </c>
      <c r="AX201" s="21">
        <f t="shared" si="166"/>
        <v>1.4658118881341267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304.99999999999983</v>
      </c>
      <c r="O202" s="13">
        <f>N202*VLOOKUP('Données projet'!$B$9,Paramètres!$A$1:$I$89,3,0)*VLOOKUP('Données projet'!$B$9,Paramètres!$A$1:$I$89,5,0)</f>
        <v>275.96399999999983</v>
      </c>
      <c r="P202" s="13">
        <f t="shared" si="203"/>
        <v>66.113366665488854</v>
      </c>
      <c r="Q202" s="20">
        <f t="shared" si="162"/>
        <v>595.78474694239264</v>
      </c>
      <c r="R202" s="59">
        <f t="shared" si="191"/>
        <v>886.30111881172877</v>
      </c>
      <c r="S202" s="59">
        <f ca="1">AVERAGE(OFFSET($R$3,0,0,'Données projet'!$E$9+1,1))-AVERAGE(OFFSET($H$3,0,0,'Données projet'!$E$9+1,1))</f>
        <v>376.51107072413777</v>
      </c>
      <c r="T202" s="59">
        <f t="shared" si="204"/>
        <v>532.90758914457615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5.6881127666978434E-2</v>
      </c>
      <c r="AA202" s="21">
        <f>EXP(-LN(2)/25)*AA201+(1-EXP(-LN(2)/25))/(LN(2)/25)*Calculateur!V202*Calculateur!X202*VLOOKUP('Données projet'!$B$9,Paramètres!$A$1:$I$89,3,0)*0.475*44/12</f>
        <v>6.8119327826559398E-2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0.12500045549353783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88.008749437127449</v>
      </c>
      <c r="AO202" s="59">
        <f t="shared" si="205"/>
        <v>258.40359226940507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1.3658950628652033</v>
      </c>
      <c r="AV202" s="21">
        <f>EXP(-LN(2)/25)*AV201+(1-EXP(-LN(2)/25))/(LN(2)/25)*Calculateur!AQ202*Calculateur!AS202*VLOOKUP('Données projet'!$B$10,Paramètres!$A$1:$I$89,3,0)*0.475*44/12</f>
        <v>7.0611564428882084E-2</v>
      </c>
      <c r="AW202" s="21">
        <f>EXP(-LN(2)/2)*AW201+(1-EXP(-LN(2)/2))/(LN(2)/2)*AQ202*AT202*VLOOKUP('Données projet'!$B$10,Paramètres!$A$1:$I$89,3,0)*0.475*44/12</f>
        <v>1.6475373963350958E-26</v>
      </c>
      <c r="AX202" s="21">
        <f t="shared" si="166"/>
        <v>1.4365066272940854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304.99999999999983</v>
      </c>
      <c r="O203" s="13">
        <f>N203*VLOOKUP('Données projet'!$B$9,Paramètres!$A$1:$I$89,3,0)*VLOOKUP('Données projet'!$B$9,Paramètres!$A$1:$I$89,5,0)</f>
        <v>275.96399999999983</v>
      </c>
      <c r="P203" s="13">
        <f t="shared" si="203"/>
        <v>66.113366665488854</v>
      </c>
      <c r="Q203" s="20">
        <f t="shared" si="162"/>
        <v>595.78474694239264</v>
      </c>
      <c r="R203" s="59">
        <f t="shared" si="191"/>
        <v>886.34998679534669</v>
      </c>
      <c r="S203" s="59">
        <f ca="1">AVERAGE(OFFSET($R$3,0,0,'Données projet'!$E$9+1,1))-AVERAGE(OFFSET($H$3,0,0,'Données projet'!$E$9+1,1))</f>
        <v>376.51107072413777</v>
      </c>
      <c r="T203" s="59">
        <f t="shared" si="204"/>
        <v>532.90758914457615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5.576572344749111E-2</v>
      </c>
      <c r="AA203" s="21">
        <f>EXP(-LN(2)/25)*AA202+(1-EXP(-LN(2)/25))/(LN(2)/25)*Calculateur!V203*Calculateur!X203*VLOOKUP('Données projet'!$B$9,Paramètres!$A$1:$I$89,3,0)*0.475*44/12</f>
        <v>6.6256601224902373E-2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0.12202232467239349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88.008749437127449</v>
      </c>
      <c r="AO203" s="59">
        <f t="shared" si="205"/>
        <v>258.40359226940507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1.3391106937961419</v>
      </c>
      <c r="AV203" s="21">
        <f>EXP(-LN(2)/25)*AV202+(1-EXP(-LN(2)/25))/(LN(2)/25)*Calculateur!AQ203*Calculateur!AS203*VLOOKUP('Données projet'!$B$10,Paramètres!$A$1:$I$89,3,0)*0.475*44/12</f>
        <v>6.8680687486273512E-2</v>
      </c>
      <c r="AW203" s="21">
        <f>EXP(-LN(2)/2)*AW202+(1-EXP(-LN(2)/2))/(LN(2)/2)*AQ203*AT203*VLOOKUP('Données projet'!$B$10,Paramètres!$A$1:$I$89,3,0)*0.475*44/12</f>
        <v>1.1649848652069749E-26</v>
      </c>
      <c r="AX203" s="21">
        <f t="shared" si="166"/>
        <v>1.4077913812824154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100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100</v>
      </c>
      <c r="BA204" s="81" t="s">
        <v>100</v>
      </c>
      <c r="BV204" s="81" t="s">
        <v>100</v>
      </c>
      <c r="CQ204" s="81" t="s">
        <v>100</v>
      </c>
      <c r="DL204" s="81" t="s">
        <v>100</v>
      </c>
      <c r="EG204" s="81" t="s">
        <v>100</v>
      </c>
      <c r="FB204" s="81" t="s">
        <v>100</v>
      </c>
      <c r="FW204" s="81" t="s">
        <v>100</v>
      </c>
      <c r="GR204" s="81" t="s">
        <v>100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2.0243974584998852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1.3094437062921891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101</v>
      </c>
      <c r="B1" s="112" t="s">
        <v>102</v>
      </c>
      <c r="C1" s="113" t="s">
        <v>103</v>
      </c>
      <c r="D1" s="112" t="s">
        <v>104</v>
      </c>
      <c r="E1" s="113" t="s">
        <v>105</v>
      </c>
      <c r="F1" s="113" t="s">
        <v>104</v>
      </c>
      <c r="G1" s="113" t="s">
        <v>106</v>
      </c>
      <c r="H1" s="113" t="s">
        <v>104</v>
      </c>
      <c r="I1" s="114" t="s">
        <v>107</v>
      </c>
      <c r="J1" s="78"/>
      <c r="K1" s="78"/>
      <c r="L1" s="78"/>
      <c r="M1" s="78"/>
      <c r="N1" s="78"/>
    </row>
    <row r="2" spans="1:16" x14ac:dyDescent="0.25">
      <c r="A2" s="115" t="s">
        <v>108</v>
      </c>
      <c r="B2" s="116" t="s">
        <v>109</v>
      </c>
      <c r="C2" s="117">
        <v>0.62</v>
      </c>
      <c r="D2" s="117" t="s">
        <v>110</v>
      </c>
      <c r="E2" s="117">
        <v>1.56</v>
      </c>
      <c r="F2" s="117" t="s">
        <v>111</v>
      </c>
      <c r="G2" s="118">
        <v>0.43</v>
      </c>
      <c r="H2" s="119" t="s">
        <v>112</v>
      </c>
      <c r="I2" s="120">
        <v>0.25</v>
      </c>
      <c r="J2" s="78"/>
      <c r="K2" s="78"/>
      <c r="L2" s="78"/>
      <c r="M2" s="78"/>
      <c r="N2" s="78"/>
      <c r="O2" s="289" t="s">
        <v>113</v>
      </c>
      <c r="P2" s="121">
        <v>0</v>
      </c>
    </row>
    <row r="3" spans="1:16" ht="15.75" thickBot="1" x14ac:dyDescent="0.3">
      <c r="A3" s="122" t="s">
        <v>114</v>
      </c>
      <c r="B3" s="123" t="s">
        <v>115</v>
      </c>
      <c r="C3" s="124">
        <v>0.64</v>
      </c>
      <c r="D3" s="124" t="s">
        <v>110</v>
      </c>
      <c r="E3" s="124">
        <v>1.56</v>
      </c>
      <c r="F3" s="125" t="s">
        <v>111</v>
      </c>
      <c r="G3" s="126">
        <v>0.43</v>
      </c>
      <c r="H3" s="124" t="s">
        <v>112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.75" thickBot="1" x14ac:dyDescent="0.3">
      <c r="A4" s="122" t="s">
        <v>116</v>
      </c>
      <c r="B4" s="123" t="s">
        <v>117</v>
      </c>
      <c r="C4" s="124">
        <v>0.42</v>
      </c>
      <c r="D4" s="124" t="s">
        <v>110</v>
      </c>
      <c r="E4" s="124">
        <v>1.56</v>
      </c>
      <c r="F4" s="125" t="s">
        <v>111</v>
      </c>
      <c r="G4" s="126">
        <v>0.43</v>
      </c>
      <c r="H4" s="124" t="s">
        <v>112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118</v>
      </c>
      <c r="B5" s="123" t="s">
        <v>119</v>
      </c>
      <c r="C5" s="124">
        <v>0.42</v>
      </c>
      <c r="D5" s="124" t="s">
        <v>110</v>
      </c>
      <c r="E5" s="124">
        <v>1.56</v>
      </c>
      <c r="F5" s="125" t="s">
        <v>111</v>
      </c>
      <c r="G5" s="126">
        <v>0.43</v>
      </c>
      <c r="H5" s="124" t="s">
        <v>112</v>
      </c>
      <c r="I5" s="127">
        <v>0.25</v>
      </c>
      <c r="J5" s="78"/>
      <c r="K5" s="78"/>
      <c r="L5" s="78"/>
      <c r="M5" s="78"/>
      <c r="N5" s="78"/>
      <c r="O5" s="289" t="s">
        <v>120</v>
      </c>
      <c r="P5" s="121">
        <v>0</v>
      </c>
    </row>
    <row r="6" spans="1:16" x14ac:dyDescent="0.25">
      <c r="A6" s="122" t="s">
        <v>121</v>
      </c>
      <c r="B6" s="123" t="s">
        <v>122</v>
      </c>
      <c r="C6" s="124">
        <v>0.42</v>
      </c>
      <c r="D6" s="124" t="s">
        <v>110</v>
      </c>
      <c r="E6" s="124">
        <v>1.56</v>
      </c>
      <c r="F6" s="125" t="s">
        <v>111</v>
      </c>
      <c r="G6" s="126">
        <v>0.43</v>
      </c>
      <c r="H6" s="124" t="s">
        <v>112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25">
      <c r="A7" s="122" t="s">
        <v>123</v>
      </c>
      <c r="B7" s="123" t="s">
        <v>124</v>
      </c>
      <c r="C7" s="124">
        <v>0.52</v>
      </c>
      <c r="D7" s="124" t="s">
        <v>110</v>
      </c>
      <c r="E7" s="124">
        <v>1.56</v>
      </c>
      <c r="F7" s="125" t="s">
        <v>111</v>
      </c>
      <c r="G7" s="126">
        <v>0.43</v>
      </c>
      <c r="H7" s="124" t="s">
        <v>112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.75" thickBot="1" x14ac:dyDescent="0.3">
      <c r="A8" s="122" t="s">
        <v>125</v>
      </c>
      <c r="B8" s="123" t="s">
        <v>126</v>
      </c>
      <c r="C8" s="124">
        <v>0.36</v>
      </c>
      <c r="D8" s="124" t="s">
        <v>110</v>
      </c>
      <c r="E8" s="124">
        <v>1.3</v>
      </c>
      <c r="F8" s="125" t="s">
        <v>111</v>
      </c>
      <c r="G8" s="126">
        <v>0.55000000000000004</v>
      </c>
      <c r="H8" s="124" t="s">
        <v>127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.75" thickBot="1" x14ac:dyDescent="0.3">
      <c r="A9" s="122" t="s">
        <v>128</v>
      </c>
      <c r="B9" s="123" t="s">
        <v>129</v>
      </c>
      <c r="C9" s="124">
        <v>0.61</v>
      </c>
      <c r="D9" s="124" t="s">
        <v>110</v>
      </c>
      <c r="E9" s="124">
        <v>1.56</v>
      </c>
      <c r="F9" s="125" t="s">
        <v>111</v>
      </c>
      <c r="G9" s="126">
        <v>0.43</v>
      </c>
      <c r="H9" s="124" t="s">
        <v>112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130</v>
      </c>
      <c r="B10" s="123" t="s">
        <v>131</v>
      </c>
      <c r="C10" s="124">
        <v>0.66</v>
      </c>
      <c r="D10" s="124" t="s">
        <v>110</v>
      </c>
      <c r="E10" s="124">
        <v>1.56</v>
      </c>
      <c r="F10" s="125" t="s">
        <v>111</v>
      </c>
      <c r="G10" s="126">
        <v>0.43</v>
      </c>
      <c r="H10" s="124" t="s">
        <v>112</v>
      </c>
      <c r="I10" s="127">
        <v>0.25</v>
      </c>
      <c r="J10" s="78"/>
      <c r="K10" s="78"/>
      <c r="L10" s="78"/>
      <c r="M10" s="78"/>
      <c r="N10" s="78"/>
      <c r="O10" s="289" t="s">
        <v>132</v>
      </c>
      <c r="P10" s="121">
        <v>0</v>
      </c>
    </row>
    <row r="11" spans="1:16" ht="15.75" thickBot="1" x14ac:dyDescent="0.3">
      <c r="A11" s="122" t="s">
        <v>133</v>
      </c>
      <c r="B11" s="123" t="s">
        <v>134</v>
      </c>
      <c r="C11" s="124">
        <v>0.47</v>
      </c>
      <c r="D11" s="124" t="s">
        <v>110</v>
      </c>
      <c r="E11" s="124">
        <v>1.56</v>
      </c>
      <c r="F11" s="125" t="s">
        <v>111</v>
      </c>
      <c r="G11" s="126">
        <v>0.43</v>
      </c>
      <c r="H11" s="124" t="s">
        <v>112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25">
      <c r="A12" s="122" t="s">
        <v>135</v>
      </c>
      <c r="B12" s="123" t="s">
        <v>136</v>
      </c>
      <c r="C12" s="124">
        <v>0.67</v>
      </c>
      <c r="D12" s="124" t="s">
        <v>110</v>
      </c>
      <c r="E12" s="124">
        <v>1.56</v>
      </c>
      <c r="F12" s="125" t="s">
        <v>111</v>
      </c>
      <c r="G12" s="126">
        <v>0.43</v>
      </c>
      <c r="H12" s="124" t="s">
        <v>137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138</v>
      </c>
      <c r="B13" s="123" t="s">
        <v>139</v>
      </c>
      <c r="C13" s="124">
        <v>0.7</v>
      </c>
      <c r="D13" s="124" t="s">
        <v>110</v>
      </c>
      <c r="E13" s="124">
        <v>1.56</v>
      </c>
      <c r="F13" s="125" t="s">
        <v>111</v>
      </c>
      <c r="G13" s="126">
        <v>0.43</v>
      </c>
      <c r="H13" s="124" t="s">
        <v>137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140</v>
      </c>
      <c r="B14" s="123" t="s">
        <v>141</v>
      </c>
      <c r="C14" s="124">
        <v>0.54</v>
      </c>
      <c r="D14" s="124" t="s">
        <v>110</v>
      </c>
      <c r="E14" s="124">
        <v>1.56</v>
      </c>
      <c r="F14" s="125" t="s">
        <v>111</v>
      </c>
      <c r="G14" s="126">
        <v>0.43</v>
      </c>
      <c r="H14" s="124" t="s">
        <v>137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142</v>
      </c>
      <c r="B15" s="123" t="s">
        <v>143</v>
      </c>
      <c r="C15" s="124">
        <v>0.65</v>
      </c>
      <c r="D15" s="124" t="s">
        <v>110</v>
      </c>
      <c r="E15" s="124">
        <v>1.56</v>
      </c>
      <c r="F15" s="125" t="s">
        <v>111</v>
      </c>
      <c r="G15" s="126">
        <v>0.43</v>
      </c>
      <c r="H15" s="124" t="s">
        <v>137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144</v>
      </c>
      <c r="B16" s="123" t="s">
        <v>145</v>
      </c>
      <c r="C16" s="124">
        <v>0.56000000000000005</v>
      </c>
      <c r="D16" s="124" t="s">
        <v>110</v>
      </c>
      <c r="E16" s="124">
        <v>1.56</v>
      </c>
      <c r="F16" s="125" t="s">
        <v>111</v>
      </c>
      <c r="G16" s="126">
        <v>0.43</v>
      </c>
      <c r="H16" s="124" t="s">
        <v>137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146</v>
      </c>
      <c r="B17" s="123" t="s">
        <v>147</v>
      </c>
      <c r="C17" s="124">
        <v>0.57999999999999996</v>
      </c>
      <c r="D17" s="124" t="s">
        <v>110</v>
      </c>
      <c r="E17" s="124">
        <v>1.56</v>
      </c>
      <c r="F17" s="125" t="s">
        <v>111</v>
      </c>
      <c r="G17" s="126">
        <v>0.43</v>
      </c>
      <c r="H17" s="124" t="s">
        <v>137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148</v>
      </c>
      <c r="B18" s="123" t="s">
        <v>149</v>
      </c>
      <c r="C18" s="124">
        <v>0.64</v>
      </c>
      <c r="D18" s="124" t="s">
        <v>110</v>
      </c>
      <c r="E18" s="124">
        <v>1.56</v>
      </c>
      <c r="F18" s="125" t="s">
        <v>111</v>
      </c>
      <c r="G18" s="126">
        <v>0.43</v>
      </c>
      <c r="H18" s="124" t="s">
        <v>137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150</v>
      </c>
      <c r="B19" s="123" t="s">
        <v>151</v>
      </c>
      <c r="C19" s="124">
        <v>0.73</v>
      </c>
      <c r="D19" s="124" t="s">
        <v>110</v>
      </c>
      <c r="E19" s="124">
        <v>1.56</v>
      </c>
      <c r="F19" s="125" t="s">
        <v>111</v>
      </c>
      <c r="G19" s="126">
        <v>0.43</v>
      </c>
      <c r="H19" s="124" t="s">
        <v>137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152</v>
      </c>
      <c r="B20" s="123" t="s">
        <v>153</v>
      </c>
      <c r="C20" s="124">
        <v>0.69</v>
      </c>
      <c r="D20" s="124" t="s">
        <v>154</v>
      </c>
      <c r="E20" s="124">
        <v>1.56</v>
      </c>
      <c r="F20" s="125" t="s">
        <v>111</v>
      </c>
      <c r="G20" s="126">
        <v>0.43</v>
      </c>
      <c r="H20" s="124" t="s">
        <v>155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156</v>
      </c>
      <c r="B21" s="123" t="s">
        <v>157</v>
      </c>
      <c r="C21" s="124">
        <v>0.36</v>
      </c>
      <c r="D21" s="124" t="s">
        <v>110</v>
      </c>
      <c r="E21" s="124">
        <v>1.3</v>
      </c>
      <c r="F21" s="125" t="s">
        <v>111</v>
      </c>
      <c r="G21" s="126">
        <v>0.55000000000000004</v>
      </c>
      <c r="H21" s="124" t="s">
        <v>127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158</v>
      </c>
      <c r="B22" s="123" t="s">
        <v>159</v>
      </c>
      <c r="C22" s="124">
        <v>0.4</v>
      </c>
      <c r="D22" s="124" t="s">
        <v>110</v>
      </c>
      <c r="E22" s="124">
        <v>1.3</v>
      </c>
      <c r="F22" s="125" t="s">
        <v>111</v>
      </c>
      <c r="G22" s="126">
        <v>0.55000000000000004</v>
      </c>
      <c r="H22" s="124" t="s">
        <v>127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160</v>
      </c>
      <c r="B23" s="123" t="s">
        <v>161</v>
      </c>
      <c r="C23" s="124">
        <v>0.43</v>
      </c>
      <c r="D23" s="124" t="s">
        <v>110</v>
      </c>
      <c r="E23" s="124">
        <v>1.3</v>
      </c>
      <c r="F23" s="125" t="s">
        <v>111</v>
      </c>
      <c r="G23" s="126">
        <v>0.55000000000000004</v>
      </c>
      <c r="H23" s="124" t="s">
        <v>127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162</v>
      </c>
      <c r="B24" s="123" t="s">
        <v>163</v>
      </c>
      <c r="C24" s="124">
        <v>0.37</v>
      </c>
      <c r="D24" s="124" t="s">
        <v>110</v>
      </c>
      <c r="E24" s="124">
        <v>1.3</v>
      </c>
      <c r="F24" s="125" t="s">
        <v>111</v>
      </c>
      <c r="G24" s="126">
        <v>0.55000000000000004</v>
      </c>
      <c r="H24" s="124" t="s">
        <v>137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70</v>
      </c>
      <c r="B25" s="123" t="s">
        <v>164</v>
      </c>
      <c r="C25" s="124">
        <v>0.36</v>
      </c>
      <c r="D25" s="124" t="s">
        <v>110</v>
      </c>
      <c r="E25" s="124">
        <v>1.3</v>
      </c>
      <c r="F25" s="125" t="s">
        <v>111</v>
      </c>
      <c r="G25" s="126">
        <v>0.55000000000000004</v>
      </c>
      <c r="H25" s="124" t="s">
        <v>137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165</v>
      </c>
      <c r="B26" s="123" t="s">
        <v>166</v>
      </c>
      <c r="C26" s="124">
        <v>0.56000000000000005</v>
      </c>
      <c r="D26" s="124" t="s">
        <v>110</v>
      </c>
      <c r="E26" s="124">
        <v>1.56</v>
      </c>
      <c r="F26" s="125" t="s">
        <v>111</v>
      </c>
      <c r="G26" s="126">
        <v>0.53</v>
      </c>
      <c r="H26" s="124" t="s">
        <v>167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168</v>
      </c>
      <c r="B27" s="123" t="s">
        <v>169</v>
      </c>
      <c r="C27" s="124">
        <v>0.51</v>
      </c>
      <c r="D27" s="124" t="s">
        <v>110</v>
      </c>
      <c r="E27" s="124">
        <v>1.56</v>
      </c>
      <c r="F27" s="125" t="s">
        <v>111</v>
      </c>
      <c r="G27" s="126">
        <v>0.53</v>
      </c>
      <c r="H27" s="124" t="s">
        <v>167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170</v>
      </c>
      <c r="B28" s="123" t="s">
        <v>171</v>
      </c>
      <c r="C28" s="124">
        <v>0.51</v>
      </c>
      <c r="D28" s="124" t="s">
        <v>110</v>
      </c>
      <c r="E28" s="124">
        <v>1.56</v>
      </c>
      <c r="F28" s="125" t="s">
        <v>111</v>
      </c>
      <c r="G28" s="126">
        <v>0.53</v>
      </c>
      <c r="H28" s="124" t="s">
        <v>167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172</v>
      </c>
      <c r="B29" s="123" t="s">
        <v>172</v>
      </c>
      <c r="C29" s="124">
        <v>0.56000000000000005</v>
      </c>
      <c r="D29" s="124" t="s">
        <v>110</v>
      </c>
      <c r="E29" s="124">
        <v>1.56</v>
      </c>
      <c r="F29" s="125" t="s">
        <v>111</v>
      </c>
      <c r="G29" s="126">
        <v>0.53</v>
      </c>
      <c r="H29" s="124" t="s">
        <v>167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173</v>
      </c>
      <c r="B30" s="123" t="s">
        <v>174</v>
      </c>
      <c r="C30" s="124">
        <v>0.55000000000000004</v>
      </c>
      <c r="D30" s="124" t="s">
        <v>110</v>
      </c>
      <c r="E30" s="124">
        <v>1.56</v>
      </c>
      <c r="F30" s="125" t="s">
        <v>111</v>
      </c>
      <c r="G30" s="126">
        <v>0.53</v>
      </c>
      <c r="H30" s="124" t="s">
        <v>137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175</v>
      </c>
      <c r="B31" s="123" t="s">
        <v>176</v>
      </c>
      <c r="C31" s="124">
        <v>0.56000000000000005</v>
      </c>
      <c r="D31" s="124" t="s">
        <v>110</v>
      </c>
      <c r="E31" s="124">
        <v>1.56</v>
      </c>
      <c r="F31" s="125" t="s">
        <v>111</v>
      </c>
      <c r="G31" s="126">
        <v>0.43</v>
      </c>
      <c r="H31" s="124" t="s">
        <v>112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177</v>
      </c>
      <c r="B32" s="123" t="s">
        <v>178</v>
      </c>
      <c r="C32" s="124">
        <v>0.48</v>
      </c>
      <c r="D32" s="124" t="s">
        <v>110</v>
      </c>
      <c r="E32" s="124">
        <v>1.3</v>
      </c>
      <c r="F32" s="125" t="s">
        <v>111</v>
      </c>
      <c r="G32" s="126">
        <v>0.6</v>
      </c>
      <c r="H32" s="124" t="s">
        <v>179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180</v>
      </c>
      <c r="B33" s="123" t="s">
        <v>181</v>
      </c>
      <c r="C33" s="124">
        <v>0.42</v>
      </c>
      <c r="D33" s="124" t="s">
        <v>110</v>
      </c>
      <c r="E33" s="124">
        <v>1.3</v>
      </c>
      <c r="F33" s="125" t="s">
        <v>111</v>
      </c>
      <c r="G33" s="126">
        <v>0.6</v>
      </c>
      <c r="H33" s="124" t="s">
        <v>179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182</v>
      </c>
      <c r="B34" s="123" t="s">
        <v>183</v>
      </c>
      <c r="C34" s="124">
        <v>0.42</v>
      </c>
      <c r="D34" s="124" t="s">
        <v>184</v>
      </c>
      <c r="E34" s="124">
        <v>1.3</v>
      </c>
      <c r="F34" s="125" t="s">
        <v>111</v>
      </c>
      <c r="G34" s="126">
        <v>0.6</v>
      </c>
      <c r="H34" s="123" t="s">
        <v>185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186</v>
      </c>
      <c r="B35" s="123" t="s">
        <v>187</v>
      </c>
      <c r="C35" s="124">
        <v>0.5</v>
      </c>
      <c r="D35" s="124" t="s">
        <v>110</v>
      </c>
      <c r="E35" s="124">
        <v>1.56</v>
      </c>
      <c r="F35" s="125" t="s">
        <v>111</v>
      </c>
      <c r="G35" s="126">
        <v>0.43</v>
      </c>
      <c r="H35" s="124" t="s">
        <v>112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188</v>
      </c>
      <c r="B36" s="123" t="s">
        <v>189</v>
      </c>
      <c r="C36" s="124">
        <v>0.55000000000000004</v>
      </c>
      <c r="D36" s="124" t="s">
        <v>110</v>
      </c>
      <c r="E36" s="124">
        <v>1.56</v>
      </c>
      <c r="F36" s="125" t="s">
        <v>111</v>
      </c>
      <c r="G36" s="126">
        <v>0.53</v>
      </c>
      <c r="H36" s="124" t="s">
        <v>167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190</v>
      </c>
      <c r="B37" s="123" t="s">
        <v>191</v>
      </c>
      <c r="C37" s="124">
        <v>0.52</v>
      </c>
      <c r="D37" s="124" t="s">
        <v>110</v>
      </c>
      <c r="E37" s="124">
        <v>1.56</v>
      </c>
      <c r="F37" s="125" t="s">
        <v>111</v>
      </c>
      <c r="G37" s="126">
        <v>0.53</v>
      </c>
      <c r="H37" s="124" t="s">
        <v>167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192</v>
      </c>
      <c r="B38" s="123" t="s">
        <v>193</v>
      </c>
      <c r="C38" s="124">
        <v>0.52</v>
      </c>
      <c r="D38" s="124" t="s">
        <v>110</v>
      </c>
      <c r="E38" s="124">
        <v>1.56</v>
      </c>
      <c r="F38" s="125" t="s">
        <v>111</v>
      </c>
      <c r="G38" s="126">
        <v>0.43</v>
      </c>
      <c r="H38" s="124" t="s">
        <v>112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194</v>
      </c>
      <c r="B39" s="123" t="s">
        <v>195</v>
      </c>
      <c r="C39" s="124">
        <v>0.313</v>
      </c>
      <c r="D39" s="124" t="s">
        <v>196</v>
      </c>
      <c r="E39" s="124">
        <v>1.56</v>
      </c>
      <c r="F39" s="125" t="s">
        <v>111</v>
      </c>
      <c r="G39" s="126">
        <v>0.6</v>
      </c>
      <c r="H39" s="124" t="s">
        <v>197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198</v>
      </c>
      <c r="B40" s="123" t="s">
        <v>195</v>
      </c>
      <c r="C40" s="124">
        <v>0.35199999999999998</v>
      </c>
      <c r="D40" s="124" t="s">
        <v>196</v>
      </c>
      <c r="E40" s="124">
        <v>1.56</v>
      </c>
      <c r="F40" s="125" t="s">
        <v>111</v>
      </c>
      <c r="G40" s="126">
        <v>0.6</v>
      </c>
      <c r="H40" s="124" t="s">
        <v>197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199</v>
      </c>
      <c r="B41" s="123" t="s">
        <v>195</v>
      </c>
      <c r="C41" s="124">
        <v>0.32200000000000001</v>
      </c>
      <c r="D41" s="124" t="s">
        <v>196</v>
      </c>
      <c r="E41" s="124">
        <v>1.56</v>
      </c>
      <c r="F41" s="125" t="s">
        <v>111</v>
      </c>
      <c r="G41" s="126">
        <v>0.6</v>
      </c>
      <c r="H41" s="124" t="s">
        <v>197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200</v>
      </c>
      <c r="B42" s="123" t="s">
        <v>195</v>
      </c>
      <c r="C42" s="124">
        <v>0.311</v>
      </c>
      <c r="D42" s="124" t="s">
        <v>196</v>
      </c>
      <c r="E42" s="124">
        <v>1.56</v>
      </c>
      <c r="F42" s="125" t="s">
        <v>111</v>
      </c>
      <c r="G42" s="126">
        <v>0.6</v>
      </c>
      <c r="H42" s="124" t="s">
        <v>197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201</v>
      </c>
      <c r="B43" s="123" t="s">
        <v>195</v>
      </c>
      <c r="C43" s="124">
        <v>0.33900000000000002</v>
      </c>
      <c r="D43" s="124" t="s">
        <v>196</v>
      </c>
      <c r="E43" s="124">
        <v>1.56</v>
      </c>
      <c r="F43" s="125" t="s">
        <v>111</v>
      </c>
      <c r="G43" s="126">
        <v>0.6</v>
      </c>
      <c r="H43" s="124" t="s">
        <v>197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202</v>
      </c>
      <c r="B44" s="123" t="s">
        <v>195</v>
      </c>
      <c r="C44" s="124">
        <v>0.33600000000000002</v>
      </c>
      <c r="D44" s="124" t="s">
        <v>196</v>
      </c>
      <c r="E44" s="124">
        <v>1.56</v>
      </c>
      <c r="F44" s="125" t="s">
        <v>111</v>
      </c>
      <c r="G44" s="126">
        <v>0.6</v>
      </c>
      <c r="H44" s="124" t="s">
        <v>197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203</v>
      </c>
      <c r="B45" s="123" t="s">
        <v>195</v>
      </c>
      <c r="C45" s="124">
        <v>0.32900000000000001</v>
      </c>
      <c r="D45" s="124" t="s">
        <v>196</v>
      </c>
      <c r="E45" s="124">
        <v>1.56</v>
      </c>
      <c r="F45" s="125" t="s">
        <v>111</v>
      </c>
      <c r="G45" s="126">
        <v>0.6</v>
      </c>
      <c r="H45" s="124" t="s">
        <v>197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204</v>
      </c>
      <c r="B46" s="123" t="s">
        <v>195</v>
      </c>
      <c r="C46" s="124">
        <v>0.34300000000000003</v>
      </c>
      <c r="D46" s="124" t="s">
        <v>196</v>
      </c>
      <c r="E46" s="124">
        <v>1.56</v>
      </c>
      <c r="F46" s="125" t="s">
        <v>111</v>
      </c>
      <c r="G46" s="126">
        <v>0.6</v>
      </c>
      <c r="H46" s="124" t="s">
        <v>197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205</v>
      </c>
      <c r="B47" s="123" t="s">
        <v>195</v>
      </c>
      <c r="C47" s="124">
        <v>0.32500000000000001</v>
      </c>
      <c r="D47" s="124" t="s">
        <v>196</v>
      </c>
      <c r="E47" s="124">
        <v>1.56</v>
      </c>
      <c r="F47" s="125" t="s">
        <v>111</v>
      </c>
      <c r="G47" s="126">
        <v>0.6</v>
      </c>
      <c r="H47" s="124" t="s">
        <v>197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206</v>
      </c>
      <c r="B48" s="123" t="s">
        <v>195</v>
      </c>
      <c r="C48" s="124">
        <v>0.32</v>
      </c>
      <c r="D48" s="124" t="s">
        <v>196</v>
      </c>
      <c r="E48" s="124">
        <v>1.56</v>
      </c>
      <c r="F48" s="125" t="s">
        <v>111</v>
      </c>
      <c r="G48" s="126">
        <v>0.6</v>
      </c>
      <c r="H48" s="124" t="s">
        <v>197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207</v>
      </c>
      <c r="B49" s="123" t="s">
        <v>195</v>
      </c>
      <c r="C49" s="124">
        <v>0.28199999999999997</v>
      </c>
      <c r="D49" s="124" t="s">
        <v>196</v>
      </c>
      <c r="E49" s="124">
        <v>1.56</v>
      </c>
      <c r="F49" s="125" t="s">
        <v>111</v>
      </c>
      <c r="G49" s="126">
        <v>0.6</v>
      </c>
      <c r="H49" s="124" t="s">
        <v>197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208</v>
      </c>
      <c r="B50" s="123" t="s">
        <v>195</v>
      </c>
      <c r="C50" s="124">
        <v>0.32800000000000001</v>
      </c>
      <c r="D50" s="124" t="s">
        <v>196</v>
      </c>
      <c r="E50" s="124">
        <v>1.56</v>
      </c>
      <c r="F50" s="125" t="s">
        <v>111</v>
      </c>
      <c r="G50" s="126">
        <v>0.6</v>
      </c>
      <c r="H50" s="124" t="s">
        <v>197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19</v>
      </c>
      <c r="B51" s="123" t="s">
        <v>195</v>
      </c>
      <c r="C51" s="124">
        <v>0.32600000000000001</v>
      </c>
      <c r="D51" s="124" t="s">
        <v>196</v>
      </c>
      <c r="E51" s="124">
        <v>1.56</v>
      </c>
      <c r="F51" s="125" t="s">
        <v>111</v>
      </c>
      <c r="G51" s="126">
        <v>0.6</v>
      </c>
      <c r="H51" s="124" t="s">
        <v>197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209</v>
      </c>
      <c r="B52" s="123" t="s">
        <v>195</v>
      </c>
      <c r="C52" s="124">
        <v>0.35899999999999999</v>
      </c>
      <c r="D52" s="124" t="s">
        <v>196</v>
      </c>
      <c r="E52" s="124">
        <v>1.56</v>
      </c>
      <c r="F52" s="125" t="s">
        <v>111</v>
      </c>
      <c r="G52" s="126">
        <v>0.6</v>
      </c>
      <c r="H52" s="124" t="s">
        <v>197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210</v>
      </c>
      <c r="B53" s="123" t="s">
        <v>195</v>
      </c>
      <c r="C53" s="124">
        <v>0.34599999999999997</v>
      </c>
      <c r="D53" s="124" t="s">
        <v>196</v>
      </c>
      <c r="E53" s="124">
        <v>1.56</v>
      </c>
      <c r="F53" s="125" t="s">
        <v>111</v>
      </c>
      <c r="G53" s="126">
        <v>0.6</v>
      </c>
      <c r="H53" s="124" t="s">
        <v>197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211</v>
      </c>
      <c r="B54" s="123" t="s">
        <v>195</v>
      </c>
      <c r="C54" s="124">
        <v>0.32600000000000001</v>
      </c>
      <c r="D54" s="124" t="s">
        <v>196</v>
      </c>
      <c r="E54" s="124">
        <v>1.56</v>
      </c>
      <c r="F54" s="125" t="s">
        <v>111</v>
      </c>
      <c r="G54" s="126">
        <v>0.6</v>
      </c>
      <c r="H54" s="124" t="s">
        <v>197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212</v>
      </c>
      <c r="B55" s="123" t="s">
        <v>195</v>
      </c>
      <c r="C55" s="124">
        <v>0.30499999999999999</v>
      </c>
      <c r="D55" s="124" t="s">
        <v>196</v>
      </c>
      <c r="E55" s="124">
        <v>1.56</v>
      </c>
      <c r="F55" s="125" t="s">
        <v>111</v>
      </c>
      <c r="G55" s="126">
        <v>0.6</v>
      </c>
      <c r="H55" s="124" t="s">
        <v>197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213</v>
      </c>
      <c r="B56" s="123" t="s">
        <v>195</v>
      </c>
      <c r="C56" s="124">
        <v>0.32300000000000001</v>
      </c>
      <c r="D56" s="124" t="s">
        <v>196</v>
      </c>
      <c r="E56" s="124">
        <v>1.56</v>
      </c>
      <c r="F56" s="125" t="s">
        <v>111</v>
      </c>
      <c r="G56" s="126">
        <v>0.6</v>
      </c>
      <c r="H56" s="124" t="s">
        <v>197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214</v>
      </c>
      <c r="B57" s="123" t="s">
        <v>195</v>
      </c>
      <c r="C57" s="124">
        <v>0.36699999999999999</v>
      </c>
      <c r="D57" s="124" t="s">
        <v>196</v>
      </c>
      <c r="E57" s="124">
        <v>1.56</v>
      </c>
      <c r="F57" s="125" t="s">
        <v>111</v>
      </c>
      <c r="G57" s="126">
        <v>0.6</v>
      </c>
      <c r="H57" s="124" t="s">
        <v>197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215</v>
      </c>
      <c r="B58" s="123" t="s">
        <v>195</v>
      </c>
      <c r="C58" s="124">
        <v>0.36</v>
      </c>
      <c r="D58" s="124" t="s">
        <v>196</v>
      </c>
      <c r="E58" s="124">
        <v>1.56</v>
      </c>
      <c r="F58" s="125" t="s">
        <v>111</v>
      </c>
      <c r="G58" s="126">
        <v>0.6</v>
      </c>
      <c r="H58" s="124" t="s">
        <v>197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216</v>
      </c>
      <c r="B59" s="123" t="s">
        <v>195</v>
      </c>
      <c r="C59" s="124">
        <v>0.36799999999999999</v>
      </c>
      <c r="D59" s="124" t="s">
        <v>196</v>
      </c>
      <c r="E59" s="124">
        <v>1.56</v>
      </c>
      <c r="F59" s="125" t="s">
        <v>111</v>
      </c>
      <c r="G59" s="126">
        <v>0.6</v>
      </c>
      <c r="H59" s="124" t="s">
        <v>197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217</v>
      </c>
      <c r="B60" s="123" t="s">
        <v>195</v>
      </c>
      <c r="C60" s="124">
        <v>0.30599999999999999</v>
      </c>
      <c r="D60" s="124" t="s">
        <v>196</v>
      </c>
      <c r="E60" s="124">
        <v>1.56</v>
      </c>
      <c r="F60" s="125" t="s">
        <v>111</v>
      </c>
      <c r="G60" s="126">
        <v>0.6</v>
      </c>
      <c r="H60" s="124" t="s">
        <v>197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218</v>
      </c>
      <c r="B61" s="123" t="s">
        <v>195</v>
      </c>
      <c r="C61" s="124">
        <v>0.313</v>
      </c>
      <c r="D61" s="124" t="s">
        <v>196</v>
      </c>
      <c r="E61" s="124">
        <v>1.56</v>
      </c>
      <c r="F61" s="125" t="s">
        <v>111</v>
      </c>
      <c r="G61" s="126">
        <v>0.6</v>
      </c>
      <c r="H61" s="124" t="s">
        <v>197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219</v>
      </c>
      <c r="B62" s="123" t="s">
        <v>220</v>
      </c>
      <c r="C62" s="124">
        <v>0.37</v>
      </c>
      <c r="D62" s="124" t="s">
        <v>110</v>
      </c>
      <c r="E62" s="124">
        <v>1.56</v>
      </c>
      <c r="F62" s="125" t="s">
        <v>111</v>
      </c>
      <c r="G62" s="126">
        <v>0.6</v>
      </c>
      <c r="H62" s="124" t="s">
        <v>197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221</v>
      </c>
      <c r="B63" s="123" t="s">
        <v>222</v>
      </c>
      <c r="C63" s="124">
        <v>0.45</v>
      </c>
      <c r="D63" s="124" t="s">
        <v>110</v>
      </c>
      <c r="E63" s="124">
        <v>1.3</v>
      </c>
      <c r="F63" s="125" t="s">
        <v>111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224</v>
      </c>
      <c r="B64" s="123" t="s">
        <v>225</v>
      </c>
      <c r="C64" s="124">
        <v>0.39</v>
      </c>
      <c r="D64" s="124" t="s">
        <v>110</v>
      </c>
      <c r="E64" s="124">
        <v>1.3</v>
      </c>
      <c r="F64" s="125" t="s">
        <v>111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226</v>
      </c>
      <c r="B65" s="123" t="s">
        <v>227</v>
      </c>
      <c r="C65" s="124">
        <v>0.44</v>
      </c>
      <c r="D65" s="124" t="s">
        <v>110</v>
      </c>
      <c r="E65" s="124">
        <v>1.3</v>
      </c>
      <c r="F65" s="125" t="s">
        <v>111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228</v>
      </c>
      <c r="B66" s="123" t="s">
        <v>229</v>
      </c>
      <c r="C66" s="124">
        <v>0.46</v>
      </c>
      <c r="D66" s="124" t="s">
        <v>110</v>
      </c>
      <c r="E66" s="124">
        <v>1.3</v>
      </c>
      <c r="F66" s="125" t="s">
        <v>111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230</v>
      </c>
      <c r="B67" s="123" t="s">
        <v>231</v>
      </c>
      <c r="C67" s="124">
        <v>0.46</v>
      </c>
      <c r="D67" s="124" t="s">
        <v>110</v>
      </c>
      <c r="E67" s="124">
        <v>1.3</v>
      </c>
      <c r="F67" s="125" t="s">
        <v>111</v>
      </c>
      <c r="G67" s="126">
        <v>0.45</v>
      </c>
      <c r="H67" s="124" t="s">
        <v>137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232</v>
      </c>
      <c r="B68" s="123" t="s">
        <v>233</v>
      </c>
      <c r="C68" s="124">
        <v>0.44</v>
      </c>
      <c r="D68" s="124" t="s">
        <v>110</v>
      </c>
      <c r="E68" s="124">
        <v>1.3</v>
      </c>
      <c r="F68" s="125" t="s">
        <v>111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234</v>
      </c>
      <c r="B69" s="123" t="s">
        <v>235</v>
      </c>
      <c r="C69" s="124">
        <v>0.46</v>
      </c>
      <c r="D69" s="124" t="s">
        <v>110</v>
      </c>
      <c r="E69" s="124">
        <v>1.3</v>
      </c>
      <c r="F69" s="125" t="s">
        <v>111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236</v>
      </c>
      <c r="B70" s="123" t="s">
        <v>237</v>
      </c>
      <c r="C70" s="124">
        <v>0.48</v>
      </c>
      <c r="D70" s="124" t="s">
        <v>110</v>
      </c>
      <c r="E70" s="124">
        <v>2.4</v>
      </c>
      <c r="F70" s="124" t="s">
        <v>238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239</v>
      </c>
      <c r="B71" s="123" t="s">
        <v>240</v>
      </c>
      <c r="C71" s="124">
        <v>0.46</v>
      </c>
      <c r="D71" s="124" t="s">
        <v>241</v>
      </c>
      <c r="E71" s="124">
        <v>1.3</v>
      </c>
      <c r="F71" s="125" t="s">
        <v>111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242</v>
      </c>
      <c r="B72" s="123" t="s">
        <v>243</v>
      </c>
      <c r="C72" s="124">
        <v>0.44</v>
      </c>
      <c r="D72" s="124" t="s">
        <v>110</v>
      </c>
      <c r="E72" s="124">
        <v>1.3</v>
      </c>
      <c r="F72" s="125" t="s">
        <v>111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244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111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247</v>
      </c>
      <c r="B74" s="123" t="s">
        <v>248</v>
      </c>
      <c r="C74" s="124">
        <v>0.34</v>
      </c>
      <c r="D74" s="124" t="s">
        <v>110</v>
      </c>
      <c r="E74" s="124">
        <v>1.3</v>
      </c>
      <c r="F74" s="125" t="s">
        <v>111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249</v>
      </c>
      <c r="B75" s="123" t="s">
        <v>250</v>
      </c>
      <c r="C75" s="124">
        <v>0.5</v>
      </c>
      <c r="D75" s="124" t="s">
        <v>110</v>
      </c>
      <c r="E75" s="124">
        <v>1.56</v>
      </c>
      <c r="F75" s="125" t="s">
        <v>111</v>
      </c>
      <c r="G75" s="126">
        <v>0.53</v>
      </c>
      <c r="H75" s="124" t="s">
        <v>167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16</v>
      </c>
      <c r="B76" s="123" t="s">
        <v>251</v>
      </c>
      <c r="C76" s="124">
        <v>0.57999999999999996</v>
      </c>
      <c r="D76" s="124" t="s">
        <v>110</v>
      </c>
      <c r="E76" s="124">
        <v>1.56</v>
      </c>
      <c r="F76" s="125" t="s">
        <v>111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253</v>
      </c>
      <c r="B77" s="123" t="s">
        <v>254</v>
      </c>
      <c r="C77" s="124">
        <v>0.37</v>
      </c>
      <c r="D77" s="124" t="s">
        <v>110</v>
      </c>
      <c r="E77" s="124">
        <v>1.3</v>
      </c>
      <c r="F77" s="125" t="s">
        <v>111</v>
      </c>
      <c r="G77" s="126">
        <v>0.55000000000000004</v>
      </c>
      <c r="H77" s="124" t="s">
        <v>137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255</v>
      </c>
      <c r="B78" s="123" t="s">
        <v>256</v>
      </c>
      <c r="C78" s="124">
        <v>0.37</v>
      </c>
      <c r="D78" s="124" t="s">
        <v>110</v>
      </c>
      <c r="E78" s="124">
        <v>1.3</v>
      </c>
      <c r="F78" s="125" t="s">
        <v>111</v>
      </c>
      <c r="G78" s="126">
        <v>0.55000000000000004</v>
      </c>
      <c r="H78" s="124" t="s">
        <v>137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257</v>
      </c>
      <c r="B79" s="123" t="s">
        <v>258</v>
      </c>
      <c r="C79" s="124">
        <v>0.38</v>
      </c>
      <c r="D79" s="124" t="s">
        <v>110</v>
      </c>
      <c r="E79" s="124">
        <v>1.3</v>
      </c>
      <c r="F79" s="125" t="s">
        <v>111</v>
      </c>
      <c r="G79" s="126">
        <v>0.55000000000000004</v>
      </c>
      <c r="H79" s="124" t="s">
        <v>127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259</v>
      </c>
      <c r="B80" s="123" t="s">
        <v>260</v>
      </c>
      <c r="C80" s="124">
        <v>0.36</v>
      </c>
      <c r="D80" s="124" t="s">
        <v>110</v>
      </c>
      <c r="E80" s="124">
        <v>1.3</v>
      </c>
      <c r="F80" s="125" t="s">
        <v>111</v>
      </c>
      <c r="G80" s="126">
        <v>0.55000000000000004</v>
      </c>
      <c r="H80" s="124" t="s">
        <v>127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261</v>
      </c>
      <c r="B81" s="123" t="s">
        <v>262</v>
      </c>
      <c r="C81" s="124">
        <v>0.37</v>
      </c>
      <c r="D81" s="124" t="s">
        <v>110</v>
      </c>
      <c r="E81" s="124">
        <v>1.56</v>
      </c>
      <c r="F81" s="125" t="s">
        <v>111</v>
      </c>
      <c r="G81" s="126">
        <v>0.43</v>
      </c>
      <c r="H81" s="124" t="s">
        <v>112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111</v>
      </c>
      <c r="G82" s="126">
        <v>0.55000000000000004</v>
      </c>
      <c r="H82" s="124" t="s">
        <v>127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266</v>
      </c>
      <c r="B83" s="123" t="s">
        <v>267</v>
      </c>
      <c r="C83" s="124">
        <v>0.34</v>
      </c>
      <c r="D83" s="124" t="s">
        <v>110</v>
      </c>
      <c r="E83" s="124">
        <v>1.3</v>
      </c>
      <c r="F83" s="125" t="s">
        <v>111</v>
      </c>
      <c r="G83" s="126">
        <v>0.55000000000000004</v>
      </c>
      <c r="H83" s="124" t="s">
        <v>127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268</v>
      </c>
      <c r="B84" s="123" t="s">
        <v>269</v>
      </c>
      <c r="C84" s="124">
        <v>0.31</v>
      </c>
      <c r="D84" s="124" t="s">
        <v>110</v>
      </c>
      <c r="E84" s="124">
        <v>1.3</v>
      </c>
      <c r="F84" s="125" t="s">
        <v>111</v>
      </c>
      <c r="G84" s="126">
        <v>0.55000000000000004</v>
      </c>
      <c r="H84" s="124" t="s">
        <v>127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270</v>
      </c>
      <c r="B85" s="123" t="s">
        <v>271</v>
      </c>
      <c r="C85" s="124">
        <v>0.43</v>
      </c>
      <c r="D85" s="124" t="s">
        <v>110</v>
      </c>
      <c r="E85" s="124">
        <v>1.56</v>
      </c>
      <c r="F85" s="125" t="s">
        <v>111</v>
      </c>
      <c r="G85" s="126">
        <v>0.53</v>
      </c>
      <c r="H85" s="124" t="s">
        <v>167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272</v>
      </c>
      <c r="B86" s="123" t="s">
        <v>273</v>
      </c>
      <c r="C86" s="124">
        <v>0.38</v>
      </c>
      <c r="D86" s="124" t="s">
        <v>110</v>
      </c>
      <c r="E86" s="124">
        <v>1.56</v>
      </c>
      <c r="F86" s="125" t="s">
        <v>111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111</v>
      </c>
      <c r="G87" s="255">
        <v>0.43</v>
      </c>
      <c r="H87" s="253" t="s">
        <v>112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278</v>
      </c>
      <c r="B88" s="130"/>
      <c r="C88" s="124">
        <v>0.42</v>
      </c>
      <c r="D88" s="124" t="s">
        <v>110</v>
      </c>
      <c r="E88" s="124">
        <v>1.3</v>
      </c>
      <c r="F88" s="125" t="s">
        <v>111</v>
      </c>
      <c r="G88" s="131"/>
      <c r="H88" s="130"/>
      <c r="I88" s="132"/>
    </row>
    <row r="89" spans="1:14" ht="15.75" thickBot="1" x14ac:dyDescent="0.3">
      <c r="A89" s="133" t="s">
        <v>279</v>
      </c>
      <c r="B89" s="134"/>
      <c r="C89" s="135">
        <v>0.56999999999999995</v>
      </c>
      <c r="D89" s="136" t="s">
        <v>110</v>
      </c>
      <c r="E89" s="135">
        <v>1.56</v>
      </c>
      <c r="F89" s="135" t="s">
        <v>111</v>
      </c>
      <c r="G89" s="134"/>
      <c r="H89" s="134"/>
      <c r="I89" s="137"/>
    </row>
    <row r="93" spans="1:14" x14ac:dyDescent="0.25">
      <c r="A93" s="122" t="s">
        <v>71</v>
      </c>
    </row>
    <row r="94" spans="1:14" x14ac:dyDescent="0.25">
      <c r="A94" s="122" t="s">
        <v>72</v>
      </c>
    </row>
    <row r="95" spans="1:14" x14ac:dyDescent="0.25">
      <c r="A95" s="122" t="s">
        <v>73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C20" sqref="C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80" t="s">
        <v>280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Robinier faux-acacia</v>
      </c>
      <c r="B6" s="146">
        <f>'Données projet'!D9</f>
        <v>5.3265000000000002</v>
      </c>
      <c r="C6" s="147">
        <f ca="1">IF(OR('Données projet'!B9="",'Données projet'!C9="",'Données projet'!C9=0%),0,Calculateur!S3)</f>
        <v>376.51107072413777</v>
      </c>
      <c r="D6" s="147">
        <f>IF(OR('Données projet'!B9="",'Données projet'!C9="",'Données projet'!C9=0%),0,Calculateur!T3)</f>
        <v>532.90758914457615</v>
      </c>
      <c r="E6" s="147">
        <f ca="1">MIN(C6,D6)</f>
        <v>376.51107072413777</v>
      </c>
      <c r="F6" s="147">
        <f ca="1">E6*B6</f>
        <v>2005.4862182121199</v>
      </c>
      <c r="G6" s="147">
        <f ca="1">F6*(100%-'Données projet'!$C$24)*(100%-'Données projet'!$C$25)*(100%-'Données projet'!$C$26)*(100%-'Données projet'!$C$27)</f>
        <v>1714.6907165713624</v>
      </c>
      <c r="H6" s="148">
        <f>IF(OR('Données projet'!B9="",'Données projet'!C9="",'Données projet'!C9=0%),0,AVERAGE(Calculateur!$AC$3:$AC$33)*B6)</f>
        <v>2.2972045027731198</v>
      </c>
      <c r="I6" s="149">
        <f>H6*(100%-'Données projet'!$C$24)*(100%-'Données projet'!$C$25)*(100%-'Données projet'!$C$26)*(100%-'Données projet'!$C$27)</f>
        <v>1.9641098498710174</v>
      </c>
      <c r="J6" s="150">
        <f>IF(OR('Données projet'!B9="",'Données projet'!C9="",'Données projet'!C9=0%),0,SUM(Calculateur!$V$3:$V$33)*VLOOKUP('Données projet'!$B$9,Paramètres!$A$1:$I$89,9,0)*B6)</f>
        <v>135.82575</v>
      </c>
      <c r="K6" s="151">
        <f>J6*(100%-'Données projet'!$C$24)*(100%-'Données projet'!$C$25)*(100%-'Données projet'!$C$26)*(100%-'Données projet'!$C$27)</f>
        <v>116.13101625</v>
      </c>
      <c r="L6" s="152">
        <f ca="1">G6+I6+K6</f>
        <v>1832.7858426712332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Peuplier Koster</v>
      </c>
      <c r="B7" s="154">
        <f>'Données projet'!D10</f>
        <v>4.7235000000000005</v>
      </c>
      <c r="C7" s="147">
        <f ca="1">IF(OR('Données projet'!B10="",'Données projet'!C10="",'Données projet'!C10=0%),0,Calculateur!AN3)</f>
        <v>88.008749437127449</v>
      </c>
      <c r="D7" s="147">
        <f>IF(OR('Données projet'!B10="",'Données projet'!C10="",'Données projet'!C10=0%),0,Calculateur!AO3)</f>
        <v>258.40359226940507</v>
      </c>
      <c r="E7" s="147">
        <f t="shared" ref="E7:E15" ca="1" si="0">MIN(C7,D7)</f>
        <v>88.008749437127449</v>
      </c>
      <c r="F7" s="147">
        <f t="shared" ref="F7:F15" ca="1" si="1">E7*B7</f>
        <v>415.70932796627153</v>
      </c>
      <c r="G7" s="147">
        <f ca="1">F7*(100%-'Données projet'!$C$24)*(100%-'Données projet'!$C$25)*(100%-'Données projet'!$C$26)*(100%-'Données projet'!$C$27)</f>
        <v>355.43147541116218</v>
      </c>
      <c r="H7" s="155">
        <f>IF(OR('Données projet'!B10="",'Données projet'!C10="",'Données projet'!C10=0%),0,AVERAGE(Calculateur!$AX$3:$AX$33)*B7)</f>
        <v>94.091738973434715</v>
      </c>
      <c r="I7" s="149">
        <f>H7*(100%-'Données projet'!$C$24)*(100%-'Données projet'!$C$25)*(100%-'Données projet'!$C$26)*(100%-'Données projet'!$C$27)</f>
        <v>80.448436822286681</v>
      </c>
      <c r="J7" s="150">
        <f>IF(OR('Données projet'!B10="",'Données projet'!C10="",'Données projet'!C10=0%),0,SUM(Calculateur!$AQ$3:$AQ$33)*VLOOKUP('Données projet'!$B$10,Paramètres!$A$1:$I$89,9,0)*B7)</f>
        <v>974.83987836153847</v>
      </c>
      <c r="K7" s="151">
        <f>J7*(100%-'Données projet'!$C$24)*(100%-'Données projet'!$C$25)*(100%-'Données projet'!$C$26)*(100%-'Données projet'!$C$27)</f>
        <v>833.48809599911544</v>
      </c>
      <c r="L7" s="152">
        <f t="shared" ref="L7:L15" ca="1" si="2">G7+I7+K7</f>
        <v>1269.3680082325643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2421.1955461783914</v>
      </c>
      <c r="G16" s="166">
        <f t="shared" ca="1" si="3"/>
        <v>2070.1221919825248</v>
      </c>
      <c r="H16" s="167">
        <f t="shared" si="3"/>
        <v>96.388943476207828</v>
      </c>
      <c r="I16" s="167">
        <f t="shared" si="3"/>
        <v>82.412546672157703</v>
      </c>
      <c r="J16" s="168">
        <f t="shared" si="3"/>
        <v>1110.6656283615384</v>
      </c>
      <c r="K16" s="168">
        <f t="shared" si="3"/>
        <v>949.61911224911546</v>
      </c>
      <c r="L16" s="169">
        <f t="shared" ca="1" si="3"/>
        <v>3102.1538509037973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92" t="s">
        <v>291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Robinier faux-acacia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Peuplier Koster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6" zoomScale="70" zoomScaleNormal="70" workbookViewId="0">
      <selection activeCell="F21" sqref="F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80" t="s">
        <v>292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6" t="s">
        <v>293</v>
      </c>
      <c r="I4" s="266"/>
      <c r="K4" s="308" t="s">
        <v>294</v>
      </c>
      <c r="L4" s="30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56</v>
      </c>
      <c r="O7" s="247"/>
      <c r="P7" s="248"/>
      <c r="Q7" s="249"/>
      <c r="R7" s="300" t="s">
        <v>295</v>
      </c>
      <c r="S7" s="301"/>
      <c r="T7" s="301"/>
      <c r="U7" s="301"/>
      <c r="V7" s="30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296</v>
      </c>
      <c r="C9" s="23"/>
      <c r="D9" s="23"/>
      <c r="E9" s="23"/>
      <c r="F9" s="230"/>
      <c r="G9" s="93" t="s">
        <v>297</v>
      </c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Robinier faux-acacia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-300.76431397146132</v>
      </c>
      <c r="U10" s="178">
        <f>'Données projet'!D9</f>
        <v>5.3265000000000002</v>
      </c>
      <c r="V10" s="177">
        <f>U10*T10</f>
        <v>-1602.0211183689887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Peuplier Koster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4341.2289316736542</v>
      </c>
      <c r="U11" s="178">
        <f>'Données projet'!D10</f>
        <v>4.7235000000000005</v>
      </c>
      <c r="V11" s="177">
        <f t="shared" ref="V11" si="0">U11*T11</f>
        <v>20505.794858760506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15</v>
      </c>
      <c r="B14" s="174" t="str">
        <f>IF('Données projet'!$B$9="","",'Données projet'!$B$9)</f>
        <v>Robinier faux-acacia</v>
      </c>
      <c r="C14" s="4"/>
      <c r="D14" s="4"/>
      <c r="E14" s="4"/>
      <c r="F14" s="230"/>
      <c r="G14" s="23"/>
      <c r="H14" s="36" t="s">
        <v>75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11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46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311"/>
      <c r="H16" s="190"/>
      <c r="I16" s="191"/>
      <c r="J16" s="202"/>
      <c r="K16" s="208"/>
      <c r="L16" s="308" t="s">
        <v>312</v>
      </c>
      <c r="M16" s="309"/>
      <c r="N16" s="2">
        <v>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195</v>
      </c>
      <c r="C17" s="198" t="s">
        <v>195</v>
      </c>
      <c r="D17" s="197" t="s">
        <v>195</v>
      </c>
      <c r="E17" s="193">
        <v>712</v>
      </c>
      <c r="G17" s="311"/>
      <c r="J17" s="202"/>
      <c r="K17" s="208"/>
      <c r="L17" s="268" t="s">
        <v>313</v>
      </c>
      <c r="M17" s="27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195</v>
      </c>
      <c r="C18" s="198" t="s">
        <v>195</v>
      </c>
      <c r="D18" s="197" t="s">
        <v>195</v>
      </c>
      <c r="E18" s="193">
        <f>858/2/10</f>
        <v>42.9</v>
      </c>
      <c r="G18" s="311"/>
      <c r="J18" s="202"/>
      <c r="K18" s="208"/>
      <c r="L18" s="268" t="s">
        <v>309</v>
      </c>
      <c r="M18" s="270"/>
      <c r="N18" s="192">
        <v>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195</v>
      </c>
      <c r="C19" s="198" t="s">
        <v>195</v>
      </c>
      <c r="D19" s="197" t="s">
        <v>195</v>
      </c>
      <c r="E19" s="193">
        <f>(224+120+165+250)/2/10</f>
        <v>37.950000000000003</v>
      </c>
      <c r="F19" s="230"/>
      <c r="G19" s="311"/>
      <c r="H19" s="212" t="s">
        <v>75</v>
      </c>
      <c r="I19" s="212" t="s">
        <v>314</v>
      </c>
      <c r="J19" s="93"/>
      <c r="K19" s="173"/>
      <c r="L19" s="308" t="s">
        <v>315</v>
      </c>
      <c r="M19" s="309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195</v>
      </c>
      <c r="C20" s="198" t="s">
        <v>195</v>
      </c>
      <c r="D20" s="197" t="s">
        <v>195</v>
      </c>
      <c r="E20" s="193">
        <f>770/2/10</f>
        <v>38.5</v>
      </c>
      <c r="F20" s="230"/>
      <c r="G20" s="311"/>
      <c r="H20" s="190">
        <v>1</v>
      </c>
      <c r="I20" s="191">
        <v>1380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195</v>
      </c>
      <c r="C21" s="198" t="s">
        <v>195</v>
      </c>
      <c r="D21" s="197" t="s">
        <v>195</v>
      </c>
      <c r="E21" s="193">
        <v>37</v>
      </c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195</v>
      </c>
      <c r="C22" s="198" t="s">
        <v>195</v>
      </c>
      <c r="D22" s="197" t="s">
        <v>195</v>
      </c>
      <c r="E22" s="193">
        <v>48.5</v>
      </c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5</v>
      </c>
      <c r="B23" s="181">
        <f>'Données projet'!D36</f>
        <v>6</v>
      </c>
      <c r="C23" s="193">
        <v>10</v>
      </c>
      <c r="D23" s="182">
        <f>B23*C23</f>
        <v>60</v>
      </c>
      <c r="E23" s="193">
        <v>150</v>
      </c>
      <c r="F23" s="230"/>
      <c r="H23" s="190"/>
      <c r="I23" s="191"/>
      <c r="K23" s="208"/>
      <c r="L23" s="310" t="s">
        <v>316</v>
      </c>
      <c r="M23" s="310"/>
      <c r="N23" s="310"/>
      <c r="O23" s="23"/>
      <c r="P23" s="23"/>
      <c r="Q23" s="234"/>
      <c r="R23" s="23"/>
      <c r="S23" s="36" t="s">
        <v>317</v>
      </c>
      <c r="T23" s="30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5632.0034054632852</v>
      </c>
      <c r="U23" s="305"/>
      <c r="V23" s="30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10</v>
      </c>
      <c r="B24" s="181">
        <f>'Données projet'!D37</f>
        <v>29</v>
      </c>
      <c r="C24" s="193">
        <v>10</v>
      </c>
      <c r="D24" s="182">
        <f t="shared" ref="D24:D42" si="2">B24*C24</f>
        <v>290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318</v>
      </c>
      <c r="T24" s="306">
        <f ca="1">'Scénario référence'!$B$8*$M$30*'Données projet'!$C$5+('Scénario référence'!B9+'Scénario référence'!B10+'Scénario référence'!F8+'Scénario référence'!F9)*$N$19/(1+M4)^N16*'Données projet'!$C$5</f>
        <v>9854.5832935976869</v>
      </c>
      <c r="U24" s="306"/>
      <c r="V24" s="30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15</v>
      </c>
      <c r="B25" s="181">
        <f>'Données projet'!D38</f>
        <v>23</v>
      </c>
      <c r="C25" s="193">
        <v>15</v>
      </c>
      <c r="D25" s="182">
        <f t="shared" si="2"/>
        <v>345</v>
      </c>
      <c r="E25" s="193">
        <v>150</v>
      </c>
      <c r="F25" s="233"/>
      <c r="H25" s="190"/>
      <c r="I25" s="191"/>
      <c r="K25" s="208"/>
      <c r="L25" s="130" t="s">
        <v>319</v>
      </c>
      <c r="M25" s="130"/>
      <c r="N25" s="130"/>
      <c r="O25" s="130"/>
      <c r="P25" s="192">
        <v>70</v>
      </c>
      <c r="Q25" s="234"/>
      <c r="R25" s="23"/>
      <c r="S25" s="186" t="s">
        <v>320</v>
      </c>
      <c r="T25" s="307">
        <f ca="1">T23-T24</f>
        <v>-4222.5798881344017</v>
      </c>
      <c r="U25" s="307"/>
      <c r="V25" s="30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20</v>
      </c>
      <c r="B26" s="181">
        <f>'Données projet'!D39</f>
        <v>19</v>
      </c>
      <c r="C26" s="193">
        <v>15</v>
      </c>
      <c r="D26" s="182">
        <f t="shared" si="2"/>
        <v>285</v>
      </c>
      <c r="E26" s="193">
        <v>150</v>
      </c>
      <c r="F26" s="233"/>
      <c r="G26" s="229"/>
      <c r="H26" s="190"/>
      <c r="I26" s="191"/>
      <c r="K26" s="208"/>
      <c r="L26" s="294" t="s">
        <v>321</v>
      </c>
      <c r="M26" s="295"/>
      <c r="N26" s="295"/>
      <c r="O26" s="295"/>
      <c r="P26" s="296"/>
      <c r="Q26" s="234"/>
      <c r="R26" s="23"/>
      <c r="S26" s="186" t="s">
        <v>322</v>
      </c>
      <c r="T26" s="304" t="str">
        <f ca="1">IF(T25&lt;0,"Votre projet est additionnel","Votre projet n'est pas additionnel")</f>
        <v>Votre projet est additionnel</v>
      </c>
      <c r="U26" s="304"/>
      <c r="V26" s="30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25</v>
      </c>
      <c r="B27" s="181">
        <f>'Données projet'!D40</f>
        <v>14</v>
      </c>
      <c r="C27" s="193">
        <v>50</v>
      </c>
      <c r="D27" s="182">
        <f t="shared" si="2"/>
        <v>700</v>
      </c>
      <c r="E27" s="193">
        <v>150</v>
      </c>
      <c r="F27" s="233"/>
      <c r="G27" s="229"/>
      <c r="H27" s="190"/>
      <c r="I27" s="191"/>
      <c r="K27" s="208"/>
      <c r="L27" s="297"/>
      <c r="M27" s="298"/>
      <c r="N27" s="298"/>
      <c r="O27" s="298"/>
      <c r="P27" s="299"/>
      <c r="Q27" s="234"/>
      <c r="R27" s="23"/>
      <c r="S27" s="303" t="s">
        <v>323</v>
      </c>
      <c r="T27" s="303"/>
      <c r="U27" s="303"/>
      <c r="V27" s="30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30</v>
      </c>
      <c r="B28" s="181">
        <f>'Données projet'!D41</f>
        <v>11</v>
      </c>
      <c r="C28" s="193">
        <v>50</v>
      </c>
      <c r="D28" s="182">
        <f t="shared" si="2"/>
        <v>550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35</v>
      </c>
      <c r="B29" s="181">
        <f>'Données projet'!D42</f>
        <v>9</v>
      </c>
      <c r="C29" s="193">
        <v>50</v>
      </c>
      <c r="D29" s="182">
        <f t="shared" si="2"/>
        <v>450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40</v>
      </c>
      <c r="B30" s="181">
        <f>'Données projet'!D43</f>
        <v>7</v>
      </c>
      <c r="C30" s="193">
        <v>50</v>
      </c>
      <c r="D30" s="182">
        <f t="shared" si="2"/>
        <v>350</v>
      </c>
      <c r="E30" s="193">
        <v>150</v>
      </c>
      <c r="F30" s="233"/>
      <c r="G30" s="203"/>
      <c r="H30" s="190"/>
      <c r="I30" s="191"/>
      <c r="K30" s="183"/>
      <c r="L30" s="36" t="s">
        <v>324</v>
      </c>
      <c r="M30" s="184">
        <f ca="1">SUM(OFFSET($P$33,0,0,MIN('Données projet'!$E$9:$E$18)+1,1))</f>
        <v>980.55555160175982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45</v>
      </c>
      <c r="B31" s="181">
        <f>'Données projet'!D44</f>
        <v>7</v>
      </c>
      <c r="C31" s="193">
        <v>50</v>
      </c>
      <c r="D31" s="182">
        <f t="shared" si="2"/>
        <v>350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75</v>
      </c>
      <c r="P32" s="85" t="s">
        <v>310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70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66.985645933014354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64.10109658661662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61.340762283843652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58.699294051525044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56.171573255047889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53.752701679471677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51.437992037771934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49.222958887820049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47.10330994049766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45.074937742103032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43.133911714931131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18</v>
      </c>
      <c r="B45" s="174" t="str">
        <f>IF('Données projet'!$B$10="","",'Données projet'!$B$10)</f>
        <v>Peuplier Koster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41.27647054060396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39.499014871391346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46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37.798100355398425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195</v>
      </c>
      <c r="C48" s="198" t="s">
        <v>195</v>
      </c>
      <c r="D48" s="197" t="s">
        <v>195</v>
      </c>
      <c r="E48" s="193">
        <v>402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36.170430962103758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195</v>
      </c>
      <c r="C49" s="198" t="s">
        <v>195</v>
      </c>
      <c r="D49" s="197" t="s">
        <v>195</v>
      </c>
      <c r="E49" s="193">
        <f>858/2/10</f>
        <v>42.9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34.612852595314614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195</v>
      </c>
      <c r="C50" s="198" t="s">
        <v>195</v>
      </c>
      <c r="D50" s="197" t="s">
        <v>195</v>
      </c>
      <c r="E50" s="193">
        <f>(224+120+165+250)/2/10</f>
        <v>37.950000000000003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33.122346981162309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195</v>
      </c>
      <c r="C51" s="198" t="s">
        <v>195</v>
      </c>
      <c r="D51" s="197" t="s">
        <v>195</v>
      </c>
      <c r="E51" s="193">
        <f>770/2/10</f>
        <v>38.5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31.696025819294082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195</v>
      </c>
      <c r="C52" s="198" t="s">
        <v>195</v>
      </c>
      <c r="D52" s="197" t="s">
        <v>195</v>
      </c>
      <c r="E52" s="193">
        <v>37</v>
      </c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30.331125185927352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195</v>
      </c>
      <c r="C53" s="198" t="s">
        <v>195</v>
      </c>
      <c r="D53" s="197" t="s">
        <v>195</v>
      </c>
      <c r="E53" s="193">
        <v>48.5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29.025000177920919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4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5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6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7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8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9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10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11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12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13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14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15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16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17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18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19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20</v>
      </c>
      <c r="B70" s="181">
        <f>'Données projet'!D78</f>
        <v>200.36974358974356</v>
      </c>
      <c r="C70" s="191">
        <v>60</v>
      </c>
      <c r="D70" s="179">
        <f t="shared" si="4"/>
        <v>12022.184615384615</v>
      </c>
      <c r="E70" s="193">
        <v>150</v>
      </c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20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46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195</v>
      </c>
      <c r="C79" s="198" t="s">
        <v>195</v>
      </c>
      <c r="D79" s="197" t="s">
        <v>195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195</v>
      </c>
      <c r="C80" s="198" t="s">
        <v>195</v>
      </c>
      <c r="D80" s="197" t="s">
        <v>195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195</v>
      </c>
      <c r="C81" s="198" t="s">
        <v>195</v>
      </c>
      <c r="D81" s="197" t="s">
        <v>195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195</v>
      </c>
      <c r="C82" s="198" t="s">
        <v>195</v>
      </c>
      <c r="D82" s="197" t="s">
        <v>195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195</v>
      </c>
      <c r="C83" s="198" t="s">
        <v>195</v>
      </c>
      <c r="D83" s="197" t="s">
        <v>195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195</v>
      </c>
      <c r="C84" s="198"/>
      <c r="D84" s="197" t="s">
        <v>195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21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46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195</v>
      </c>
      <c r="C110" s="198" t="s">
        <v>195</v>
      </c>
      <c r="D110" s="197" t="s">
        <v>195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195</v>
      </c>
      <c r="C111" s="198" t="s">
        <v>195</v>
      </c>
      <c r="D111" s="197" t="s">
        <v>195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195</v>
      </c>
      <c r="C112" s="198" t="s">
        <v>195</v>
      </c>
      <c r="D112" s="197" t="s">
        <v>195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195</v>
      </c>
      <c r="C113" s="198" t="s">
        <v>195</v>
      </c>
      <c r="D113" s="197" t="s">
        <v>195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195</v>
      </c>
      <c r="C114" s="198" t="s">
        <v>195</v>
      </c>
      <c r="D114" s="197" t="s">
        <v>195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195</v>
      </c>
      <c r="C115" s="198" t="s">
        <v>195</v>
      </c>
      <c r="D115" s="197" t="s">
        <v>195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22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46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195</v>
      </c>
      <c r="C141" s="198" t="s">
        <v>195</v>
      </c>
      <c r="D141" s="197" t="s">
        <v>195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195</v>
      </c>
      <c r="C142" s="198" t="s">
        <v>195</v>
      </c>
      <c r="D142" s="197" t="s">
        <v>195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195</v>
      </c>
      <c r="C143" s="198" t="s">
        <v>195</v>
      </c>
      <c r="D143" s="197" t="s">
        <v>195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195</v>
      </c>
      <c r="C144" s="198" t="s">
        <v>195</v>
      </c>
      <c r="D144" s="197" t="s">
        <v>195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195</v>
      </c>
      <c r="C145" s="198" t="s">
        <v>195</v>
      </c>
      <c r="D145" s="197" t="s">
        <v>195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195</v>
      </c>
      <c r="C146" s="198" t="s">
        <v>195</v>
      </c>
      <c r="D146" s="197" t="s">
        <v>195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23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46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195</v>
      </c>
      <c r="C172" s="198" t="s">
        <v>195</v>
      </c>
      <c r="D172" s="197" t="s">
        <v>195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195</v>
      </c>
      <c r="C173" s="198" t="s">
        <v>195</v>
      </c>
      <c r="D173" s="197" t="s">
        <v>195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195</v>
      </c>
      <c r="C174" s="198" t="s">
        <v>195</v>
      </c>
      <c r="D174" s="197" t="s">
        <v>195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195</v>
      </c>
      <c r="C175" s="198" t="s">
        <v>195</v>
      </c>
      <c r="D175" s="197" t="s">
        <v>195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195</v>
      </c>
      <c r="C176" s="198" t="s">
        <v>195</v>
      </c>
      <c r="D176" s="197" t="s">
        <v>195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195</v>
      </c>
      <c r="C177" s="198" t="s">
        <v>195</v>
      </c>
      <c r="D177" s="197" t="s">
        <v>195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24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46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195</v>
      </c>
      <c r="C203" s="198" t="s">
        <v>195</v>
      </c>
      <c r="D203" s="197" t="s">
        <v>195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195</v>
      </c>
      <c r="C204" s="198" t="s">
        <v>195</v>
      </c>
      <c r="D204" s="197" t="s">
        <v>195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195</v>
      </c>
      <c r="C205" s="198" t="s">
        <v>195</v>
      </c>
      <c r="D205" s="197" t="s">
        <v>195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195</v>
      </c>
      <c r="C206" s="198" t="s">
        <v>195</v>
      </c>
      <c r="D206" s="197" t="s">
        <v>195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195</v>
      </c>
      <c r="C207" s="198" t="s">
        <v>195</v>
      </c>
      <c r="D207" s="197" t="s">
        <v>195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195</v>
      </c>
      <c r="C208" s="198" t="s">
        <v>195</v>
      </c>
      <c r="D208" s="197" t="s">
        <v>195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25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46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195</v>
      </c>
      <c r="C234" s="198" t="s">
        <v>195</v>
      </c>
      <c r="D234" s="197" t="s">
        <v>195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195</v>
      </c>
      <c r="C235" s="198" t="s">
        <v>195</v>
      </c>
      <c r="D235" s="197" t="s">
        <v>195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195</v>
      </c>
      <c r="C236" s="198" t="s">
        <v>195</v>
      </c>
      <c r="D236" s="197" t="s">
        <v>195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195</v>
      </c>
      <c r="C237" s="198" t="s">
        <v>195</v>
      </c>
      <c r="D237" s="197" t="s">
        <v>195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195</v>
      </c>
      <c r="C238" s="198" t="s">
        <v>195</v>
      </c>
      <c r="D238" s="197" t="s">
        <v>195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195</v>
      </c>
      <c r="C239" s="198" t="s">
        <v>195</v>
      </c>
      <c r="D239" s="197" t="s">
        <v>195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26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46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195</v>
      </c>
      <c r="C265" s="198" t="s">
        <v>195</v>
      </c>
      <c r="D265" s="197" t="s">
        <v>195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195</v>
      </c>
      <c r="C266" s="198" t="s">
        <v>195</v>
      </c>
      <c r="D266" s="197" t="s">
        <v>195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195</v>
      </c>
      <c r="C267" s="198" t="s">
        <v>195</v>
      </c>
      <c r="D267" s="197" t="s">
        <v>195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195</v>
      </c>
      <c r="C268" s="198" t="s">
        <v>195</v>
      </c>
      <c r="D268" s="197" t="s">
        <v>195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195</v>
      </c>
      <c r="C269" s="198" t="s">
        <v>195</v>
      </c>
      <c r="D269" s="197" t="s">
        <v>195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195</v>
      </c>
      <c r="C270" s="198" t="s">
        <v>195</v>
      </c>
      <c r="D270" s="197" t="s">
        <v>195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27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46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195</v>
      </c>
      <c r="C296" s="198" t="s">
        <v>195</v>
      </c>
      <c r="D296" s="197" t="s">
        <v>195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195</v>
      </c>
      <c r="C297" s="198" t="s">
        <v>195</v>
      </c>
      <c r="D297" s="197" t="s">
        <v>195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195</v>
      </c>
      <c r="C298" s="198" t="s">
        <v>195</v>
      </c>
      <c r="D298" s="197" t="s">
        <v>195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195</v>
      </c>
      <c r="C299" s="198" t="s">
        <v>195</v>
      </c>
      <c r="D299" s="197" t="s">
        <v>195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195</v>
      </c>
      <c r="C300" s="198" t="s">
        <v>195</v>
      </c>
      <c r="D300" s="197" t="s">
        <v>195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195</v>
      </c>
      <c r="C301" s="198" t="s">
        <v>195</v>
      </c>
      <c r="D301" s="197" t="s">
        <v>195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ée un document." ma:contentTypeScope="" ma:versionID="1f5efd74e6064ee3f625336d6e590db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a1bf04212b68656168e2b27f1439148b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546243-1BC8-4D6B-B75B-8622A3BC5A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9360AE-2DF9-4A91-8AD6-7D879C061761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9E0386D0-DDDC-40D1-A3B3-A75065CAB1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Lucas Fontaine</cp:lastModifiedBy>
  <cp:revision/>
  <dcterms:created xsi:type="dcterms:W3CDTF">2021-02-01T08:22:39Z</dcterms:created>
  <dcterms:modified xsi:type="dcterms:W3CDTF">2024-08-27T14:21:57Z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0x010100B17917BD1DD3FD43A53AD9CE171726C7</vt:lpwstr>
  </property>
</Properties>
</file>