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0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véronique_Artru_Monestier_3,4797/2.Dossier_LBC_déposé/LBC/"/>
    </mc:Choice>
  </mc:AlternateContent>
  <xr:revisionPtr revIDLastSave="51" documentId="8_{702419F3-4D6F-4EAD-BAEF-BB5BFD5A9FA3}" xr6:coauthVersionLast="47" xr6:coauthVersionMax="47" xr10:uidLastSave="{7E4E10A5-8E8B-4C4D-821A-4BD292FB216D}"/>
  <bookViews>
    <workbookView xWindow="-110" yWindow="-110" windowWidth="19420" windowHeight="11500" tabRatio="866" firstSheet="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6" l="1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<sst xmlns="http://schemas.openxmlformats.org/spreadsheetml/2006/main" count="1172" uniqueCount="324">
  <si>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</si>
  <si>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</si>
  <si>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</si>
  <si>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</si>
  <si>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</si>
  <si>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</si>
  <si>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</si>
  <si>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</si>
  <si>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</si>
  <si>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</si>
  <si>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</si>
  <si>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</si>
  <si>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</si>
  <si>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</si>
  <si>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</si>
  <si>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</si>
  <si>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</si>
  <si>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</si>
  <si>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</si>
  <si>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Douglas</t>
  </si>
  <si>
    <t>Essence 3</t>
  </si>
  <si>
    <t>Châtaignier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</si>
  <si>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</si>
  <si>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</si>
  <si>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</si>
  <si>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</si>
  <si>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</si>
  <si>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</si>
  <si>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</si>
  <si>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</si>
  <si>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</si>
  <si>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</si>
  <si>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</si>
  <si>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</si>
  <si>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</si>
  <si>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</si>
  <si>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</si>
  <si>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</si>
  <si>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</si>
  <si>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</si>
  <si>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</si>
  <si>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</si>
  <si>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</si>
  <si>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</si>
  <si>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</si>
  <si>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</si>
  <si>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</si>
  <si>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</si>
  <si>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</si>
  <si>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</si>
  <si>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</si>
  <si>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</si>
  <si>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</si>
  <si>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</si>
  <si>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</si>
  <si>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</si>
  <si>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</si>
  <si>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</si>
  <si>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</si>
  <si>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</si>
  <si>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</si>
  <si>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</si>
  <si>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</si>
  <si>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</si>
  <si>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</si>
  <si>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</si>
  <si>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</si>
  <si>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</si>
  <si>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</si>
  <si>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</si>
  <si>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Sapin pectiné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</si>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</sst>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defaultColWidth="11.42578125" defaultRowHeight="14.45"/>
  <cols>
    <col min="1" max="1" width="6.7109375" customWidth="1"/>
    <col min="2" max="13" width="15.85546875" customWidth="1"/>
  </cols>
  <sheetData>
    <row r="12" spans="2:13" ht="15" customHeight="1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8" zoomScale="80" zoomScaleNormal="80" workbookViewId="0">
      <selection activeCell="E20" sqref="E20"/>
    </sheetView>
  </sheetViews>
  <sheetFormatPr defaultColWidth="11.42578125" defaultRowHeight="14.4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5" thickBot="1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">
      <c r="A5" s="268" t="s">
        <v>7</v>
      </c>
      <c r="B5" s="268"/>
      <c r="C5" s="24">
        <v>3.45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0.36</v>
      </c>
      <c r="D9" s="33">
        <f t="shared" ref="D9:D18" si="0">C9*$C$5</f>
        <v>1.242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0.53</v>
      </c>
      <c r="D10" s="33">
        <f t="shared" si="0"/>
        <v>1.8285000000000002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 t="s">
        <v>21</v>
      </c>
      <c r="C11" s="32">
        <v>0.1</v>
      </c>
      <c r="D11" s="33">
        <f t="shared" si="0"/>
        <v>0.34500000000000003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29</v>
      </c>
      <c r="C19" s="37">
        <f>SUM(C9:C18)</f>
        <v>0.99</v>
      </c>
      <c r="D19" s="38">
        <f>SUM(D9:D18)</f>
        <v>3.4155000000000002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30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36</v>
      </c>
      <c r="B26" s="42" t="s">
        <v>37</v>
      </c>
      <c r="C26" s="43">
        <v>0.1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42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Pin laricio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44</v>
      </c>
      <c r="C34" s="258" t="s">
        <v>45</v>
      </c>
      <c r="D34" s="258"/>
      <c r="E34" s="259" t="s">
        <v>46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Douglas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44</v>
      </c>
      <c r="C60" s="258" t="s">
        <v>45</v>
      </c>
      <c r="D60" s="258"/>
      <c r="E60" s="259" t="s">
        <v>46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18</v>
      </c>
      <c r="B62" s="60">
        <v>182.89230769230767</v>
      </c>
      <c r="C62" s="60">
        <v>1</v>
      </c>
      <c r="D62" s="60">
        <v>69.284615384615378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10.16068376068376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24</v>
      </c>
      <c r="B63" s="60">
        <v>237.56153846153845</v>
      </c>
      <c r="C63" s="60">
        <v>2</v>
      </c>
      <c r="D63" s="60">
        <v>42.661538461538463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20.658974358974358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30</v>
      </c>
      <c r="B64" s="60">
        <v>331.86923076923074</v>
      </c>
      <c r="C64" s="60">
        <v>3</v>
      </c>
      <c r="D64" s="60">
        <v>65.669230769230765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22.828205128205127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36</v>
      </c>
      <c r="B65" s="60">
        <v>403.50769230769237</v>
      </c>
      <c r="C65" s="60">
        <v>4</v>
      </c>
      <c r="D65" s="60">
        <v>69.3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22.884615384615397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42</v>
      </c>
      <c r="B66" s="60">
        <v>468.72307692307686</v>
      </c>
      <c r="C66" s="60">
        <v>5</v>
      </c>
      <c r="D66" s="60">
        <v>73.392307692307682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22.419230769230751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48</v>
      </c>
      <c r="B67" s="60">
        <v>525.0846153846154</v>
      </c>
      <c r="C67" s="60">
        <v>6</v>
      </c>
      <c r="D67" s="60">
        <v>81.330769230769235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21.625641025641034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54</v>
      </c>
      <c r="B68" s="60">
        <v>566.79999999999995</v>
      </c>
      <c r="C68" s="60">
        <v>7</v>
      </c>
      <c r="D68" s="60">
        <v>566.79999999999995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20.507692307692299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>Châtaignier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44</v>
      </c>
      <c r="C86" s="258" t="s">
        <v>45</v>
      </c>
      <c r="D86" s="258"/>
      <c r="E86" s="259" t="s">
        <v>46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7.0000000000000007E-2</v>
      </c>
      <c r="G90" s="87">
        <v>0</v>
      </c>
      <c r="H90" s="87">
        <v>0.93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30</v>
      </c>
      <c r="B91" s="60">
        <v>146</v>
      </c>
      <c r="C91" s="60">
        <v>4</v>
      </c>
      <c r="D91" s="60">
        <v>28</v>
      </c>
      <c r="E91" s="87">
        <v>0.04</v>
      </c>
      <c r="F91" s="87">
        <v>0.28999999999999998</v>
      </c>
      <c r="G91" s="87">
        <v>0</v>
      </c>
      <c r="H91" s="87">
        <v>0.68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35</v>
      </c>
      <c r="B92" s="60">
        <v>172</v>
      </c>
      <c r="C92" s="60">
        <v>5</v>
      </c>
      <c r="D92" s="60">
        <v>28</v>
      </c>
      <c r="E92" s="87">
        <v>0.18</v>
      </c>
      <c r="F92" s="87">
        <v>0.43</v>
      </c>
      <c r="G92" s="87">
        <v>0</v>
      </c>
      <c r="H92" s="87">
        <v>0.39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40</v>
      </c>
      <c r="B93" s="60">
        <v>192</v>
      </c>
      <c r="C93" s="60">
        <v>6</v>
      </c>
      <c r="D93" s="60">
        <v>28</v>
      </c>
      <c r="E93" s="87">
        <v>0.39</v>
      </c>
      <c r="F93" s="87">
        <v>0.39</v>
      </c>
      <c r="G93" s="87">
        <v>0</v>
      </c>
      <c r="H93" s="87">
        <v>0.21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45</v>
      </c>
      <c r="B94" s="60">
        <v>205</v>
      </c>
      <c r="C94" s="60">
        <v>7</v>
      </c>
      <c r="D94" s="60">
        <v>22</v>
      </c>
      <c r="E94" s="87">
        <v>0.59</v>
      </c>
      <c r="F94" s="87">
        <v>0.27</v>
      </c>
      <c r="G94" s="87">
        <v>0</v>
      </c>
      <c r="H94" s="87">
        <v>0.14000000000000001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50</v>
      </c>
      <c r="B95" s="60">
        <v>219</v>
      </c>
      <c r="C95" s="60">
        <v>8</v>
      </c>
      <c r="D95" s="60">
        <v>17</v>
      </c>
      <c r="E95" s="87">
        <v>0.71</v>
      </c>
      <c r="F95" s="87">
        <v>0.18</v>
      </c>
      <c r="G95" s="87">
        <v>0</v>
      </c>
      <c r="H95" s="87">
        <v>0.12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55</v>
      </c>
      <c r="B96" s="60">
        <v>232</v>
      </c>
      <c r="C96" s="60">
        <v>9</v>
      </c>
      <c r="D96" s="60">
        <v>13</v>
      </c>
      <c r="E96" s="87">
        <v>0.77</v>
      </c>
      <c r="F96" s="87">
        <v>0.15</v>
      </c>
      <c r="G96" s="87">
        <v>0</v>
      </c>
      <c r="H96" s="87">
        <v>0.08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>
        <v>60</v>
      </c>
      <c r="B97" s="60">
        <v>245</v>
      </c>
      <c r="C97" s="60">
        <v>10</v>
      </c>
      <c r="D97" s="60">
        <v>12</v>
      </c>
      <c r="E97" s="87">
        <v>0.83</v>
      </c>
      <c r="F97" s="87">
        <v>0.08</v>
      </c>
      <c r="G97" s="87">
        <v>0</v>
      </c>
      <c r="H97" s="87">
        <v>0.08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>
        <v>65</v>
      </c>
      <c r="B98" s="60">
        <v>255</v>
      </c>
      <c r="C98" s="60">
        <v>11</v>
      </c>
      <c r="D98" s="60">
        <v>11</v>
      </c>
      <c r="E98" s="87">
        <v>0.82</v>
      </c>
      <c r="F98" s="87">
        <v>0.09</v>
      </c>
      <c r="G98" s="87">
        <v>0</v>
      </c>
      <c r="H98" s="87">
        <v>0.09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>
        <v>70</v>
      </c>
      <c r="B99" s="60">
        <v>263</v>
      </c>
      <c r="C99" s="60">
        <v>12</v>
      </c>
      <c r="D99" s="60">
        <v>10</v>
      </c>
      <c r="E99" s="87">
        <v>0.9</v>
      </c>
      <c r="F99" s="87">
        <v>0.1</v>
      </c>
      <c r="G99" s="87">
        <v>0</v>
      </c>
      <c r="H99" s="87">
        <v>0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>
        <v>75</v>
      </c>
      <c r="B100" s="60">
        <v>270</v>
      </c>
      <c r="C100" s="60">
        <v>13</v>
      </c>
      <c r="D100" s="60">
        <v>9</v>
      </c>
      <c r="E100" s="65">
        <v>0.89</v>
      </c>
      <c r="F100" s="65">
        <v>0.11</v>
      </c>
      <c r="G100" s="65">
        <v>0</v>
      </c>
      <c r="H100" s="65">
        <v>0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>
        <v>80</v>
      </c>
      <c r="B101" s="60">
        <v>275</v>
      </c>
      <c r="C101" s="60">
        <v>14</v>
      </c>
      <c r="D101" s="60">
        <v>8</v>
      </c>
      <c r="E101" s="65">
        <v>0.88</v>
      </c>
      <c r="F101" s="65">
        <v>0.13</v>
      </c>
      <c r="G101" s="65">
        <v>0</v>
      </c>
      <c r="H101" s="65">
        <v>0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44</v>
      </c>
      <c r="C112" s="258" t="s">
        <v>45</v>
      </c>
      <c r="D112" s="258"/>
      <c r="E112" s="259" t="s">
        <v>46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44</v>
      </c>
      <c r="C138" s="258" t="s">
        <v>45</v>
      </c>
      <c r="D138" s="258"/>
      <c r="E138" s="259" t="s">
        <v>46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44</v>
      </c>
      <c r="C164" s="258" t="s">
        <v>45</v>
      </c>
      <c r="D164" s="258"/>
      <c r="E164" s="259" t="s">
        <v>46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44</v>
      </c>
      <c r="C190" s="258" t="s">
        <v>45</v>
      </c>
      <c r="D190" s="258"/>
      <c r="E190" s="259" t="s">
        <v>46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44</v>
      </c>
      <c r="C216" s="258" t="s">
        <v>45</v>
      </c>
      <c r="D216" s="258"/>
      <c r="E216" s="259" t="s">
        <v>46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44</v>
      </c>
      <c r="C242" s="258" t="s">
        <v>45</v>
      </c>
      <c r="D242" s="258"/>
      <c r="E242" s="259" t="s">
        <v>46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44</v>
      </c>
      <c r="C268" s="258" t="s">
        <v>45</v>
      </c>
      <c r="D268" s="258"/>
      <c r="E268" s="259" t="s">
        <v>46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8" sqref="G18"/>
    </sheetView>
  </sheetViews>
  <sheetFormatPr defaultColWidth="11.42578125" defaultRowHeight="14.4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5" thickBot="1">
      <c r="A2" s="4"/>
      <c r="B2" s="272" t="s">
        <v>56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58</v>
      </c>
      <c r="C7" s="100" t="s">
        <v>59</v>
      </c>
      <c r="D7" s="215"/>
      <c r="E7" s="101"/>
      <c r="F7" s="26" t="s">
        <v>58</v>
      </c>
      <c r="G7" s="100" t="s">
        <v>60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61</v>
      </c>
      <c r="D8" s="23"/>
      <c r="E8" s="105">
        <v>4</v>
      </c>
      <c r="F8" s="61">
        <v>1</v>
      </c>
      <c r="G8" s="102" t="s">
        <v>62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63</v>
      </c>
      <c r="D9" s="23"/>
      <c r="E9" s="105">
        <v>5</v>
      </c>
      <c r="F9" s="61">
        <v>0</v>
      </c>
      <c r="G9" s="103" t="s">
        <v>64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65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66</v>
      </c>
      <c r="D13" s="216"/>
      <c r="E13" s="99"/>
      <c r="F13" s="107"/>
      <c r="G13" s="98" t="s">
        <v>67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68</v>
      </c>
      <c r="D14" s="216"/>
      <c r="E14" s="99"/>
      <c r="F14" s="107"/>
      <c r="G14" s="98" t="s">
        <v>69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58</v>
      </c>
      <c r="C15" s="4"/>
      <c r="D15" s="23"/>
      <c r="E15" s="4"/>
      <c r="F15" s="4"/>
      <c r="G15" s="2" t="s">
        <v>70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71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72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73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defaultColWidth="11.42578125" defaultRowHeight="14.4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6.45" thickBot="1">
      <c r="B1" s="278" t="s">
        <v>74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Châtaignier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51</v>
      </c>
      <c r="X2" s="7" t="s">
        <v>52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51</v>
      </c>
      <c r="AS2" s="7" t="s">
        <v>52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51</v>
      </c>
      <c r="BN2" s="7" t="s">
        <v>52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51</v>
      </c>
      <c r="CI2" s="7" t="s">
        <v>52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51</v>
      </c>
      <c r="DD2" s="7" t="s">
        <v>52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51</v>
      </c>
      <c r="DY2" s="7" t="s">
        <v>52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51</v>
      </c>
      <c r="ET2" s="7" t="s">
        <v>52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51</v>
      </c>
      <c r="FO2" s="7" t="s">
        <v>52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51</v>
      </c>
      <c r="GJ2" s="7" t="s">
        <v>52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51</v>
      </c>
      <c r="HE2" s="7" t="s">
        <v>52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282.62919832217119</v>
      </c>
      <c r="T3" s="59">
        <f>IF('Données projet'!E9&gt;30,$R$33-$H$33,LOOKUP('Données projet'!$E$9,$A$3:$A$203,R3:R203)-LOOKUP('Données projet'!$E$9,$A$3:$A$203,$H$3:$H$203))</f>
        <v>248.89638559192258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277.73784710957608</v>
      </c>
      <c r="AO3" s="59">
        <f>IF('Données projet'!E10&gt;30,$AM$33-$H$33,LOOKUP('Données projet'!$E$10,$A$3:$A$203,AM3:AM203)-LOOKUP('Données projet'!$E$10,$A$3:$A$203,$H$3:$H$203))</f>
        <v>369.67177565548127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203.42120484957661</v>
      </c>
      <c r="BJ3" s="59">
        <f>IF('Données projet'!E11&gt;30,$BH$33-$H$33,LOOKUP('Données projet'!$E$11,$A$3:$A$203,BH3:BH203)-LOOKUP('Données projet'!$E$11,$A$3:$A$203,$H$3:$H$203))</f>
        <v>201.8090670543379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1">
        <f>IFERROR(EXP(-1.0587+0.8836*LN(C4)+0.284),0)</f>
        <v>0.24713212124918574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67">
        <f t="shared" ref="H4:H67" si="1">(B4+E4+F4)*44/12+(C4+D4)*0.475*44/12</f>
        <v>294.62413844450896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295.31642317474365</v>
      </c>
      <c r="S4" s="59">
        <f ca="1">AVERAGE(OFFSET($R$3,0,0,'Données projet'!$E$9+1,1))-AVERAGE(OFFSET($H$3,0,0,'Données projet'!$E$9+1,1))</f>
        <v>282.62919832217119</v>
      </c>
      <c r="T4" s="59">
        <f>$T$3</f>
        <v>248.89638559192258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10.16068376068376</v>
      </c>
      <c r="AI4" s="13">
        <f>IF('Données projet'!$A$62&gt;35,AI3+AH4-AQ3,IF(A4&lt;'Données projet'!$A$62,$AF$205^A4,IF(A4='Données projet'!$A$62,'Données projet'!$B$62,AI3+AH4-AQ3)))</f>
        <v>1.3356034260773062</v>
      </c>
      <c r="AJ4" s="13">
        <f>AI4*VLOOKUP('Données projet'!$B$10,Paramètres!$A$1:$I$89,3,0)*VLOOKUP('Données projet'!$B$10,Paramètres!$A$1:$I$89,5,0)</f>
        <v>0.7466023151772142</v>
      </c>
      <c r="AK4" s="13">
        <f>EXP(-1.0587+0.8836*LN(AJ4)+0.284)</f>
        <v>0.35597032812689977</v>
      </c>
      <c r="AL4" s="20">
        <f t="shared" ref="AL4:AL67" si="4">(AJ4+AK4)*0.475*44/12</f>
        <v>1.9203140204213316</v>
      </c>
      <c r="AM4" s="59">
        <f t="shared" ref="AM4:AM67" si="5">AL4+(AD4+AE4)*44/12</f>
        <v>295.25364735375467</v>
      </c>
      <c r="AN4" s="59">
        <f ca="1">AVERAGE(OFFSET($AM$3,0,0,'Données projet'!$E$10+1,1))-AVERAGE(OFFSET($H$3,0,0,'Données projet'!$E$10+1,1))</f>
        <v>277.73784710957608</v>
      </c>
      <c r="AO4" s="59">
        <f>$AO$3</f>
        <v>369.67177565548127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0.9327585484198414</v>
      </c>
      <c r="BF4" s="13">
        <f>EXP(-1.0587+0.8836*LN(BE4)+0.284)</f>
        <v>0.43335135961225768</v>
      </c>
      <c r="BG4" s="20">
        <f t="shared" ref="BG4:BG67" si="7">(BE4+BF4)*0.475*44/12</f>
        <v>2.3793080898225729</v>
      </c>
      <c r="BH4" s="59">
        <f t="shared" ref="BH4:BH67" si="8">BG4+(AY4+AZ4)*44/12</f>
        <v>295.7126414231559</v>
      </c>
      <c r="BI4" s="59">
        <f ca="1">AVERAGE(OFFSET($BH$3,0,0,'Données projet'!$E$11+1,1))-AVERAGE(OFFSET($H$3,0,0,'Données projet'!$E$11+1,1))</f>
        <v>203.42120484957661</v>
      </c>
      <c r="BJ4" s="59">
        <f>$BJ$3</f>
        <v>201.8090670543379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1">
        <f t="shared" ref="D5:D68" si="32">IFERROR(EXP(-1.0587+0.8836*LN(C5)+0.284),0)</f>
        <v>0.45595218483732475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67">
        <f t="shared" si="1"/>
        <v>295.84821672192498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295.8692231276803</v>
      </c>
      <c r="S5" s="59">
        <f ca="1">AVERAGE(OFFSET($R$3,0,0,'Données projet'!$E$9+1,1))-AVERAGE(OFFSET($H$3,0,0,'Données projet'!$E$9+1,1))</f>
        <v>282.62919832217119</v>
      </c>
      <c r="T5" s="59">
        <f t="shared" ref="T5:T68" si="34">$T$3</f>
        <v>248.89638559192258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10.16068376068376</v>
      </c>
      <c r="AI5" s="13">
        <f>IF('Données projet'!$A$62&gt;35,AI4+AH5-AQ4,IF(A5&lt;'Données projet'!$A$62,$AF$205^A5,IF(A5='Données projet'!$A$62,'Données projet'!$B$62,AI4+AH5-AQ4)))</f>
        <v>1.7838365117494384</v>
      </c>
      <c r="AJ5" s="13">
        <f>AI5*VLOOKUP('Données projet'!$B$10,Paramètres!$A$1:$I$89,3,0)*VLOOKUP('Données projet'!$B$10,Paramètres!$A$1:$I$89,5,0)</f>
        <v>0.99716461006793611</v>
      </c>
      <c r="AK5" s="13">
        <f t="shared" ref="AK5:AK68" si="35">EXP(-1.0587+0.8836*LN(AJ5)+0.284)</f>
        <v>0.4596872513511342</v>
      </c>
      <c r="AL5" s="20">
        <f t="shared" si="4"/>
        <v>2.5373503253048804</v>
      </c>
      <c r="AM5" s="59">
        <f t="shared" si="5"/>
        <v>295.8706836586382</v>
      </c>
      <c r="AN5" s="59">
        <f ca="1">AVERAGE(OFFSET($AM$3,0,0,'Données projet'!$E$10+1,1))-AVERAGE(OFFSET($H$3,0,0,'Données projet'!$E$10+1,1))</f>
        <v>277.73784710957608</v>
      </c>
      <c r="AO5" s="59">
        <f t="shared" ref="AO5:AO68" si="36">$AO$3</f>
        <v>369.67177565548127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1.1866319007778094</v>
      </c>
      <c r="BF5" s="13">
        <f t="shared" ref="BF5:BF68" si="37">EXP(-1.0587+0.8836*LN(BE5)+0.284)</f>
        <v>0.53606530474621483</v>
      </c>
      <c r="BG5" s="20">
        <f t="shared" si="7"/>
        <v>3.0003642996210083</v>
      </c>
      <c r="BH5" s="59">
        <f t="shared" si="8"/>
        <v>296.33369763295434</v>
      </c>
      <c r="BI5" s="59">
        <f ca="1">AVERAGE(OFFSET($BH$3,0,0,'Données projet'!$E$11+1,1))-AVERAGE(OFFSET($H$3,0,0,'Données projet'!$E$11+1,1))</f>
        <v>203.42120484957661</v>
      </c>
      <c r="BJ5" s="59">
        <f t="shared" ref="BJ5:BJ68" si="38">$BJ$3</f>
        <v>201.8090670543379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1">
        <f t="shared" si="32"/>
        <v>0.65239937694593597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67">
        <f t="shared" si="1"/>
        <v>297.05074558151415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296.57673872359732</v>
      </c>
      <c r="S6" s="59">
        <f ca="1">AVERAGE(OFFSET($R$3,0,0,'Données projet'!$E$9+1,1))-AVERAGE(OFFSET($H$3,0,0,'Données projet'!$E$9+1,1))</f>
        <v>282.62919832217119</v>
      </c>
      <c r="T6" s="59">
        <f t="shared" si="34"/>
        <v>248.89638559192258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10.16068376068376</v>
      </c>
      <c r="AI6" s="13">
        <f>IF('Données projet'!$A$62&gt;35,AI5+AH6-AQ5,IF(A6&lt;'Données projet'!$A$62,$AF$205^A6,IF(A6='Données projet'!$A$62,'Données projet'!$B$62,AI5+AH6-AQ5)))</f>
        <v>2.3824981566543406</v>
      </c>
      <c r="AJ6" s="13">
        <f>AI6*VLOOKUP('Données projet'!$B$10,Paramètres!$A$1:$I$89,3,0)*VLOOKUP('Données projet'!$B$10,Paramètres!$A$1:$I$89,5,0)</f>
        <v>1.3318164695697763</v>
      </c>
      <c r="AK6" s="13">
        <f t="shared" si="35"/>
        <v>0.59362354768914927</v>
      </c>
      <c r="AL6" s="20">
        <f t="shared" si="4"/>
        <v>3.3534746967259621</v>
      </c>
      <c r="AM6" s="59">
        <f t="shared" si="5"/>
        <v>296.6868080300593</v>
      </c>
      <c r="AN6" s="59">
        <f ca="1">AVERAGE(OFFSET($AM$3,0,0,'Données projet'!$E$10+1,1))-AVERAGE(OFFSET($H$3,0,0,'Données projet'!$E$10+1,1))</f>
        <v>277.73784710957608</v>
      </c>
      <c r="AO6" s="59">
        <f t="shared" si="36"/>
        <v>369.67177565548127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1.5096031768660487</v>
      </c>
      <c r="BF6" s="13">
        <f t="shared" si="37"/>
        <v>0.66312474757151718</v>
      </c>
      <c r="BG6" s="20">
        <f t="shared" si="7"/>
        <v>3.7841678017287599</v>
      </c>
      <c r="BH6" s="59">
        <f t="shared" si="8"/>
        <v>297.11750113506207</v>
      </c>
      <c r="BI6" s="59">
        <f ca="1">AVERAGE(OFFSET($BH$3,0,0,'Données projet'!$E$11+1,1))-AVERAGE(OFFSET($H$3,0,0,'Données projet'!$E$11+1,1))</f>
        <v>203.42120484957661</v>
      </c>
      <c r="BJ6" s="59">
        <f t="shared" si="38"/>
        <v>201.8090670543379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1">
        <f t="shared" si="32"/>
        <v>0.84121964318960396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67">
        <f t="shared" si="1"/>
        <v>298.2399908785552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297.48243470102432</v>
      </c>
      <c r="S7" s="59">
        <f ca="1">AVERAGE(OFFSET($R$3,0,0,'Données projet'!$E$9+1,1))-AVERAGE(OFFSET($H$3,0,0,'Données projet'!$E$9+1,1))</f>
        <v>282.62919832217119</v>
      </c>
      <c r="T7" s="59">
        <f t="shared" si="34"/>
        <v>248.89638559192258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10.16068376068376</v>
      </c>
      <c r="AI7" s="13">
        <f>IF('Données projet'!$A$62&gt;35,AI6+AH7-AQ6,IF(A7&lt;'Données projet'!$A$62,$AF$205^A7,IF(A7='Données projet'!$A$62,'Données projet'!$B$62,AI6+AH7-AQ6)))</f>
        <v>3.1820727006504042</v>
      </c>
      <c r="AJ7" s="13">
        <f>AI7*VLOOKUP('Données projet'!$B$10,Paramètres!$A$1:$I$89,3,0)*VLOOKUP('Données projet'!$B$10,Paramètres!$A$1:$I$89,5,0)</f>
        <v>1.7787786396635761</v>
      </c>
      <c r="AK7" s="13">
        <f t="shared" si="35"/>
        <v>0.76658405325641277</v>
      </c>
      <c r="AL7" s="20">
        <f t="shared" si="4"/>
        <v>4.4331733568356464</v>
      </c>
      <c r="AM7" s="59">
        <f t="shared" si="5"/>
        <v>297.76650669016897</v>
      </c>
      <c r="AN7" s="59">
        <f ca="1">AVERAGE(OFFSET($AM$3,0,0,'Données projet'!$E$10+1,1))-AVERAGE(OFFSET($H$3,0,0,'Données projet'!$E$10+1,1))</f>
        <v>277.73784710957608</v>
      </c>
      <c r="AO7" s="59">
        <f t="shared" si="36"/>
        <v>369.67177565548127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1.9204790888482772</v>
      </c>
      <c r="BF7" s="13">
        <f t="shared" si="37"/>
        <v>0.82030011446080875</v>
      </c>
      <c r="BG7" s="20">
        <f t="shared" si="7"/>
        <v>4.7735237790966574</v>
      </c>
      <c r="BH7" s="59">
        <f t="shared" si="8"/>
        <v>298.10685711242996</v>
      </c>
      <c r="BI7" s="59">
        <f ca="1">AVERAGE(OFFSET($BH$3,0,0,'Données projet'!$E$11+1,1))-AVERAGE(OFFSET($H$3,0,0,'Données projet'!$E$11+1,1))</f>
        <v>203.42120484957661</v>
      </c>
      <c r="BJ7" s="59">
        <f t="shared" si="38"/>
        <v>201.8090670543379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1">
        <f t="shared" si="32"/>
        <v>1.0245640017032431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67">
        <f t="shared" si="1"/>
        <v>299.41969896963315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298.64202949713871</v>
      </c>
      <c r="S8" s="59">
        <f ca="1">AVERAGE(OFFSET($R$3,0,0,'Données projet'!$E$9+1,1))-AVERAGE(OFFSET($H$3,0,0,'Données projet'!$E$9+1,1))</f>
        <v>282.62919832217119</v>
      </c>
      <c r="T8" s="59">
        <f t="shared" si="34"/>
        <v>248.89638559192258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10.16068376068376</v>
      </c>
      <c r="AI8" s="13">
        <f>IF('Données projet'!$A$62&gt;35,AI7+AH8-AQ7,IF(A8&lt;'Données projet'!$A$62,$AF$205^A8,IF(A8='Données projet'!$A$62,'Données projet'!$B$62,AI7+AH8-AQ7)))</f>
        <v>4.2499872010157462</v>
      </c>
      <c r="AJ8" s="13">
        <f>AI8*VLOOKUP('Données projet'!$B$10,Paramètres!$A$1:$I$89,3,0)*VLOOKUP('Données projet'!$B$10,Paramètres!$A$1:$I$89,5,0)</f>
        <v>2.3757428453678022</v>
      </c>
      <c r="AK8" s="13">
        <f t="shared" si="35"/>
        <v>0.98993901605593615</v>
      </c>
      <c r="AL8" s="20">
        <f t="shared" si="4"/>
        <v>5.8618959086463436</v>
      </c>
      <c r="AM8" s="59">
        <f t="shared" si="5"/>
        <v>299.19522924197963</v>
      </c>
      <c r="AN8" s="59">
        <f ca="1">AVERAGE(OFFSET($AM$3,0,0,'Données projet'!$E$10+1,1))-AVERAGE(OFFSET($H$3,0,0,'Données projet'!$E$10+1,1))</f>
        <v>277.73784710957608</v>
      </c>
      <c r="AO8" s="59">
        <f t="shared" si="36"/>
        <v>369.67177565548127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2.4431850616268127</v>
      </c>
      <c r="BF8" s="13">
        <f t="shared" si="37"/>
        <v>1.0147295516396715</v>
      </c>
      <c r="BG8" s="20">
        <f t="shared" si="7"/>
        <v>6.0225346181057935</v>
      </c>
      <c r="BH8" s="59">
        <f t="shared" si="8"/>
        <v>299.35586795143911</v>
      </c>
      <c r="BI8" s="59">
        <f ca="1">AVERAGE(OFFSET($BH$3,0,0,'Données projet'!$E$11+1,1))-AVERAGE(OFFSET($H$3,0,0,'Données projet'!$E$11+1,1))</f>
        <v>203.42120484957661</v>
      </c>
      <c r="BJ8" s="59">
        <f t="shared" si="38"/>
        <v>201.8090670543379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1">
        <f t="shared" si="32"/>
        <v>1.2036594830385248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67">
        <f t="shared" si="1"/>
        <v>300.59200693295872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300.12696112026919</v>
      </c>
      <c r="S9" s="59">
        <f ca="1">AVERAGE(OFFSET($R$3,0,0,'Données projet'!$E$9+1,1))-AVERAGE(OFFSET($H$3,0,0,'Données projet'!$E$9+1,1))</f>
        <v>282.62919832217119</v>
      </c>
      <c r="T9" s="59">
        <f t="shared" si="34"/>
        <v>248.89638559192258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10.16068376068376</v>
      </c>
      <c r="AI9" s="13">
        <f>IF('Données projet'!$A$62&gt;35,AI8+AH9-AQ8,IF(A9&lt;'Données projet'!$A$62,$AF$205^A9,IF(A9='Données projet'!$A$62,'Données projet'!$B$62,AI8+AH9-AQ8)))</f>
        <v>5.6762974664613317</v>
      </c>
      <c r="AJ9" s="13">
        <f>AI9*VLOOKUP('Données projet'!$B$10,Paramètres!$A$1:$I$89,3,0)*VLOOKUP('Données projet'!$B$10,Paramètres!$A$1:$I$89,5,0)</f>
        <v>3.1730502837518846</v>
      </c>
      <c r="AK9" s="13">
        <f t="shared" si="35"/>
        <v>1.27837156453606</v>
      </c>
      <c r="AL9" s="20">
        <f t="shared" si="4"/>
        <v>7.7528930524348363</v>
      </c>
      <c r="AM9" s="59">
        <f t="shared" si="5"/>
        <v>301.08622638576816</v>
      </c>
      <c r="AN9" s="59">
        <f ca="1">AVERAGE(OFFSET($AM$3,0,0,'Données projet'!$E$10+1,1))-AVERAGE(OFFSET($H$3,0,0,'Données projet'!$E$10+1,1))</f>
        <v>277.73784710957608</v>
      </c>
      <c r="AO9" s="59">
        <f t="shared" si="36"/>
        <v>369.67177565548127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3.1081584173541552</v>
      </c>
      <c r="BF9" s="13">
        <f t="shared" si="37"/>
        <v>1.2552431053208675</v>
      </c>
      <c r="BG9" s="20">
        <f t="shared" si="7"/>
        <v>7.5995909853256647</v>
      </c>
      <c r="BH9" s="59">
        <f t="shared" si="8"/>
        <v>300.93292431865899</v>
      </c>
      <c r="BI9" s="59">
        <f ca="1">AVERAGE(OFFSET($BH$3,0,0,'Données projet'!$E$11+1,1))-AVERAGE(OFFSET($H$3,0,0,'Données projet'!$E$11+1,1))</f>
        <v>203.42120484957661</v>
      </c>
      <c r="BJ9" s="59">
        <f t="shared" si="38"/>
        <v>201.8090670543379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1">
        <f t="shared" si="32"/>
        <v>1.3792971063482828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67">
        <f t="shared" si="1"/>
        <v>301.75829246022323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302.02883626550931</v>
      </c>
      <c r="S10" s="59">
        <f ca="1">AVERAGE(OFFSET($R$3,0,0,'Données projet'!$E$9+1,1))-AVERAGE(OFFSET($H$3,0,0,'Données projet'!$E$9+1,1))</f>
        <v>282.62919832217119</v>
      </c>
      <c r="T10" s="59">
        <f t="shared" si="34"/>
        <v>248.89638559192258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10.16068376068376</v>
      </c>
      <c r="AI10" s="13">
        <f>IF('Données projet'!$A$62&gt;35,AI9+AH10-AQ9,IF(A10&lt;'Données projet'!$A$62,$AF$205^A10,IF(A10='Données projet'!$A$62,'Données projet'!$B$62,AI9+AH10-AQ9)))</f>
        <v>7.5812823436396872</v>
      </c>
      <c r="AJ10" s="13">
        <f>AI10*VLOOKUP('Données projet'!$B$10,Paramètres!$A$1:$I$89,3,0)*VLOOKUP('Données projet'!$B$10,Paramètres!$A$1:$I$89,5,0)</f>
        <v>4.2379368300945854</v>
      </c>
      <c r="AK10" s="13">
        <f t="shared" si="35"/>
        <v>1.6508429615446465</v>
      </c>
      <c r="AL10" s="20">
        <f t="shared" si="4"/>
        <v>10.256291470438329</v>
      </c>
      <c r="AM10" s="59">
        <f t="shared" si="5"/>
        <v>303.58962480377164</v>
      </c>
      <c r="AN10" s="59">
        <f ca="1">AVERAGE(OFFSET($AM$3,0,0,'Données projet'!$E$10+1,1))-AVERAGE(OFFSET($H$3,0,0,'Données projet'!$E$10+1,1))</f>
        <v>277.73784710957608</v>
      </c>
      <c r="AO10" s="59">
        <f t="shared" si="36"/>
        <v>369.67177565548127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3.9541207496319881</v>
      </c>
      <c r="BF10" s="13">
        <f t="shared" si="37"/>
        <v>1.5527637397664751</v>
      </c>
      <c r="BG10" s="20">
        <f t="shared" si="7"/>
        <v>9.5911571523689911</v>
      </c>
      <c r="BH10" s="59">
        <f t="shared" si="8"/>
        <v>302.92449048570228</v>
      </c>
      <c r="BI10" s="59">
        <f ca="1">AVERAGE(OFFSET($BH$3,0,0,'Données projet'!$E$11+1,1))-AVERAGE(OFFSET($H$3,0,0,'Données projet'!$E$11+1,1))</f>
        <v>203.42120484957661</v>
      </c>
      <c r="BJ10" s="59">
        <f t="shared" si="38"/>
        <v>201.8090670543379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1">
        <f t="shared" si="32"/>
        <v>1.5520278477018838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67">
        <f t="shared" si="1"/>
        <v>302.91951516808075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304.46514237932377</v>
      </c>
      <c r="S11" s="59">
        <f ca="1">AVERAGE(OFFSET($R$3,0,0,'Données projet'!$E$9+1,1))-AVERAGE(OFFSET($H$3,0,0,'Données projet'!$E$9+1,1))</f>
        <v>282.62919832217119</v>
      </c>
      <c r="T11" s="59">
        <f t="shared" si="34"/>
        <v>248.89638559192258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10.16068376068376</v>
      </c>
      <c r="AI11" s="13">
        <f>IF('Données projet'!$A$62&gt;35,AI10+AH11-AQ10,IF(A11&lt;'Données projet'!$A$62,$AF$205^A11,IF(A11='Données projet'!$A$62,'Données projet'!$B$62,AI10+AH11-AQ10)))</f>
        <v>10.125586672224557</v>
      </c>
      <c r="AJ11" s="13">
        <f>AI11*VLOOKUP('Données projet'!$B$10,Paramètres!$A$1:$I$89,3,0)*VLOOKUP('Données projet'!$B$10,Paramètres!$A$1:$I$89,5,0)</f>
        <v>5.6602029497735273</v>
      </c>
      <c r="AK11" s="13">
        <f t="shared" si="35"/>
        <v>2.1318390984944533</v>
      </c>
      <c r="AL11" s="20">
        <f t="shared" si="4"/>
        <v>13.571139900733398</v>
      </c>
      <c r="AM11" s="59">
        <f t="shared" si="5"/>
        <v>306.9044732340667</v>
      </c>
      <c r="AN11" s="59">
        <f ca="1">AVERAGE(OFFSET($AM$3,0,0,'Données projet'!$E$10+1,1))-AVERAGE(OFFSET($H$3,0,0,'Données projet'!$E$10+1,1))</f>
        <v>277.73784710957608</v>
      </c>
      <c r="AO11" s="59">
        <f t="shared" si="36"/>
        <v>369.67177565548127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5.0303326932671979</v>
      </c>
      <c r="BF11" s="13">
        <f t="shared" si="37"/>
        <v>1.9208034055819379</v>
      </c>
      <c r="BG11" s="20">
        <f t="shared" si="7"/>
        <v>12.106562038828912</v>
      </c>
      <c r="BH11" s="59">
        <f t="shared" si="8"/>
        <v>305.43989537216225</v>
      </c>
      <c r="BI11" s="59">
        <f ca="1">AVERAGE(OFFSET($BH$3,0,0,'Données projet'!$E$11+1,1))-AVERAGE(OFFSET($H$3,0,0,'Données projet'!$E$11+1,1))</f>
        <v>203.42120484957661</v>
      </c>
      <c r="BJ11" s="59">
        <f t="shared" si="38"/>
        <v>201.8090670543379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1">
        <f t="shared" si="32"/>
        <v>1.7222566815192901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67">
        <f t="shared" si="1"/>
        <v>304.07638038697939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307.5865821468015</v>
      </c>
      <c r="S12" s="59">
        <f ca="1">AVERAGE(OFFSET($R$3,0,0,'Données projet'!$E$9+1,1))-AVERAGE(OFFSET($H$3,0,0,'Données projet'!$E$9+1,1))</f>
        <v>282.62919832217119</v>
      </c>
      <c r="T12" s="59">
        <f t="shared" si="34"/>
        <v>248.89638559192258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10.16068376068376</v>
      </c>
      <c r="AI12" s="13">
        <f>IF('Données projet'!$A$62&gt;35,AI11+AH12-AQ11,IF(A12&lt;'Données projet'!$A$62,$AF$205^A12,IF(A12='Données projet'!$A$62,'Données projet'!$B$62,AI11+AH12-AQ11)))</f>
        <v>13.523768250465828</v>
      </c>
      <c r="AJ12" s="13">
        <f>AI12*VLOOKUP('Données projet'!$B$10,Paramètres!$A$1:$I$89,3,0)*VLOOKUP('Données projet'!$B$10,Paramètres!$A$1:$I$89,5,0)</f>
        <v>7.5597864520103979</v>
      </c>
      <c r="AK12" s="13">
        <f t="shared" si="35"/>
        <v>2.7529801730003816</v>
      </c>
      <c r="AL12" s="20">
        <f t="shared" si="4"/>
        <v>17.961401871893774</v>
      </c>
      <c r="AM12" s="59">
        <f t="shared" si="5"/>
        <v>311.29473520522708</v>
      </c>
      <c r="AN12" s="59">
        <f ca="1">AVERAGE(OFFSET($AM$3,0,0,'Données projet'!$E$10+1,1))-AVERAGE(OFFSET($H$3,0,0,'Données projet'!$E$10+1,1))</f>
        <v>277.73784710957608</v>
      </c>
      <c r="AO12" s="59">
        <f t="shared" si="36"/>
        <v>369.67177565548127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6.399462385489338</v>
      </c>
      <c r="BF12" s="13">
        <f t="shared" si="37"/>
        <v>2.3760766872686268</v>
      </c>
      <c r="BG12" s="20">
        <f t="shared" si="7"/>
        <v>15.284063885053456</v>
      </c>
      <c r="BH12" s="59">
        <f t="shared" si="8"/>
        <v>308.61739721838677</v>
      </c>
      <c r="BI12" s="59">
        <f ca="1">AVERAGE(OFFSET($BH$3,0,0,'Données projet'!$E$11+1,1))-AVERAGE(OFFSET($H$3,0,0,'Données projet'!$E$11+1,1))</f>
        <v>203.42120484957661</v>
      </c>
      <c r="BJ12" s="59">
        <f t="shared" si="38"/>
        <v>201.8090670543379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1">
        <f t="shared" si="32"/>
        <v>1.8902933083766646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67">
        <f t="shared" si="1"/>
        <v>305.22942751208933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311.5864924430474</v>
      </c>
      <c r="S13" s="59">
        <f ca="1">AVERAGE(OFFSET($R$3,0,0,'Données projet'!$E$9+1,1))-AVERAGE(OFFSET($H$3,0,0,'Données projet'!$E$9+1,1))</f>
        <v>282.62919832217119</v>
      </c>
      <c r="T13" s="59">
        <f t="shared" si="34"/>
        <v>248.89638559192258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10.16068376068376</v>
      </c>
      <c r="AI13" s="13">
        <f>IF('Données projet'!$A$62&gt;35,AI12+AH13-AQ12,IF(A13&lt;'Données projet'!$A$62,$AF$205^A13,IF(A13='Données projet'!$A$62,'Données projet'!$B$62,AI12+AH13-AQ12)))</f>
        <v>18.062391208797656</v>
      </c>
      <c r="AJ13" s="13">
        <f>AI13*VLOOKUP('Données projet'!$B$10,Paramètres!$A$1:$I$89,3,0)*VLOOKUP('Données projet'!$B$10,Paramètres!$A$1:$I$89,5,0)</f>
        <v>10.09687668571789</v>
      </c>
      <c r="AK13" s="13">
        <f t="shared" si="35"/>
        <v>3.5550993685619052</v>
      </c>
      <c r="AL13" s="20">
        <f t="shared" si="4"/>
        <v>23.777191627870639</v>
      </c>
      <c r="AM13" s="59">
        <f t="shared" si="5"/>
        <v>317.11052496120396</v>
      </c>
      <c r="AN13" s="59">
        <f ca="1">AVERAGE(OFFSET($AM$3,0,0,'Données projet'!$E$10+1,1))-AVERAGE(OFFSET($H$3,0,0,'Données projet'!$E$10+1,1))</f>
        <v>277.73784710957608</v>
      </c>
      <c r="AO13" s="59">
        <f t="shared" si="36"/>
        <v>369.67177565548127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8.1412346499678296</v>
      </c>
      <c r="BF13" s="13">
        <f t="shared" si="37"/>
        <v>2.9392598989436851</v>
      </c>
      <c r="BG13" s="20">
        <f t="shared" si="7"/>
        <v>19.298528006020888</v>
      </c>
      <c r="BH13" s="59">
        <f t="shared" si="8"/>
        <v>312.6318613393542</v>
      </c>
      <c r="BI13" s="59">
        <f ca="1">AVERAGE(OFFSET($BH$3,0,0,'Données projet'!$E$11+1,1))-AVERAGE(OFFSET($H$3,0,0,'Données projet'!$E$11+1,1))</f>
        <v>203.42120484957661</v>
      </c>
      <c r="BJ13" s="59">
        <f t="shared" si="38"/>
        <v>201.8090670543379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1">
        <f t="shared" si="32"/>
        <v>2.0563819044260145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67">
        <f t="shared" si="1"/>
        <v>306.37908181687527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316.71294168836005</v>
      </c>
      <c r="S14" s="59">
        <f ca="1">AVERAGE(OFFSET($R$3,0,0,'Données projet'!$E$9+1,1))-AVERAGE(OFFSET($H$3,0,0,'Données projet'!$E$9+1,1))</f>
        <v>282.62919832217119</v>
      </c>
      <c r="T14" s="59">
        <f t="shared" si="34"/>
        <v>248.89638559192258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10.16068376068376</v>
      </c>
      <c r="AI14" s="13">
        <f>IF('Données projet'!$A$62&gt;35,AI13+AH14-AQ13,IF(A14&lt;'Données projet'!$A$62,$AF$205^A14,IF(A14='Données projet'!$A$62,'Données projet'!$B$62,AI13+AH14-AQ13)))</f>
        <v>24.124191581618767</v>
      </c>
      <c r="AJ14" s="13">
        <f>AI14*VLOOKUP('Données projet'!$B$10,Paramètres!$A$1:$I$89,3,0)*VLOOKUP('Données projet'!$B$10,Paramètres!$A$1:$I$89,5,0)</f>
        <v>13.48542309412489</v>
      </c>
      <c r="AK14" s="13">
        <f t="shared" si="35"/>
        <v>4.5909271865822117</v>
      </c>
      <c r="AL14" s="20">
        <f t="shared" si="4"/>
        <v>31.482976738898202</v>
      </c>
      <c r="AM14" s="59">
        <f t="shared" si="5"/>
        <v>324.81631007223154</v>
      </c>
      <c r="AN14" s="59">
        <f ca="1">AVERAGE(OFFSET($AM$3,0,0,'Données projet'!$E$10+1,1))-AVERAGE(OFFSET($H$3,0,0,'Données projet'!$E$10+1,1))</f>
        <v>277.73784710957608</v>
      </c>
      <c r="AO14" s="59">
        <f t="shared" si="36"/>
        <v>369.67177565548127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10.357073396684818</v>
      </c>
      <c r="BF14" s="13">
        <f t="shared" si="37"/>
        <v>3.6359301026893722</v>
      </c>
      <c r="BG14" s="20">
        <f t="shared" si="7"/>
        <v>24.371147761410047</v>
      </c>
      <c r="BH14" s="59">
        <f t="shared" si="8"/>
        <v>317.70448109474336</v>
      </c>
      <c r="BI14" s="59">
        <f ca="1">AVERAGE(OFFSET($BH$3,0,0,'Données projet'!$E$11+1,1))-AVERAGE(OFFSET($H$3,0,0,'Données projet'!$E$11+1,1))</f>
        <v>203.42120484957661</v>
      </c>
      <c r="BJ14" s="59">
        <f t="shared" si="38"/>
        <v>201.8090670543379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1">
        <f t="shared" si="32"/>
        <v>2.2207197037661022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67">
        <f t="shared" si="1"/>
        <v>307.52568681739263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323.28426917937514</v>
      </c>
      <c r="S15" s="59">
        <f ca="1">AVERAGE(OFFSET($R$3,0,0,'Données projet'!$E$9+1,1))-AVERAGE(OFFSET($H$3,0,0,'Données projet'!$E$9+1,1))</f>
        <v>282.62919832217119</v>
      </c>
      <c r="T15" s="59">
        <f t="shared" si="34"/>
        <v>248.89638559192258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10.16068376068376</v>
      </c>
      <c r="AI15" s="13">
        <f>IF('Données projet'!$A$62&gt;35,AI14+AH15-AQ14,IF(A15&lt;'Données projet'!$A$62,$AF$205^A15,IF(A15='Données projet'!$A$62,'Données projet'!$B$62,AI14+AH15-AQ14)))</f>
        <v>32.220352927755336</v>
      </c>
      <c r="AJ15" s="13">
        <f>AI15*VLOOKUP('Données projet'!$B$10,Paramètres!$A$1:$I$89,3,0)*VLOOKUP('Données projet'!$B$10,Paramètres!$A$1:$I$89,5,0)</f>
        <v>18.011177286615233</v>
      </c>
      <c r="AK15" s="13">
        <f t="shared" si="35"/>
        <v>5.9285578959851977</v>
      </c>
      <c r="AL15" s="20">
        <f t="shared" si="4"/>
        <v>41.695038776362409</v>
      </c>
      <c r="AM15" s="59">
        <f t="shared" si="5"/>
        <v>335.02837210969574</v>
      </c>
      <c r="AN15" s="59">
        <f ca="1">AVERAGE(OFFSET($AM$3,0,0,'Données projet'!$E$10+1,1))-AVERAGE(OFFSET($H$3,0,0,'Données projet'!$E$10+1,1))</f>
        <v>277.73784710957608</v>
      </c>
      <c r="AO15" s="59">
        <f t="shared" si="36"/>
        <v>369.67177565548127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13.176007565970389</v>
      </c>
      <c r="BF15" s="13">
        <f t="shared" si="37"/>
        <v>4.4977266952111856</v>
      </c>
      <c r="BG15" s="20">
        <f t="shared" si="7"/>
        <v>30.781753838224574</v>
      </c>
      <c r="BH15" s="59">
        <f t="shared" si="8"/>
        <v>324.11508717155789</v>
      </c>
      <c r="BI15" s="59">
        <f ca="1">AVERAGE(OFFSET($BH$3,0,0,'Données projet'!$E$11+1,1))-AVERAGE(OFFSET($H$3,0,0,'Données projet'!$E$11+1,1))</f>
        <v>203.42120484957661</v>
      </c>
      <c r="BJ15" s="59">
        <f t="shared" si="38"/>
        <v>201.8090670543379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1">
        <f t="shared" si="32"/>
        <v>2.3834691936258148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67">
        <f t="shared" si="1"/>
        <v>308.66952551223159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331.70904815163294</v>
      </c>
      <c r="S16" s="59">
        <f ca="1">AVERAGE(OFFSET($R$3,0,0,'Données projet'!$E$9+1,1))-AVERAGE(OFFSET($H$3,0,0,'Données projet'!$E$9+1,1))</f>
        <v>282.62919832217119</v>
      </c>
      <c r="T16" s="59">
        <f t="shared" si="34"/>
        <v>248.89638559192258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10.16068376068376</v>
      </c>
      <c r="AI16" s="13">
        <f>IF('Données projet'!$A$62&gt;35,AI15+AH16-AQ15,IF(A16&lt;'Données projet'!$A$62,$AF$205^A16,IF(A16='Données projet'!$A$62,'Données projet'!$B$62,AI15+AH16-AQ15)))</f>
        <v>43.033613759729988</v>
      </c>
      <c r="AJ16" s="13">
        <f>AI16*VLOOKUP('Données projet'!$B$10,Paramètres!$A$1:$I$89,3,0)*VLOOKUP('Données projet'!$B$10,Paramètres!$A$1:$I$89,5,0)</f>
        <v>24.055790091689062</v>
      </c>
      <c r="AK16" s="13">
        <f t="shared" si="35"/>
        <v>7.6559259813080898</v>
      </c>
      <c r="AL16" s="20">
        <f t="shared" si="4"/>
        <v>55.231238827136707</v>
      </c>
      <c r="AM16" s="59">
        <f t="shared" si="5"/>
        <v>348.56457216046999</v>
      </c>
      <c r="AN16" s="59">
        <f ca="1">AVERAGE(OFFSET($AM$3,0,0,'Données projet'!$E$10+1,1))-AVERAGE(OFFSET($H$3,0,0,'Données projet'!$E$10+1,1))</f>
        <v>277.73784710957608</v>
      </c>
      <c r="AO16" s="59">
        <f t="shared" si="36"/>
        <v>369.67177565548127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16.762184521553994</v>
      </c>
      <c r="BF16" s="13">
        <f t="shared" si="37"/>
        <v>5.5637883164619248</v>
      </c>
      <c r="BG16" s="20">
        <f t="shared" si="7"/>
        <v>38.884402692877721</v>
      </c>
      <c r="BH16" s="59">
        <f t="shared" si="8"/>
        <v>332.21773602621101</v>
      </c>
      <c r="BI16" s="59">
        <f ca="1">AVERAGE(OFFSET($BH$3,0,0,'Données projet'!$E$11+1,1))-AVERAGE(OFFSET($H$3,0,0,'Données projet'!$E$11+1,1))</f>
        <v>203.42120484957661</v>
      </c>
      <c r="BJ16" s="59">
        <f t="shared" si="38"/>
        <v>201.8090670543379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1">
        <f t="shared" si="32"/>
        <v>2.5447664431495727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67">
        <f t="shared" si="1"/>
        <v>309.81083488848549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342.51173498532353</v>
      </c>
      <c r="S17" s="59">
        <f ca="1">AVERAGE(OFFSET($R$3,0,0,'Données projet'!$E$9+1,1))-AVERAGE(OFFSET($H$3,0,0,'Données projet'!$E$9+1,1))</f>
        <v>282.62919832217119</v>
      </c>
      <c r="T17" s="59">
        <f t="shared" si="34"/>
        <v>248.89638559192258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10.16068376068376</v>
      </c>
      <c r="AI17" s="13">
        <f>IF('Données projet'!$A$62&gt;35,AI16+AH17-AQ16,IF(A17&lt;'Données projet'!$A$62,$AF$205^A17,IF(A17='Données projet'!$A$62,'Données projet'!$B$62,AI16+AH17-AQ16)))</f>
        <v>57.475841973982881</v>
      </c>
      <c r="AJ17" s="13">
        <f>AI17*VLOOKUP('Données projet'!$B$10,Paramètres!$A$1:$I$89,3,0)*VLOOKUP('Données projet'!$B$10,Paramètres!$A$1:$I$89,5,0)</f>
        <v>32.128995663456436</v>
      </c>
      <c r="AK17" s="13">
        <f t="shared" si="35"/>
        <v>9.8865868664217604</v>
      </c>
      <c r="AL17" s="20">
        <f t="shared" si="4"/>
        <v>73.177139572871184</v>
      </c>
      <c r="AM17" s="59">
        <f t="shared" si="5"/>
        <v>366.51047290620448</v>
      </c>
      <c r="AN17" s="59">
        <f ca="1">AVERAGE(OFFSET($AM$3,0,0,'Données projet'!$E$10+1,1))-AVERAGE(OFFSET($H$3,0,0,'Données projet'!$E$10+1,1))</f>
        <v>277.73784710957608</v>
      </c>
      <c r="AO17" s="59">
        <f t="shared" si="36"/>
        <v>369.67177565548127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21.324428399713909</v>
      </c>
      <c r="BF17" s="13">
        <f t="shared" si="37"/>
        <v>6.8825303376831179</v>
      </c>
      <c r="BG17" s="20">
        <f t="shared" si="7"/>
        <v>49.127119800966483</v>
      </c>
      <c r="BH17" s="59">
        <f t="shared" si="8"/>
        <v>342.46045313429977</v>
      </c>
      <c r="BI17" s="59">
        <f ca="1">AVERAGE(OFFSET($BH$3,0,0,'Données projet'!$E$11+1,1))-AVERAGE(OFFSET($H$3,0,0,'Données projet'!$E$11+1,1))</f>
        <v>203.42120484957661</v>
      </c>
      <c r="BJ17" s="59">
        <f t="shared" si="38"/>
        <v>201.8090670543379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1">
        <f t="shared" si="32"/>
        <v>2.7047269815583839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67">
        <f t="shared" si="1"/>
        <v>310.94981615954748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356.36562801666247</v>
      </c>
      <c r="S18" s="59">
        <f ca="1">AVERAGE(OFFSET($R$3,0,0,'Données projet'!$E$9+1,1))-AVERAGE(OFFSET($H$3,0,0,'Données projet'!$E$9+1,1))</f>
        <v>282.62919832217119</v>
      </c>
      <c r="T18" s="59">
        <f t="shared" si="34"/>
        <v>248.89638559192258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10.16068376068376</v>
      </c>
      <c r="AI18" s="13">
        <f>IF('Données projet'!$A$62&gt;35,AI17+AH18-AQ17,IF(A18&lt;'Données projet'!$A$62,$AF$205^A18,IF(A18='Données projet'!$A$62,'Données projet'!$B$62,AI17+AH18-AQ17)))</f>
        <v>76.764931457129379</v>
      </c>
      <c r="AJ18" s="13">
        <f>AI18*VLOOKUP('Données projet'!$B$10,Paramètres!$A$1:$I$89,3,0)*VLOOKUP('Données projet'!$B$10,Paramètres!$A$1:$I$89,5,0)</f>
        <v>42.911596684535326</v>
      </c>
      <c r="AK18" s="13">
        <f t="shared" si="35"/>
        <v>12.767181932785956</v>
      </c>
      <c r="AL18" s="20">
        <f t="shared" si="4"/>
        <v>96.97387275850123</v>
      </c>
      <c r="AM18" s="59">
        <f t="shared" si="5"/>
        <v>390.30720609183453</v>
      </c>
      <c r="AN18" s="59">
        <f ca="1">AVERAGE(OFFSET($AM$3,0,0,'Données projet'!$E$10+1,1))-AVERAGE(OFFSET($H$3,0,0,'Données projet'!$E$10+1,1))</f>
        <v>277.73784710957608</v>
      </c>
      <c r="AO18" s="59">
        <f t="shared" si="36"/>
        <v>369.67177565548127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27.128400000000003</v>
      </c>
      <c r="BF18" s="13">
        <f t="shared" si="37"/>
        <v>8.5138436537878839</v>
      </c>
      <c r="BG18" s="20">
        <f t="shared" si="7"/>
        <v>62.076907697013901</v>
      </c>
      <c r="BH18" s="59">
        <f t="shared" si="8"/>
        <v>355.41024103034721</v>
      </c>
      <c r="BI18" s="59">
        <f ca="1">AVERAGE(OFFSET($BH$3,0,0,'Données projet'!$E$11+1,1))-AVERAGE(OFFSET($H$3,0,0,'Données projet'!$E$11+1,1))</f>
        <v>203.42120484957661</v>
      </c>
      <c r="BJ18" s="59">
        <f t="shared" si="38"/>
        <v>201.8090670543379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1">
        <f t="shared" si="32"/>
        <v>2.863450062707606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67">
        <f t="shared" si="1"/>
        <v>312.08664219254905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374.13522393344454</v>
      </c>
      <c r="S19" s="59">
        <f ca="1">AVERAGE(OFFSET($R$3,0,0,'Données projet'!$E$9+1,1))-AVERAGE(OFFSET($H$3,0,0,'Données projet'!$E$9+1,1))</f>
        <v>282.62919832217119</v>
      </c>
      <c r="T19" s="59">
        <f t="shared" si="34"/>
        <v>248.89638559192258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10.16068376068376</v>
      </c>
      <c r="AI19" s="13">
        <f>IF('Données projet'!$A$62&gt;35,AI18+AH19-AQ18,IF(A19&lt;'Données projet'!$A$62,$AF$205^A19,IF(A19='Données projet'!$A$62,'Données projet'!$B$62,AI18+AH19-AQ18)))</f>
        <v>102.52750545673157</v>
      </c>
      <c r="AJ19" s="13">
        <f>AI19*VLOOKUP('Données projet'!$B$10,Paramètres!$A$1:$I$89,3,0)*VLOOKUP('Données projet'!$B$10,Paramètres!$A$1:$I$89,5,0)</f>
        <v>57.312875550312953</v>
      </c>
      <c r="AK19" s="13">
        <f t="shared" si="35"/>
        <v>16.487078574959277</v>
      </c>
      <c r="AL19" s="20">
        <f t="shared" si="4"/>
        <v>128.53492010151578</v>
      </c>
      <c r="AM19" s="59">
        <f t="shared" si="5"/>
        <v>421.86825343484907</v>
      </c>
      <c r="AN19" s="59">
        <f ca="1">AVERAGE(OFFSET($AM$3,0,0,'Données projet'!$E$10+1,1))-AVERAGE(OFFSET($H$3,0,0,'Données projet'!$E$10+1,1))</f>
        <v>277.73784710957608</v>
      </c>
      <c r="AO19" s="59">
        <f t="shared" si="36"/>
        <v>369.67177565548127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24.63552</v>
      </c>
      <c r="BF19" s="13">
        <f t="shared" si="37"/>
        <v>7.8187263384607988</v>
      </c>
      <c r="BG19" s="20">
        <f t="shared" si="7"/>
        <v>56.52447903948589</v>
      </c>
      <c r="BH19" s="59">
        <f t="shared" si="8"/>
        <v>349.85781237281918</v>
      </c>
      <c r="BI19" s="59">
        <f ca="1">AVERAGE(OFFSET($BH$3,0,0,'Données projet'!$E$11+1,1))-AVERAGE(OFFSET($H$3,0,0,'Données projet'!$E$11+1,1))</f>
        <v>203.42120484957661</v>
      </c>
      <c r="BJ19" s="59">
        <f t="shared" si="38"/>
        <v>201.8090670543379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1">
        <f t="shared" si="32"/>
        <v>3.0210218324899247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67">
        <f t="shared" si="1"/>
        <v>313.22146302491996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396.93065741732249</v>
      </c>
      <c r="S20" s="59">
        <f ca="1">AVERAGE(OFFSET($R$3,0,0,'Données projet'!$E$9+1,1))-AVERAGE(OFFSET($H$3,0,0,'Données projet'!$E$9+1,1))</f>
        <v>282.62919832217119</v>
      </c>
      <c r="T20" s="59">
        <f t="shared" si="34"/>
        <v>248.89638559192258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10.16068376068376</v>
      </c>
      <c r="AI20" s="13">
        <f>IF('Données projet'!$A$62&gt;35,AI19+AH20-AQ19,IF(A20&lt;'Données projet'!$A$62,$AF$205^A20,IF(A20='Données projet'!$A$62,'Données projet'!$B$62,AI19+AH20-AQ19)))</f>
        <v>136.93608755517039</v>
      </c>
      <c r="AJ20" s="13">
        <f>AI20*VLOOKUP('Données projet'!$B$10,Paramètres!$A$1:$I$89,3,0)*VLOOKUP('Données projet'!$B$10,Paramètres!$A$1:$I$89,5,0)</f>
        <v>76.547272943340246</v>
      </c>
      <c r="AK20" s="13">
        <f t="shared" si="35"/>
        <v>21.290819020824138</v>
      </c>
      <c r="AL20" s="20">
        <f t="shared" si="4"/>
        <v>170.40134350425296</v>
      </c>
      <c r="AM20" s="59">
        <f t="shared" si="5"/>
        <v>463.73467683758628</v>
      </c>
      <c r="AN20" s="59">
        <f ca="1">AVERAGE(OFFSET($AM$3,0,0,'Données projet'!$E$10+1,1))-AVERAGE(OFFSET($H$3,0,0,'Données projet'!$E$10+1,1))</f>
        <v>277.73784710957608</v>
      </c>
      <c r="AO20" s="59">
        <f t="shared" si="36"/>
        <v>369.67177565548127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33.140639999999998</v>
      </c>
      <c r="BF20" s="13">
        <f t="shared" si="37"/>
        <v>10.161152005886803</v>
      </c>
      <c r="BG20" s="20">
        <f t="shared" si="7"/>
        <v>75.417287743586172</v>
      </c>
      <c r="BH20" s="59">
        <f t="shared" si="8"/>
        <v>368.75062107691951</v>
      </c>
      <c r="BI20" s="59">
        <f ca="1">AVERAGE(OFFSET($BH$3,0,0,'Données projet'!$E$11+1,1))-AVERAGE(OFFSET($H$3,0,0,'Données projet'!$E$11+1,1))</f>
        <v>203.42120484957661</v>
      </c>
      <c r="BJ20" s="59">
        <f t="shared" si="38"/>
        <v>201.8090670543379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1">
        <f t="shared" si="32"/>
        <v>3.177517729464268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67">
        <f t="shared" si="1"/>
        <v>314.35441004548358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426.17767879021477</v>
      </c>
      <c r="S21" s="59">
        <f ca="1">AVERAGE(OFFSET($R$3,0,0,'Données projet'!$E$9+1,1))-AVERAGE(OFFSET($H$3,0,0,'Données projet'!$E$9+1,1))</f>
        <v>282.62919832217119</v>
      </c>
      <c r="T21" s="59">
        <f t="shared" si="34"/>
        <v>248.89638559192258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182.89230769230767</v>
      </c>
      <c r="AG21" s="12">
        <f>VLOOKUP(A21,'Données projet'!$A$61:$I$81,9,0)</f>
        <v>10.16068376068376</v>
      </c>
      <c r="AH21" s="12">
        <f t="array" ref="AH21">INDEX(AG:AG,MIN(IF(ISNUMBER(AG21:AG217),ROW(AG21:AG217),"")))</f>
        <v>10.16068376068376</v>
      </c>
      <c r="AI21" s="13">
        <f>IF('Données projet'!$A$62&gt;35,AI20+AH21-AQ20,IF(A21&lt;'Données projet'!$A$62,$AF$205^A21,IF(A21='Données projet'!$A$62,'Données projet'!$B$62,AI20+AH21-AQ20)))</f>
        <v>182.89230769230767</v>
      </c>
      <c r="AJ21" s="13">
        <f>AI21*VLOOKUP('Données projet'!$B$10,Paramètres!$A$1:$I$89,3,0)*VLOOKUP('Données projet'!$B$10,Paramètres!$A$1:$I$89,5,0)</f>
        <v>102.23679999999999</v>
      </c>
      <c r="AK21" s="13">
        <f t="shared" si="35"/>
        <v>27.494196289326943</v>
      </c>
      <c r="AL21" s="20">
        <f t="shared" si="4"/>
        <v>225.9481518705777</v>
      </c>
      <c r="AM21" s="59">
        <f t="shared" si="5"/>
        <v>519.28148520391096</v>
      </c>
      <c r="AN21" s="59">
        <f ca="1">AVERAGE(OFFSET($AM$3,0,0,'Données projet'!$E$10+1,1))-AVERAGE(OFFSET($H$3,0,0,'Données projet'!$E$10+1,1))</f>
        <v>277.73784710957608</v>
      </c>
      <c r="AO21" s="59">
        <f t="shared" si="36"/>
        <v>369.67177565548127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69.284615384615378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0.30800000000000005</v>
      </c>
      <c r="AT21" s="16">
        <f>IF(ISNA(VLOOKUP(A21,'Données projet'!$A$61:$I$81,7,0)),0%,VLOOKUP(A21,'Données projet'!$A$61:$I$81,7,0))</f>
        <v>0.44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15.762109241455983</v>
      </c>
      <c r="AW21" s="21">
        <f>EXP(-LN(2)/2)*AW20+(1-EXP(-LN(2)/2))/(LN(2)/2)*AQ21*AT21*VLOOKUP('Données projet'!$B$10,Paramètres!$A$1:$I$89,3,0)*0.475*44/12</f>
        <v>19.294646846829099</v>
      </c>
      <c r="AX21" s="21">
        <f t="shared" si="6"/>
        <v>35.056756088285084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41.645760000000003</v>
      </c>
      <c r="BF21" s="13">
        <f t="shared" si="37"/>
        <v>12.433826892120967</v>
      </c>
      <c r="BG21" s="20">
        <f t="shared" si="7"/>
        <v>94.18861383711068</v>
      </c>
      <c r="BH21" s="59">
        <f t="shared" si="8"/>
        <v>387.52194717044398</v>
      </c>
      <c r="BI21" s="59">
        <f ca="1">AVERAGE(OFFSET($BH$3,0,0,'Données projet'!$E$11+1,1))-AVERAGE(OFFSET($H$3,0,0,'Données projet'!$E$11+1,1))</f>
        <v>203.42120484957661</v>
      </c>
      <c r="BJ21" s="59">
        <f t="shared" si="38"/>
        <v>201.8090670543379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1">
        <f t="shared" si="32"/>
        <v>3.3330043367174276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67">
        <f t="shared" si="1"/>
        <v>315.48559921978284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463.70761417047311</v>
      </c>
      <c r="S22" s="59">
        <f ca="1">AVERAGE(OFFSET($R$3,0,0,'Données projet'!$E$9+1,1))-AVERAGE(OFFSET($H$3,0,0,'Données projet'!$E$9+1,1))</f>
        <v>282.62919832217119</v>
      </c>
      <c r="T22" s="59">
        <f t="shared" si="34"/>
        <v>248.89638559192258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20.658974358974358</v>
      </c>
      <c r="AI22" s="13">
        <f>IF('Données projet'!$A$62&gt;35,AI21+AH22-AQ21,IF(A22&lt;'Données projet'!$A$62,$AF$205^A22,IF(A22='Données projet'!$A$62,'Données projet'!$B$62,AI21+AH22-AQ21)))</f>
        <v>134.26666666666665</v>
      </c>
      <c r="AJ22" s="13">
        <f>AI22*VLOOKUP('Données projet'!$B$10,Paramètres!$A$1:$I$89,3,0)*VLOOKUP('Données projet'!$B$10,Paramètres!$A$1:$I$89,5,0)</f>
        <v>75.055066666666661</v>
      </c>
      <c r="AK22" s="13">
        <f t="shared" si="35"/>
        <v>20.923669242672773</v>
      </c>
      <c r="AL22" s="20">
        <f t="shared" si="4"/>
        <v>167.1629650420995</v>
      </c>
      <c r="AM22" s="59">
        <f t="shared" si="5"/>
        <v>460.49629837543284</v>
      </c>
      <c r="AN22" s="59">
        <f ca="1">AVERAGE(OFFSET($AM$3,0,0,'Données projet'!$E$10+1,1))-AVERAGE(OFFSET($H$3,0,0,'Données projet'!$E$10+1,1))</f>
        <v>277.73784710957608</v>
      </c>
      <c r="AO22" s="59">
        <f t="shared" si="36"/>
        <v>369.67177565548127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15.33109353535507</v>
      </c>
      <c r="AW22" s="21">
        <f>EXP(-LN(2)/2)*AW21+(1-EXP(-LN(2)/2))/(LN(2)/2)*AQ22*AT22*VLOOKUP('Données projet'!$B$10,Paramètres!$A$1:$I$89,3,0)*0.475*44/12</f>
        <v>13.643375625992494</v>
      </c>
      <c r="AX22" s="21">
        <f t="shared" si="6"/>
        <v>28.974469161347564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50.150880000000008</v>
      </c>
      <c r="BF22" s="13">
        <f t="shared" si="37"/>
        <v>14.652718245804536</v>
      </c>
      <c r="BG22" s="20">
        <f t="shared" si="7"/>
        <v>112.86626694477626</v>
      </c>
      <c r="BH22" s="59">
        <f t="shared" si="8"/>
        <v>406.19960027810959</v>
      </c>
      <c r="BI22" s="59">
        <f ca="1">AVERAGE(OFFSET($BH$3,0,0,'Données projet'!$E$11+1,1))-AVERAGE(OFFSET($H$3,0,0,'Données projet'!$E$11+1,1))</f>
        <v>203.42120484957661</v>
      </c>
      <c r="BJ22" s="59">
        <f t="shared" si="38"/>
        <v>201.8090670543379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1">
        <f t="shared" si="32"/>
        <v>3.4875408327380875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67">
        <f t="shared" si="1"/>
        <v>316.61513361701884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423.57293470145942</v>
      </c>
      <c r="S23" s="59">
        <f ca="1">AVERAGE(OFFSET($R$3,0,0,'Données projet'!$E$9+1,1))-AVERAGE(OFFSET($H$3,0,0,'Données projet'!$E$9+1,1))</f>
        <v>282.62919832217119</v>
      </c>
      <c r="T23" s="59">
        <f t="shared" si="34"/>
        <v>248.89638559192258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20.658974358974358</v>
      </c>
      <c r="AI23" s="13">
        <f>IF('Données projet'!$A$62&gt;35,AI22+AH23-AQ22,IF(A23&lt;'Données projet'!$A$62,$AF$205^A23,IF(A23='Données projet'!$A$62,'Données projet'!$B$62,AI22+AH23-AQ22)))</f>
        <v>154.925641025641</v>
      </c>
      <c r="AJ23" s="13">
        <f>AI23*VLOOKUP('Données projet'!$B$10,Paramètres!$A$1:$I$89,3,0)*VLOOKUP('Données projet'!$B$10,Paramètres!$A$1:$I$89,5,0)</f>
        <v>86.603433333333314</v>
      </c>
      <c r="AK23" s="13">
        <f t="shared" si="35"/>
        <v>23.744229853900279</v>
      </c>
      <c r="AL23" s="20">
        <f t="shared" si="4"/>
        <v>192.18884671776516</v>
      </c>
      <c r="AM23" s="59">
        <f t="shared" si="5"/>
        <v>485.52218005109847</v>
      </c>
      <c r="AN23" s="59">
        <f ca="1">AVERAGE(OFFSET($AM$3,0,0,'Données projet'!$E$10+1,1))-AVERAGE(OFFSET($H$3,0,0,'Données projet'!$E$10+1,1))</f>
        <v>277.73784710957608</v>
      </c>
      <c r="AO23" s="59">
        <f t="shared" si="36"/>
        <v>369.67177565548127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14.911863976403616</v>
      </c>
      <c r="AW23" s="21">
        <f>EXP(-LN(2)/2)*AW22+(1-EXP(-LN(2)/2))/(LN(2)/2)*AQ23*AT23*VLOOKUP('Données projet'!$B$10,Paramètres!$A$1:$I$89,3,0)*0.475*44/12</f>
        <v>9.6473234234145515</v>
      </c>
      <c r="AX23" s="21">
        <f t="shared" si="6"/>
        <v>24.559187399818168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58.655999999999992</v>
      </c>
      <c r="BF23" s="13">
        <f t="shared" si="37"/>
        <v>16.828016909929062</v>
      </c>
      <c r="BG23" s="20">
        <f t="shared" si="7"/>
        <v>131.46799611812642</v>
      </c>
      <c r="BH23" s="59">
        <f t="shared" si="8"/>
        <v>424.80132945145976</v>
      </c>
      <c r="BI23" s="59">
        <f ca="1">AVERAGE(OFFSET($BH$3,0,0,'Données projet'!$E$11+1,1))-AVERAGE(OFFSET($H$3,0,0,'Données projet'!$E$11+1,1))</f>
        <v>203.42120484957661</v>
      </c>
      <c r="BJ23" s="59">
        <f t="shared" si="38"/>
        <v>201.8090670543379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1">
        <f t="shared" si="32"/>
        <v>3.6411801438697711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67">
        <f t="shared" si="1"/>
        <v>317.7431054172398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444.03769910908363</v>
      </c>
      <c r="S24" s="59">
        <f ca="1">AVERAGE(OFFSET($R$3,0,0,'Données projet'!$E$9+1,1))-AVERAGE(OFFSET($H$3,0,0,'Données projet'!$E$9+1,1))</f>
        <v>282.62919832217119</v>
      </c>
      <c r="T24" s="59">
        <f t="shared" si="34"/>
        <v>248.89638559192258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20.658974358974358</v>
      </c>
      <c r="AI24" s="13">
        <f>IF('Données projet'!$A$62&gt;35,AI23+AH24-AQ23,IF(A24&lt;'Données projet'!$A$62,$AF$205^A24,IF(A24='Données projet'!$A$62,'Données projet'!$B$62,AI23+AH24-AQ23)))</f>
        <v>175.58461538461535</v>
      </c>
      <c r="AJ24" s="13">
        <f>AI24*VLOOKUP('Données projet'!$B$10,Paramètres!$A$1:$I$89,3,0)*VLOOKUP('Données projet'!$B$10,Paramètres!$A$1:$I$89,5,0)</f>
        <v>98.15179999999998</v>
      </c>
      <c r="AK24" s="13">
        <f t="shared" si="35"/>
        <v>26.52121247620833</v>
      </c>
      <c r="AL24" s="20">
        <f t="shared" si="4"/>
        <v>217.13883006272945</v>
      </c>
      <c r="AM24" s="59">
        <f t="shared" si="5"/>
        <v>510.4721633960628</v>
      </c>
      <c r="AN24" s="59">
        <f ca="1">AVERAGE(OFFSET($AM$3,0,0,'Données projet'!$E$10+1,1))-AVERAGE(OFFSET($H$3,0,0,'Données projet'!$E$10+1,1))</f>
        <v>277.73784710957608</v>
      </c>
      <c r="AO24" s="59">
        <f t="shared" si="36"/>
        <v>369.67177565548127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14.504098271788013</v>
      </c>
      <c r="AW24" s="21">
        <f>EXP(-LN(2)/2)*AW23+(1-EXP(-LN(2)/2))/(LN(2)/2)*AQ24*AT24*VLOOKUP('Données projet'!$B$10,Paramètres!$A$1:$I$89,3,0)*0.475*44/12</f>
        <v>6.8216878129962479</v>
      </c>
      <c r="AX24" s="21">
        <f t="shared" si="6"/>
        <v>21.325786084784262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47.364719999999991</v>
      </c>
      <c r="BF24" s="13">
        <f t="shared" si="37"/>
        <v>13.931057351916726</v>
      </c>
      <c r="BG24" s="20">
        <f t="shared" si="7"/>
        <v>106.75681222125495</v>
      </c>
      <c r="BH24" s="59">
        <f t="shared" si="8"/>
        <v>400.09014555458828</v>
      </c>
      <c r="BI24" s="59">
        <f ca="1">AVERAGE(OFFSET($BH$3,0,0,'Données projet'!$E$11+1,1))-AVERAGE(OFFSET($H$3,0,0,'Données projet'!$E$11+1,1))</f>
        <v>203.42120484957661</v>
      </c>
      <c r="BJ24" s="59">
        <f t="shared" si="38"/>
        <v>201.8090670543379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1">
        <f t="shared" si="32"/>
        <v>3.7939698710293386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67">
        <f t="shared" si="1"/>
        <v>318.86959752537609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464.43616743233019</v>
      </c>
      <c r="S25" s="59">
        <f ca="1">AVERAGE(OFFSET($R$3,0,0,'Données projet'!$E$9+1,1))-AVERAGE(OFFSET($H$3,0,0,'Données projet'!$E$9+1,1))</f>
        <v>282.62919832217119</v>
      </c>
      <c r="T25" s="59">
        <f t="shared" si="34"/>
        <v>248.89638559192258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20.658974358974358</v>
      </c>
      <c r="AI25" s="13">
        <f>IF('Données projet'!$A$62&gt;35,AI24+AH25-AQ24,IF(A25&lt;'Données projet'!$A$62,$AF$205^A25,IF(A25='Données projet'!$A$62,'Données projet'!$B$62,AI24+AH25-AQ24)))</f>
        <v>196.24358974358969</v>
      </c>
      <c r="AJ25" s="13">
        <f>AI25*VLOOKUP('Données projet'!$B$10,Paramètres!$A$1:$I$89,3,0)*VLOOKUP('Données projet'!$B$10,Paramètres!$A$1:$I$89,5,0)</f>
        <v>109.70016666666663</v>
      </c>
      <c r="AK25" s="13">
        <f t="shared" si="35"/>
        <v>29.260330282475415</v>
      </c>
      <c r="AL25" s="20">
        <f t="shared" si="4"/>
        <v>242.02286551975575</v>
      </c>
      <c r="AM25" s="59">
        <f t="shared" si="5"/>
        <v>535.35619885308904</v>
      </c>
      <c r="AN25" s="59">
        <f ca="1">AVERAGE(OFFSET($AM$3,0,0,'Données projet'!$E$10+1,1))-AVERAGE(OFFSET($H$3,0,0,'Données projet'!$E$10+1,1))</f>
        <v>277.73784710957608</v>
      </c>
      <c r="AO25" s="59">
        <f t="shared" si="36"/>
        <v>369.67177565548127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14.107482941808591</v>
      </c>
      <c r="AW25" s="21">
        <f>EXP(-LN(2)/2)*AW24+(1-EXP(-LN(2)/2))/(LN(2)/2)*AQ25*AT25*VLOOKUP('Données projet'!$B$10,Paramètres!$A$1:$I$89,3,0)*0.475*44/12</f>
        <v>4.8236617117072758</v>
      </c>
      <c r="AX25" s="21">
        <f t="shared" si="6"/>
        <v>18.931144653515865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56.603039999999986</v>
      </c>
      <c r="BF25" s="13">
        <f t="shared" si="37"/>
        <v>16.306519487923971</v>
      </c>
      <c r="BG25" s="20">
        <f t="shared" si="7"/>
        <v>126.98414944146755</v>
      </c>
      <c r="BH25" s="59">
        <f t="shared" si="8"/>
        <v>420.31748277480085</v>
      </c>
      <c r="BI25" s="59">
        <f ca="1">AVERAGE(OFFSET($BH$3,0,0,'Données projet'!$E$11+1,1))-AVERAGE(OFFSET($H$3,0,0,'Données projet'!$E$11+1,1))</f>
        <v>203.42120484957661</v>
      </c>
      <c r="BJ25" s="59">
        <f t="shared" si="38"/>
        <v>201.8090670543379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1">
        <f t="shared" si="32"/>
        <v>3.945953043168259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67">
        <f t="shared" si="1"/>
        <v>319.994684883518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484.77736319864221</v>
      </c>
      <c r="S26" s="59">
        <f ca="1">AVERAGE(OFFSET($R$3,0,0,'Données projet'!$E$9+1,1))-AVERAGE(OFFSET($H$3,0,0,'Données projet'!$E$9+1,1))</f>
        <v>282.62919832217119</v>
      </c>
      <c r="T26" s="59">
        <f t="shared" si="34"/>
        <v>248.89638559192258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20.658974358974358</v>
      </c>
      <c r="AI26" s="13">
        <f>IF('Données projet'!$A$62&gt;35,AI25+AH26-AQ25,IF(A26&lt;'Données projet'!$A$62,$AF$205^A26,IF(A26='Données projet'!$A$62,'Données projet'!$B$62,AI25+AH26-AQ25)))</f>
        <v>216.90256410256404</v>
      </c>
      <c r="AJ26" s="13">
        <f>AI26*VLOOKUP('Données projet'!$B$10,Paramètres!$A$1:$I$89,3,0)*VLOOKUP('Données projet'!$B$10,Paramètres!$A$1:$I$89,5,0)</f>
        <v>121.2485333333333</v>
      </c>
      <c r="AK26" s="13">
        <f t="shared" si="35"/>
        <v>31.966023537079113</v>
      </c>
      <c r="AL26" s="20">
        <f t="shared" si="4"/>
        <v>266.84868654930165</v>
      </c>
      <c r="AM26" s="59">
        <f t="shared" si="5"/>
        <v>560.1820198826349</v>
      </c>
      <c r="AN26" s="59">
        <f ca="1">AVERAGE(OFFSET($AM$3,0,0,'Données projet'!$E$10+1,1))-AVERAGE(OFFSET($H$3,0,0,'Données projet'!$E$10+1,1))</f>
        <v>277.73784710957608</v>
      </c>
      <c r="AO26" s="59">
        <f t="shared" si="36"/>
        <v>369.67177565548127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13.72171307888455</v>
      </c>
      <c r="AW26" s="21">
        <f>EXP(-LN(2)/2)*AW25+(1-EXP(-LN(2)/2))/(LN(2)/2)*AQ26*AT26*VLOOKUP('Données projet'!$B$10,Paramètres!$A$1:$I$89,3,0)*0.475*44/12</f>
        <v>3.410843906498124</v>
      </c>
      <c r="AX26" s="21">
        <f t="shared" si="6"/>
        <v>17.132556985382674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65.84135999999998</v>
      </c>
      <c r="BF26" s="13">
        <f t="shared" si="37"/>
        <v>18.637068365902625</v>
      </c>
      <c r="BG26" s="20">
        <f t="shared" si="7"/>
        <v>147.13326273728035</v>
      </c>
      <c r="BH26" s="59">
        <f t="shared" si="8"/>
        <v>440.46659607061366</v>
      </c>
      <c r="BI26" s="59">
        <f ca="1">AVERAGE(OFFSET($BH$3,0,0,'Données projet'!$E$11+1,1))-AVERAGE(OFFSET($H$3,0,0,'Données projet'!$E$11+1,1))</f>
        <v>203.42120484957661</v>
      </c>
      <c r="BJ26" s="59">
        <f t="shared" si="38"/>
        <v>201.8090670543379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1">
        <f t="shared" si="32"/>
        <v>4.0971687359996993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67">
        <f t="shared" si="1"/>
        <v>321.11843554853277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505.06823078019431</v>
      </c>
      <c r="S27" s="59">
        <f ca="1">AVERAGE(OFFSET($R$3,0,0,'Données projet'!$E$9+1,1))-AVERAGE(OFFSET($H$3,0,0,'Données projet'!$E$9+1,1))</f>
        <v>282.62919832217119</v>
      </c>
      <c r="T27" s="59">
        <f t="shared" si="34"/>
        <v>248.89638559192258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237.56153846153845</v>
      </c>
      <c r="AG27" s="12">
        <f>VLOOKUP(A27,'Données projet'!$A$61:$I$81,9,0)</f>
        <v>20.658974358974358</v>
      </c>
      <c r="AH27" s="12">
        <f t="array" ref="AH27">INDEX(AG:AG,MIN(IF(ISNUMBER(AG27:AG223),ROW(AG27:AG223),"")))</f>
        <v>20.658974358974358</v>
      </c>
      <c r="AI27" s="13">
        <f>IF('Données projet'!$A$62&gt;35,AI26+AH27-AQ26,IF(A27&lt;'Données projet'!$A$62,$AF$205^A27,IF(A27='Données projet'!$A$62,'Données projet'!$B$62,AI26+AH27-AQ26)))</f>
        <v>237.56153846153839</v>
      </c>
      <c r="AJ27" s="13">
        <f>AI27*VLOOKUP('Données projet'!$B$10,Paramètres!$A$1:$I$89,3,0)*VLOOKUP('Données projet'!$B$10,Paramètres!$A$1:$I$89,5,0)</f>
        <v>132.79689999999997</v>
      </c>
      <c r="AK27" s="13">
        <f t="shared" si="35"/>
        <v>34.641837967861036</v>
      </c>
      <c r="AL27" s="20">
        <f t="shared" si="4"/>
        <v>291.62246862735793</v>
      </c>
      <c r="AM27" s="59">
        <f t="shared" si="5"/>
        <v>584.95580196069125</v>
      </c>
      <c r="AN27" s="59">
        <f ca="1">AVERAGE(OFFSET($AM$3,0,0,'Données projet'!$E$10+1,1))-AVERAGE(OFFSET($H$3,0,0,'Données projet'!$E$10+1,1))</f>
        <v>277.73784710957608</v>
      </c>
      <c r="AO27" s="59">
        <f t="shared" si="36"/>
        <v>369.67177565548127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42.661538461538463</v>
      </c>
      <c r="AR27" s="16">
        <f>IF(ISNA(VLOOKUP(A27,'Données projet'!$A$61:$I$81,5,0)),0%,VLOOKUP(A27,'Données projet'!$A$61:$I$81,5,0)*VLOOKUP('Données projet'!$B$10,Paramètres!$A$1:$I$89,7,0))</f>
        <v>0.38500000000000001</v>
      </c>
      <c r="AS27" s="16">
        <f>IF(ISNA(VLOOKUP(A27,'Données projet'!$A$61:$I$81,6,0)),0%,VLOOKUP(A27,'Données projet'!$A$61:$I$81,6,0)*VLOOKUP('Données projet'!$B$10,Paramètres!$A$1:$I$89,7,0))</f>
        <v>9.240000000000001E-2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12.179722870865961</v>
      </c>
      <c r="AV27" s="21">
        <f>EXP(-LN(2)/25)*AV26+(1-EXP(-LN(2)/25))/(LN(2)/25)*Calculateur!AQ27*Calculateur!AS27*VLOOKUP('Données projet'!$B$10,Paramètres!$A$1:$I$89,3,0)*0.475*44/12</f>
        <v>16.25811611180935</v>
      </c>
      <c r="AW27" s="21">
        <f>EXP(-LN(2)/2)*AW26+(1-EXP(-LN(2)/2))/(LN(2)/2)*AQ27*AT27*VLOOKUP('Données projet'!$B$10,Paramètres!$A$1:$I$89,3,0)*0.475*44/12</f>
        <v>5.9759957746672558</v>
      </c>
      <c r="AX27" s="21">
        <f t="shared" si="6"/>
        <v>34.413834757342563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75.079679999999982</v>
      </c>
      <c r="BF27" s="13">
        <f t="shared" si="37"/>
        <v>20.929732076759169</v>
      </c>
      <c r="BG27" s="20">
        <f t="shared" si="7"/>
        <v>167.2163927003555</v>
      </c>
      <c r="BH27" s="59">
        <f t="shared" si="8"/>
        <v>460.54972603368878</v>
      </c>
      <c r="BI27" s="59">
        <f ca="1">AVERAGE(OFFSET($BH$3,0,0,'Données projet'!$E$11+1,1))-AVERAGE(OFFSET($H$3,0,0,'Données projet'!$E$11+1,1))</f>
        <v>203.42120484957661</v>
      </c>
      <c r="BJ27" s="59">
        <f t="shared" si="38"/>
        <v>201.8090670543379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1">
        <f t="shared" si="32"/>
        <v>4.2476525846986481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67">
        <f t="shared" si="1"/>
        <v>322.24091158501676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473.51875769401289</v>
      </c>
      <c r="S28" s="59">
        <f ca="1">AVERAGE(OFFSET($R$3,0,0,'Données projet'!$E$9+1,1))-AVERAGE(OFFSET($H$3,0,0,'Données projet'!$E$9+1,1))</f>
        <v>282.62919832217119</v>
      </c>
      <c r="T28" s="59">
        <f t="shared" si="34"/>
        <v>248.89638559192258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22.828205128205127</v>
      </c>
      <c r="AI28" s="13">
        <f>IF('Données projet'!$A$62&gt;35,AI27+AH28-AQ27,IF(A28&lt;'Données projet'!$A$62,$AF$205^A28,IF(A28='Données projet'!$A$62,'Données projet'!$B$62,AI27+AH28-AQ27)))</f>
        <v>217.72820512820502</v>
      </c>
      <c r="AJ28" s="13">
        <f>AI28*VLOOKUP('Données projet'!$B$10,Paramètres!$A$1:$I$89,3,0)*VLOOKUP('Données projet'!$B$10,Paramètres!$A$1:$I$89,5,0)</f>
        <v>121.71006666666661</v>
      </c>
      <c r="AK28" s="13">
        <f t="shared" si="35"/>
        <v>32.073515207801002</v>
      </c>
      <c r="AL28" s="20">
        <f t="shared" si="4"/>
        <v>267.83973843136442</v>
      </c>
      <c r="AM28" s="59">
        <f t="shared" si="5"/>
        <v>561.17307176469774</v>
      </c>
      <c r="AN28" s="59">
        <f ca="1">AVERAGE(OFFSET($AM$3,0,0,'Données projet'!$E$10+1,1))-AVERAGE(OFFSET($H$3,0,0,'Données projet'!$E$10+1,1))</f>
        <v>277.73784710957608</v>
      </c>
      <c r="AO28" s="59">
        <f t="shared" si="36"/>
        <v>369.67177565548127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11.940885934265687</v>
      </c>
      <c r="AV28" s="21">
        <f>EXP(-LN(2)/25)*AV27+(1-EXP(-LN(2)/25))/(LN(2)/25)*Calculateur!AQ28*Calculateur!AS28*VLOOKUP('Données projet'!$B$10,Paramètres!$A$1:$I$89,3,0)*0.475*44/12</f>
        <v>15.813537071754755</v>
      </c>
      <c r="AW28" s="21">
        <f>EXP(-LN(2)/2)*AW27+(1-EXP(-LN(2)/2))/(LN(2)/2)*AQ28*AT28*VLOOKUP('Données projet'!$B$10,Paramètres!$A$1:$I$89,3,0)*0.475*44/12</f>
        <v>4.2256671366093723</v>
      </c>
      <c r="AX28" s="21">
        <f t="shared" si="6"/>
        <v>31.980090142629813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84.317999999999969</v>
      </c>
      <c r="BF28" s="13">
        <f t="shared" si="37"/>
        <v>23.189705803157239</v>
      </c>
      <c r="BG28" s="20">
        <f t="shared" si="7"/>
        <v>187.24258760716546</v>
      </c>
      <c r="BH28" s="59">
        <f t="shared" si="8"/>
        <v>480.5759209404988</v>
      </c>
      <c r="BI28" s="59">
        <f ca="1">AVERAGE(OFFSET($BH$3,0,0,'Données projet'!$E$11+1,1))-AVERAGE(OFFSET($H$3,0,0,'Données projet'!$E$11+1,1))</f>
        <v>203.42120484957661</v>
      </c>
      <c r="BJ28" s="59">
        <f t="shared" si="38"/>
        <v>201.8090670543379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3.0100000000000002E-2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0.68042574185438831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0.68042574185438831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1">
        <f t="shared" si="32"/>
        <v>4.3974372122609191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67">
        <f t="shared" si="1"/>
        <v>323.36216981135442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494.25100923194668</v>
      </c>
      <c r="S29" s="59">
        <f ca="1">AVERAGE(OFFSET($R$3,0,0,'Données projet'!$E$9+1,1))-AVERAGE(OFFSET($H$3,0,0,'Données projet'!$E$9+1,1))</f>
        <v>282.62919832217119</v>
      </c>
      <c r="T29" s="59">
        <f t="shared" si="34"/>
        <v>248.89638559192258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22.828205128205127</v>
      </c>
      <c r="AI29" s="13">
        <f>IF('Données projet'!$A$62&gt;35,AI28+AH29-AQ28,IF(A29&lt;'Données projet'!$A$62,$AF$205^A29,IF(A29='Données projet'!$A$62,'Données projet'!$B$62,AI28+AH29-AQ28)))</f>
        <v>240.55641025641015</v>
      </c>
      <c r="AJ29" s="13">
        <f>AI29*VLOOKUP('Données projet'!$B$10,Paramètres!$A$1:$I$89,3,0)*VLOOKUP('Données projet'!$B$10,Paramètres!$A$1:$I$89,5,0)</f>
        <v>134.47103333333328</v>
      </c>
      <c r="AK29" s="13">
        <f t="shared" si="35"/>
        <v>35.027441907439481</v>
      </c>
      <c r="AL29" s="20">
        <f t="shared" si="4"/>
        <v>295.20984437767919</v>
      </c>
      <c r="AM29" s="59">
        <f t="shared" si="5"/>
        <v>588.5431777110125</v>
      </c>
      <c r="AN29" s="59">
        <f ca="1">AVERAGE(OFFSET($AM$3,0,0,'Données projet'!$E$10+1,1))-AVERAGE(OFFSET($H$3,0,0,'Données projet'!$E$10+1,1))</f>
        <v>277.73784710957608</v>
      </c>
      <c r="AO29" s="59">
        <f t="shared" si="36"/>
        <v>369.67177565548127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11.706732444315998</v>
      </c>
      <c r="AV29" s="21">
        <f>EXP(-LN(2)/25)*AV28+(1-EXP(-LN(2)/25))/(LN(2)/25)*Calculateur!AQ29*Calculateur!AS29*VLOOKUP('Données projet'!$B$10,Paramètres!$A$1:$I$89,3,0)*0.475*44/12</f>
        <v>15.38111506892985</v>
      </c>
      <c r="AW29" s="21">
        <f>EXP(-LN(2)/2)*AW28+(1-EXP(-LN(2)/2))/(LN(2)/2)*AQ29*AT29*VLOOKUP('Données projet'!$B$10,Paramètres!$A$1:$I$89,3,0)*0.475*44/12</f>
        <v>2.9879978873336284</v>
      </c>
      <c r="AX29" s="21">
        <f t="shared" si="6"/>
        <v>30.075845400579475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72.440159999999977</v>
      </c>
      <c r="BF29" s="13">
        <f t="shared" si="37"/>
        <v>20.27822154299642</v>
      </c>
      <c r="BG29" s="20">
        <f t="shared" si="7"/>
        <v>161.4845145207187</v>
      </c>
      <c r="BH29" s="59">
        <f t="shared" si="8"/>
        <v>454.81784785405205</v>
      </c>
      <c r="BI29" s="59">
        <f ca="1">AVERAGE(OFFSET($BH$3,0,0,'Données projet'!$E$11+1,1))-AVERAGE(OFFSET($H$3,0,0,'Données projet'!$E$11+1,1))</f>
        <v>203.42120484957661</v>
      </c>
      <c r="BJ29" s="59">
        <f t="shared" si="38"/>
        <v>201.8090670543379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0.66181946416134541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0.66181946416134541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1">
        <f t="shared" si="32"/>
        <v>4.5465525901071517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67">
        <f t="shared" si="1"/>
        <v>324.48226242776991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514.93368285721635</v>
      </c>
      <c r="S30" s="59">
        <f ca="1">AVERAGE(OFFSET($R$3,0,0,'Données projet'!$E$9+1,1))-AVERAGE(OFFSET($H$3,0,0,'Données projet'!$E$9+1,1))</f>
        <v>282.62919832217119</v>
      </c>
      <c r="T30" s="59">
        <f t="shared" si="34"/>
        <v>248.89638559192258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22.828205128205127</v>
      </c>
      <c r="AI30" s="13">
        <f>IF('Données projet'!$A$62&gt;35,AI29+AH30-AQ29,IF(A30&lt;'Données projet'!$A$62,$AF$205^A30,IF(A30='Données projet'!$A$62,'Données projet'!$B$62,AI29+AH30-AQ29)))</f>
        <v>263.38461538461524</v>
      </c>
      <c r="AJ30" s="13">
        <f>AI30*VLOOKUP('Données projet'!$B$10,Paramètres!$A$1:$I$89,3,0)*VLOOKUP('Données projet'!$B$10,Paramètres!$A$1:$I$89,5,0)</f>
        <v>147.23199999999994</v>
      </c>
      <c r="AK30" s="13">
        <f t="shared" si="35"/>
        <v>37.948867426510738</v>
      </c>
      <c r="AL30" s="20">
        <f t="shared" si="4"/>
        <v>322.52334410117277</v>
      </c>
      <c r="AM30" s="59">
        <f t="shared" si="5"/>
        <v>615.85667743450608</v>
      </c>
      <c r="AN30" s="59">
        <f ca="1">AVERAGE(OFFSET($AM$3,0,0,'Données projet'!$E$10+1,1))-AVERAGE(OFFSET($H$3,0,0,'Données projet'!$E$10+1,1))</f>
        <v>277.73784710957608</v>
      </c>
      <c r="AO30" s="59">
        <f t="shared" si="36"/>
        <v>369.67177565548127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11.477170561484696</v>
      </c>
      <c r="AV30" s="21">
        <f>EXP(-LN(2)/25)*AV29+(1-EXP(-LN(2)/25))/(LN(2)/25)*Calculateur!AQ30*Calculateur!AS30*VLOOKUP('Données projet'!$B$10,Paramètres!$A$1:$I$89,3,0)*0.475*44/12</f>
        <v>14.960517668512276</v>
      </c>
      <c r="AW30" s="21">
        <f>EXP(-LN(2)/2)*AW29+(1-EXP(-LN(2)/2))/(LN(2)/2)*AQ30*AT30*VLOOKUP('Données projet'!$B$10,Paramètres!$A$1:$I$89,3,0)*0.475*44/12</f>
        <v>2.1128335683046862</v>
      </c>
      <c r="AX30" s="21">
        <f t="shared" si="6"/>
        <v>28.550521798301659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81.091919999999973</v>
      </c>
      <c r="BF30" s="13">
        <f t="shared" si="37"/>
        <v>22.40395323325189</v>
      </c>
      <c r="BG30" s="20">
        <f t="shared" si="7"/>
        <v>180.25531254791363</v>
      </c>
      <c r="BH30" s="59">
        <f t="shared" si="8"/>
        <v>473.58864588124698</v>
      </c>
      <c r="BI30" s="59">
        <f ca="1">AVERAGE(OFFSET($BH$3,0,0,'Données projet'!$E$11+1,1))-AVERAGE(OFFSET($H$3,0,0,'Données projet'!$E$11+1,1))</f>
        <v>203.42120484957661</v>
      </c>
      <c r="BJ30" s="59">
        <f t="shared" si="38"/>
        <v>201.8090670543379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0.64372197611028037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0.64372197611028037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1">
        <f t="shared" si="32"/>
        <v>4.6950263437621773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67">
        <f t="shared" si="1"/>
        <v>325.6012375487191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535.5720570383387</v>
      </c>
      <c r="S31" s="59">
        <f ca="1">AVERAGE(OFFSET($R$3,0,0,'Données projet'!$E$9+1,1))-AVERAGE(OFFSET($H$3,0,0,'Données projet'!$E$9+1,1))</f>
        <v>282.62919832217119</v>
      </c>
      <c r="T31" s="59">
        <f t="shared" si="34"/>
        <v>248.89638559192258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22.828205128205127</v>
      </c>
      <c r="AI31" s="13">
        <f>IF('Données projet'!$A$62&gt;35,AI30+AH31-AQ30,IF(A31&lt;'Données projet'!$A$62,$AF$205^A31,IF(A31='Données projet'!$A$62,'Données projet'!$B$62,AI30+AH31-AQ30)))</f>
        <v>286.21282051282037</v>
      </c>
      <c r="AJ31" s="13">
        <f>AI31*VLOOKUP('Données projet'!$B$10,Paramètres!$A$1:$I$89,3,0)*VLOOKUP('Données projet'!$B$10,Paramètres!$A$1:$I$89,5,0)</f>
        <v>159.99296666666658</v>
      </c>
      <c r="AK31" s="13">
        <f t="shared" si="35"/>
        <v>40.840929014671453</v>
      </c>
      <c r="AL31" s="20">
        <f t="shared" si="4"/>
        <v>349.785701644997</v>
      </c>
      <c r="AM31" s="59">
        <f t="shared" si="5"/>
        <v>643.11903497833032</v>
      </c>
      <c r="AN31" s="59">
        <f ca="1">AVERAGE(OFFSET($AM$3,0,0,'Données projet'!$E$10+1,1))-AVERAGE(OFFSET($H$3,0,0,'Données projet'!$E$10+1,1))</f>
        <v>277.73784710957608</v>
      </c>
      <c r="AO31" s="59">
        <f t="shared" si="36"/>
        <v>369.67177565548127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11.252110247156793</v>
      </c>
      <c r="AV31" s="21">
        <f>EXP(-LN(2)/25)*AV30+(1-EXP(-LN(2)/25))/(LN(2)/25)*Calculateur!AQ31*Calculateur!AS31*VLOOKUP('Données projet'!$B$10,Paramètres!$A$1:$I$89,3,0)*0.475*44/12</f>
        <v>14.551421526127376</v>
      </c>
      <c r="AW31" s="21">
        <f>EXP(-LN(2)/2)*AW30+(1-EXP(-LN(2)/2))/(LN(2)/2)*AQ31*AT31*VLOOKUP('Données projet'!$B$10,Paramètres!$A$1:$I$89,3,0)*0.475*44/12</f>
        <v>1.4939989436668142</v>
      </c>
      <c r="AX31" s="21">
        <f t="shared" si="6"/>
        <v>27.297530716950984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89.743679999999969</v>
      </c>
      <c r="BF31" s="13">
        <f t="shared" si="37"/>
        <v>24.503396524614622</v>
      </c>
      <c r="BG31" s="20">
        <f t="shared" si="7"/>
        <v>198.98032494703705</v>
      </c>
      <c r="BH31" s="59">
        <f t="shared" si="8"/>
        <v>492.31365828037036</v>
      </c>
      <c r="BI31" s="59">
        <f ca="1">AVERAGE(OFFSET($BH$3,0,0,'Données projet'!$E$11+1,1))-AVERAGE(OFFSET($H$3,0,0,'Données projet'!$E$11+1,1))</f>
        <v>203.42120484957661</v>
      </c>
      <c r="BJ31" s="59">
        <f t="shared" si="38"/>
        <v>201.8090670543379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0.62611936482167729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0.62611936482167729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1">
        <f t="shared" si="32"/>
        <v>4.8428840136387867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67">
        <f t="shared" si="1"/>
        <v>326.71913965708751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556.17043645971171</v>
      </c>
      <c r="S32" s="59">
        <f ca="1">AVERAGE(OFFSET($R$3,0,0,'Données projet'!$E$9+1,1))-AVERAGE(OFFSET($H$3,0,0,'Données projet'!$E$9+1,1))</f>
        <v>282.62919832217119</v>
      </c>
      <c r="T32" s="59">
        <f t="shared" si="34"/>
        <v>248.89638559192258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22.828205128205127</v>
      </c>
      <c r="AI32" s="13">
        <f>IF('Données projet'!$A$62&gt;35,AI31+AH32-AQ31,IF(A32&lt;'Données projet'!$A$62,$AF$205^A32,IF(A32='Données projet'!$A$62,'Données projet'!$B$62,AI31+AH32-AQ31)))</f>
        <v>309.0410256410255</v>
      </c>
      <c r="AJ32" s="13">
        <f>AI32*VLOOKUP('Données projet'!$B$10,Paramètres!$A$1:$I$89,3,0)*VLOOKUP('Données projet'!$B$10,Paramètres!$A$1:$I$89,5,0)</f>
        <v>172.75393333333326</v>
      </c>
      <c r="AK32" s="13">
        <f t="shared" si="35"/>
        <v>43.706234996805463</v>
      </c>
      <c r="AL32" s="20">
        <f t="shared" si="4"/>
        <v>377.00145984165829</v>
      </c>
      <c r="AM32" s="59">
        <f t="shared" si="5"/>
        <v>670.33479317499155</v>
      </c>
      <c r="AN32" s="59">
        <f ca="1">AVERAGE(OFFSET($AM$3,0,0,'Données projet'!$E$10+1,1))-AVERAGE(OFFSET($H$3,0,0,'Données projet'!$E$10+1,1))</f>
        <v>277.73784710957608</v>
      </c>
      <c r="AO32" s="59">
        <f t="shared" si="36"/>
        <v>369.67177565548127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11.031463228319623</v>
      </c>
      <c r="AV32" s="21">
        <f>EXP(-LN(2)/25)*AV31+(1-EXP(-LN(2)/25))/(LN(2)/25)*Calculateur!AQ32*Calculateur!AS32*VLOOKUP('Données projet'!$B$10,Paramètres!$A$1:$I$89,3,0)*0.475*44/12</f>
        <v>14.153512139269422</v>
      </c>
      <c r="AW32" s="21">
        <f>EXP(-LN(2)/2)*AW31+(1-EXP(-LN(2)/2))/(LN(2)/2)*AQ32*AT32*VLOOKUP('Données projet'!$B$10,Paramètres!$A$1:$I$89,3,0)*0.475*44/12</f>
        <v>1.0564167841523431</v>
      </c>
      <c r="AX32" s="21">
        <f t="shared" si="6"/>
        <v>26.24139215174139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98.395439999999965</v>
      </c>
      <c r="BF32" s="13">
        <f t="shared" si="37"/>
        <v>26.57937412584554</v>
      </c>
      <c r="BG32" s="20">
        <f t="shared" si="7"/>
        <v>217.6644679358476</v>
      </c>
      <c r="BH32" s="59">
        <f t="shared" si="8"/>
        <v>510.99780126918091</v>
      </c>
      <c r="BI32" s="59">
        <f ca="1">AVERAGE(OFFSET($BH$3,0,0,'Données projet'!$E$11+1,1))-AVERAGE(OFFSET($H$3,0,0,'Données projet'!$E$11+1,1))</f>
        <v>203.42120484957661</v>
      </c>
      <c r="BJ32" s="59">
        <f t="shared" si="38"/>
        <v>201.8090670543379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0.60899809786444214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0.60899809786444214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1">
        <f t="shared" si="32"/>
        <v>4.9901492788407467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67">
        <f t="shared" si="1"/>
        <v>327.83600999398095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576.73239558590353</v>
      </c>
      <c r="S33" s="59">
        <f ca="1">AVERAGE(OFFSET($R$3,0,0,'Données projet'!$E$9+1,1))-AVERAGE(OFFSET($H$3,0,0,'Données projet'!$E$9+1,1))</f>
        <v>282.62919832217119</v>
      </c>
      <c r="T33" s="59">
        <f t="shared" si="34"/>
        <v>248.89638559192258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331.86923076923074</v>
      </c>
      <c r="AG33" s="12">
        <f>VLOOKUP(A33,'Données projet'!$A$61:$I$81,9,0)</f>
        <v>22.828205128205127</v>
      </c>
      <c r="AH33" s="12">
        <f t="array" ref="AH33">INDEX(AG:AG,MIN(IF(ISNUMBER(AG33:AG229),ROW(AG33:AG229),"")))</f>
        <v>22.828205128205127</v>
      </c>
      <c r="AI33" s="13">
        <f>IF('Données projet'!$A$62&gt;35,AI32+AH33-AQ32,IF(A33&lt;'Données projet'!$A$62,$AF$205^A33,IF(A33='Données projet'!$A$62,'Données projet'!$B$62,AI32+AH33-AQ32)))</f>
        <v>331.86923076923063</v>
      </c>
      <c r="AJ33" s="13">
        <f>AI33*VLOOKUP('Données projet'!$B$10,Paramètres!$A$1:$I$89,3,0)*VLOOKUP('Données projet'!$B$10,Paramètres!$A$1:$I$89,5,0)</f>
        <v>185.5148999999999</v>
      </c>
      <c r="AK33" s="13">
        <f t="shared" si="35"/>
        <v>46.546986497298995</v>
      </c>
      <c r="AL33" s="20">
        <f t="shared" si="4"/>
        <v>404.17445231612891</v>
      </c>
      <c r="AM33" s="59">
        <f t="shared" si="5"/>
        <v>697.50778564946222</v>
      </c>
      <c r="AN33" s="59">
        <f ca="1">AVERAGE(OFFSET($AM$3,0,0,'Données projet'!$E$10+1,1))-AVERAGE(OFFSET($H$3,0,0,'Données projet'!$E$10+1,1))</f>
        <v>277.73784710957608</v>
      </c>
      <c r="AO33" s="59">
        <f t="shared" si="36"/>
        <v>369.67177565548127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65.669230769230765</v>
      </c>
      <c r="AR33" s="16">
        <f>IF(ISNA(VLOOKUP(A33,'Données projet'!$A$61:$I$81,5,0)),0%,VLOOKUP(A33,'Données projet'!$A$61:$I$81,5,0)*VLOOKUP('Données projet'!$B$10,Paramètres!$A$1:$I$89,7,0))</f>
        <v>0.38500000000000001</v>
      </c>
      <c r="AS33" s="16">
        <f>IF(ISNA(VLOOKUP(A33,'Données projet'!$A$61:$I$81,6,0)),0%,VLOOKUP(A33,'Données projet'!$A$61:$I$81,6,0)*VLOOKUP('Données projet'!$B$10,Paramètres!$A$1:$I$89,7,0))</f>
        <v>9.240000000000001E-2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29.563483054643072</v>
      </c>
      <c r="AV33" s="21">
        <f>EXP(-LN(2)/25)*AV32+(1-EXP(-LN(2)/25))/(LN(2)/25)*Calculateur!AQ33*Calculateur!AS33*VLOOKUP('Données projet'!$B$10,Paramètres!$A$1:$I$89,3,0)*0.475*44/12</f>
        <v>18.248368581460394</v>
      </c>
      <c r="AW33" s="21">
        <f>EXP(-LN(2)/2)*AW32+(1-EXP(-LN(2)/2))/(LN(2)/2)*AQ33*AT33*VLOOKUP('Données projet'!$B$10,Paramètres!$A$1:$I$89,3,0)*0.475*44/12</f>
        <v>6.233345651406407</v>
      </c>
      <c r="AX33" s="21">
        <f t="shared" si="6"/>
        <v>54.045197287509879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107.04719999999996</v>
      </c>
      <c r="BF33" s="13">
        <f t="shared" si="37"/>
        <v>28.634183951187907</v>
      </c>
      <c r="BG33" s="20">
        <f t="shared" si="7"/>
        <v>236.31174371498548</v>
      </c>
      <c r="BH33" s="59">
        <f t="shared" si="8"/>
        <v>529.64507704831885</v>
      </c>
      <c r="BI33" s="59">
        <f ca="1">AVERAGE(OFFSET($BH$3,0,0,'Données projet'!$E$11+1,1))-AVERAGE(OFFSET($H$3,0,0,'Données projet'!$E$11+1,1))</f>
        <v>203.42120484957661</v>
      </c>
      <c r="BJ33" s="59">
        <f t="shared" si="38"/>
        <v>201.8090670543379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1.72E-2</v>
      </c>
      <c r="BN33" s="16">
        <f>IF(ISNA(VLOOKUP(A33,'Données projet'!$A$87:$I$107,6,0)),0%,VLOOKUP(A33,'Données projet'!$A$87:$I$107,6,0)*VLOOKUP('Données projet'!$B$11,Paramètres!$A$1:$I$89,7,0))</f>
        <v>0.12469999999999999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0.39035167290294598</v>
      </c>
      <c r="BQ33" s="21">
        <f>EXP(-LN(2)/25)*BQ32+(1-EXP(-LN(2)/25))/(LN(2)/25)*Calculateur!BL33*Calculateur!BN33*VLOOKUP('Données projet'!$B$11,Paramètres!$A$1:$I$89,3,0)*0.475*44/12</f>
        <v>3.4112516576778438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3.8016033305807899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1">
        <f t="shared" si="32"/>
        <v>5.1368441502871578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67">
        <f t="shared" si="1"/>
        <v>328.95188689508342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524.82728213244161</v>
      </c>
      <c r="S34" s="59">
        <f ca="1">AVERAGE(OFFSET($R$3,0,0,'Données projet'!$E$9+1,1))-AVERAGE(OFFSET($H$3,0,0,'Données projet'!$E$9+1,1))</f>
        <v>282.62919832217119</v>
      </c>
      <c r="T34" s="59">
        <f t="shared" si="34"/>
        <v>248.89638559192258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22.884615384615397</v>
      </c>
      <c r="AI34" s="13">
        <f>IF('Données projet'!$A$62&gt;35,AI33+AH34-AQ33,IF(A34&lt;'Données projet'!$A$62,$AF$205^A34,IF(A34='Données projet'!$A$62,'Données projet'!$B$62,AI33+AH34-AQ33)))</f>
        <v>289.08461538461529</v>
      </c>
      <c r="AJ34" s="13">
        <f>AI34*VLOOKUP('Données projet'!$B$10,Paramètres!$A$1:$I$89,3,0)*VLOOKUP('Données projet'!$B$10,Paramètres!$A$1:$I$89,5,0)</f>
        <v>161.59829999999994</v>
      </c>
      <c r="AK34" s="13">
        <f t="shared" si="35"/>
        <v>41.202807619439731</v>
      </c>
      <c r="AL34" s="20">
        <f t="shared" si="4"/>
        <v>353.21192910385736</v>
      </c>
      <c r="AM34" s="59">
        <f t="shared" si="5"/>
        <v>646.54526243719067</v>
      </c>
      <c r="AN34" s="59">
        <f ca="1">AVERAGE(OFFSET($AM$3,0,0,'Données projet'!$E$10+1,1))-AVERAGE(OFFSET($H$3,0,0,'Données projet'!$E$10+1,1))</f>
        <v>277.73784710957608</v>
      </c>
      <c r="AO34" s="59">
        <f t="shared" si="36"/>
        <v>369.67177565548127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28.983761183885679</v>
      </c>
      <c r="AV34" s="21">
        <f>EXP(-LN(2)/25)*AV33+(1-EXP(-LN(2)/25))/(LN(2)/25)*Calculateur!AQ34*Calculateur!AS34*VLOOKUP('Données projet'!$B$10,Paramètres!$A$1:$I$89,3,0)*0.475*44/12</f>
        <v>17.749365982960363</v>
      </c>
      <c r="AW34" s="21">
        <f>EXP(-LN(2)/2)*AW33+(1-EXP(-LN(2)/2))/(LN(2)/2)*AQ34*AT34*VLOOKUP('Données projet'!$B$10,Paramètres!$A$1:$I$89,3,0)*0.475*44/12</f>
        <v>4.4076409795891482</v>
      </c>
      <c r="AX34" s="21">
        <f t="shared" si="6"/>
        <v>51.140768146435192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94.436159999999987</v>
      </c>
      <c r="BF34" s="13">
        <f t="shared" si="37"/>
        <v>25.632105611020013</v>
      </c>
      <c r="BG34" s="20">
        <f t="shared" si="7"/>
        <v>209.11889593919315</v>
      </c>
      <c r="BH34" s="59">
        <f t="shared" si="8"/>
        <v>502.45222927252644</v>
      </c>
      <c r="BI34" s="59">
        <f ca="1">AVERAGE(OFFSET($BH$3,0,0,'Données projet'!$E$11+1,1))-AVERAGE(OFFSET($H$3,0,0,'Données projet'!$E$11+1,1))</f>
        <v>203.42120484957661</v>
      </c>
      <c r="BJ34" s="59">
        <f t="shared" si="38"/>
        <v>201.8090670543379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0.38269711468833012</v>
      </c>
      <c r="BQ34" s="21">
        <f>EXP(-LN(2)/25)*BQ33+(1-EXP(-LN(2)/25))/(LN(2)/25)*Calculateur!BL34*Calculateur!BN34*VLOOKUP('Données projet'!$B$11,Paramètres!$A$1:$I$89,3,0)*0.475*44/12</f>
        <v>3.3179708017087148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3.7006679163970451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1">
        <f t="shared" si="32"/>
        <v>5.2829891382175349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67">
        <f t="shared" si="1"/>
        <v>330.06680608239549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544.75551991510599</v>
      </c>
      <c r="S35" s="59">
        <f ca="1">AVERAGE(OFFSET($R$3,0,0,'Données projet'!$E$9+1,1))-AVERAGE(OFFSET($H$3,0,0,'Données projet'!$E$9+1,1))</f>
        <v>282.62919832217119</v>
      </c>
      <c r="T35" s="59">
        <f t="shared" si="34"/>
        <v>248.89638559192258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22.884615384615397</v>
      </c>
      <c r="AI35" s="13">
        <f>IF('Données projet'!$A$62&gt;35,AI34+AH35-AQ34,IF(A35&lt;'Données projet'!$A$62,$AF$205^A35,IF(A35='Données projet'!$A$62,'Données projet'!$B$62,AI34+AH35-AQ34)))</f>
        <v>311.96923076923071</v>
      </c>
      <c r="AJ35" s="13">
        <f>AI35*VLOOKUP('Données projet'!$B$10,Paramètres!$A$1:$I$89,3,0)*VLOOKUP('Données projet'!$B$10,Paramètres!$A$1:$I$89,5,0)</f>
        <v>174.39079999999996</v>
      </c>
      <c r="AK35" s="13">
        <f t="shared" si="35"/>
        <v>44.071952499783528</v>
      </c>
      <c r="AL35" s="20">
        <f t="shared" si="4"/>
        <v>380.48929393712291</v>
      </c>
      <c r="AM35" s="59">
        <f t="shared" si="5"/>
        <v>673.82262727045622</v>
      </c>
      <c r="AN35" s="59">
        <f ca="1">AVERAGE(OFFSET($AM$3,0,0,'Données projet'!$E$10+1,1))-AVERAGE(OFFSET($H$3,0,0,'Données projet'!$E$10+1,1))</f>
        <v>277.73784710957608</v>
      </c>
      <c r="AO35" s="59">
        <f t="shared" si="36"/>
        <v>369.67177565548127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28.415407305418412</v>
      </c>
      <c r="AV35" s="21">
        <f>EXP(-LN(2)/25)*AV34+(1-EXP(-LN(2)/25))/(LN(2)/25)*Calculateur!AQ35*Calculateur!AS35*VLOOKUP('Données projet'!$B$10,Paramètres!$A$1:$I$89,3,0)*0.475*44/12</f>
        <v>17.264008636757723</v>
      </c>
      <c r="AW35" s="21">
        <f>EXP(-LN(2)/2)*AW34+(1-EXP(-LN(2)/2))/(LN(2)/2)*AQ35*AT35*VLOOKUP('Données projet'!$B$10,Paramètres!$A$1:$I$89,3,0)*0.475*44/12</f>
        <v>3.1166728257032039</v>
      </c>
      <c r="AX35" s="21">
        <f t="shared" si="6"/>
        <v>48.79608876787934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102.35472</v>
      </c>
      <c r="BF35" s="13">
        <f t="shared" si="37"/>
        <v>27.522214978746117</v>
      </c>
      <c r="BG35" s="20">
        <f t="shared" si="7"/>
        <v>226.20232842131611</v>
      </c>
      <c r="BH35" s="59">
        <f t="shared" si="8"/>
        <v>519.53566175464948</v>
      </c>
      <c r="BI35" s="59">
        <f ca="1">AVERAGE(OFFSET($BH$3,0,0,'Données projet'!$E$11+1,1))-AVERAGE(OFFSET($H$3,0,0,'Données projet'!$E$11+1,1))</f>
        <v>203.42120484957661</v>
      </c>
      <c r="BJ35" s="59">
        <f t="shared" si="38"/>
        <v>201.8090670543379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0.37519265769148341</v>
      </c>
      <c r="BQ35" s="21">
        <f>EXP(-LN(2)/25)*BQ34+(1-EXP(-LN(2)/25))/(LN(2)/25)*Calculateur!BL35*Calculateur!BN35*VLOOKUP('Données projet'!$B$11,Paramètres!$A$1:$I$89,3,0)*0.475*44/12</f>
        <v>3.2272407156514888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3.6024333733429721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1">
        <f t="shared" si="32"/>
        <v>5.4286033981705613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67">
        <f t="shared" si="1"/>
        <v>331.18080091848037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564.64796388311549</v>
      </c>
      <c r="S36" s="59">
        <f ca="1">AVERAGE(OFFSET($R$3,0,0,'Données projet'!$E$9+1,1))-AVERAGE(OFFSET($H$3,0,0,'Données projet'!$E$9+1,1))</f>
        <v>282.62919832217119</v>
      </c>
      <c r="T36" s="59">
        <f t="shared" si="34"/>
        <v>248.89638559192258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22.884615384615397</v>
      </c>
      <c r="AI36" s="13">
        <f>IF('Données projet'!$A$62&gt;35,AI35+AH36-AQ35,IF(A36&lt;'Données projet'!$A$62,$AF$205^A36,IF(A36='Données projet'!$A$62,'Données projet'!$B$62,AI35+AH36-AQ35)))</f>
        <v>334.85384615384612</v>
      </c>
      <c r="AJ36" s="13">
        <f>AI36*VLOOKUP('Données projet'!$B$10,Paramètres!$A$1:$I$89,3,0)*VLOOKUP('Données projet'!$B$10,Paramètres!$A$1:$I$89,5,0)</f>
        <v>187.18329999999997</v>
      </c>
      <c r="AK36" s="13">
        <f t="shared" si="35"/>
        <v>46.91668019244311</v>
      </c>
      <c r="AL36" s="20">
        <f t="shared" si="4"/>
        <v>407.72413216850504</v>
      </c>
      <c r="AM36" s="59">
        <f t="shared" si="5"/>
        <v>701.05746550183835</v>
      </c>
      <c r="AN36" s="59">
        <f ca="1">AVERAGE(OFFSET($AM$3,0,0,'Données projet'!$E$10+1,1))-AVERAGE(OFFSET($H$3,0,0,'Données projet'!$E$10+1,1))</f>
        <v>277.73784710957608</v>
      </c>
      <c r="AO36" s="59">
        <f t="shared" si="36"/>
        <v>369.67177565548127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27.858198499846253</v>
      </c>
      <c r="AV36" s="21">
        <f>EXP(-LN(2)/25)*AV35+(1-EXP(-LN(2)/25))/(LN(2)/25)*Calculateur!AQ36*Calculateur!AS36*VLOOKUP('Données projet'!$B$10,Paramètres!$A$1:$I$89,3,0)*0.475*44/12</f>
        <v>16.791923412710826</v>
      </c>
      <c r="AW36" s="21">
        <f>EXP(-LN(2)/2)*AW35+(1-EXP(-LN(2)/2))/(LN(2)/2)*AQ36*AT36*VLOOKUP('Données projet'!$B$10,Paramètres!$A$1:$I$89,3,0)*0.475*44/12</f>
        <v>2.2038204897945741</v>
      </c>
      <c r="AX36" s="21">
        <f t="shared" si="6"/>
        <v>46.853942402351656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110.27328000000001</v>
      </c>
      <c r="BF36" s="13">
        <f t="shared" si="37"/>
        <v>29.3953621709605</v>
      </c>
      <c r="BG36" s="20">
        <f t="shared" si="7"/>
        <v>243.2562184477562</v>
      </c>
      <c r="BH36" s="59">
        <f t="shared" si="8"/>
        <v>536.58955178108954</v>
      </c>
      <c r="BI36" s="59">
        <f ca="1">AVERAGE(OFFSET($BH$3,0,0,'Données projet'!$E$11+1,1))-AVERAGE(OFFSET($H$3,0,0,'Données projet'!$E$11+1,1))</f>
        <v>203.42120484957661</v>
      </c>
      <c r="BJ36" s="59">
        <f t="shared" si="38"/>
        <v>201.8090670543379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0.36783535851907806</v>
      </c>
      <c r="BQ36" s="21">
        <f>EXP(-LN(2)/25)*BQ35+(1-EXP(-LN(2)/25))/(LN(2)/25)*Calculateur!BL36*Calculateur!BN36*VLOOKUP('Données projet'!$B$11,Paramètres!$A$1:$I$89,3,0)*0.475*44/12</f>
        <v>3.1389916485687857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3.5068270070878635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1">
        <f t="shared" si="32"/>
        <v>5.5737048587712827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67">
        <f t="shared" si="1"/>
        <v>332.2939026290266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584.5076068949088</v>
      </c>
      <c r="S37" s="59">
        <f ca="1">AVERAGE(OFFSET($R$3,0,0,'Données projet'!$E$9+1,1))-AVERAGE(OFFSET($H$3,0,0,'Données projet'!$E$9+1,1))</f>
        <v>282.62919832217119</v>
      </c>
      <c r="T37" s="59">
        <f t="shared" si="34"/>
        <v>248.89638559192258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22.884615384615397</v>
      </c>
      <c r="AI37" s="13">
        <f>IF('Données projet'!$A$62&gt;35,AI36+AH37-AQ36,IF(A37&lt;'Données projet'!$A$62,$AF$205^A37,IF(A37='Données projet'!$A$62,'Données projet'!$B$62,AI36+AH37-AQ36)))</f>
        <v>357.73846153846154</v>
      </c>
      <c r="AJ37" s="13">
        <f>AI37*VLOOKUP('Données projet'!$B$10,Paramètres!$A$1:$I$89,3,0)*VLOOKUP('Données projet'!$B$10,Paramètres!$A$1:$I$89,5,0)</f>
        <v>199.97580000000002</v>
      </c>
      <c r="AK37" s="13">
        <f t="shared" si="35"/>
        <v>49.738849260389202</v>
      </c>
      <c r="AL37" s="20">
        <f t="shared" si="4"/>
        <v>434.91968079517784</v>
      </c>
      <c r="AM37" s="59">
        <f t="shared" si="5"/>
        <v>728.25301412851115</v>
      </c>
      <c r="AN37" s="59">
        <f ca="1">AVERAGE(OFFSET($AM$3,0,0,'Données projet'!$E$10+1,1))-AVERAGE(OFFSET($H$3,0,0,'Données projet'!$E$10+1,1))</f>
        <v>277.73784710957608</v>
      </c>
      <c r="AO37" s="59">
        <f t="shared" si="36"/>
        <v>369.67177565548127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27.31191621908755</v>
      </c>
      <c r="AV37" s="21">
        <f>EXP(-LN(2)/25)*AV36+(1-EXP(-LN(2)/25))/(LN(2)/25)*Calculateur!AQ37*Calculateur!AS37*VLOOKUP('Données projet'!$B$10,Paramètres!$A$1:$I$89,3,0)*0.475*44/12</f>
        <v>16.332747383941374</v>
      </c>
      <c r="AW37" s="21">
        <f>EXP(-LN(2)/2)*AW36+(1-EXP(-LN(2)/2))/(LN(2)/2)*AQ37*AT37*VLOOKUP('Données projet'!$B$10,Paramètres!$A$1:$I$89,3,0)*0.475*44/12</f>
        <v>1.558336412851602</v>
      </c>
      <c r="AX37" s="21">
        <f t="shared" si="6"/>
        <v>45.203000015880527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118.19184000000001</v>
      </c>
      <c r="BF37" s="13">
        <f t="shared" si="37"/>
        <v>31.252903743281095</v>
      </c>
      <c r="BG37" s="20">
        <f t="shared" si="7"/>
        <v>260.28292868621458</v>
      </c>
      <c r="BH37" s="59">
        <f t="shared" si="8"/>
        <v>553.61626201954789</v>
      </c>
      <c r="BI37" s="59">
        <f ca="1">AVERAGE(OFFSET($BH$3,0,0,'Données projet'!$E$11+1,1))-AVERAGE(OFFSET($H$3,0,0,'Données projet'!$E$11+1,1))</f>
        <v>203.42120484957661</v>
      </c>
      <c r="BJ37" s="59">
        <f t="shared" si="38"/>
        <v>201.8090670543379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0.3606223314959342</v>
      </c>
      <c r="BQ37" s="21">
        <f>EXP(-LN(2)/25)*BQ36+(1-EXP(-LN(2)/25))/(LN(2)/25)*Calculateur!BL37*Calculateur!BN37*VLOOKUP('Données projet'!$B$11,Paramètres!$A$1:$I$89,3,0)*0.475*44/12</f>
        <v>3.0531557568662757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3.4137780883622098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1">
        <f t="shared" si="32"/>
        <v>5.7183103340620756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67">
        <f t="shared" si="1"/>
        <v>333.40614049849142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604.33700012975783</v>
      </c>
      <c r="S38" s="59">
        <f ca="1">AVERAGE(OFFSET($R$3,0,0,'Données projet'!$E$9+1,1))-AVERAGE(OFFSET($H$3,0,0,'Données projet'!$E$9+1,1))</f>
        <v>282.62919832217119</v>
      </c>
      <c r="T38" s="59">
        <f t="shared" si="34"/>
        <v>248.89638559192258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22.884615384615397</v>
      </c>
      <c r="AI38" s="13">
        <f>IF('Données projet'!$A$62&gt;35,AI37+AH38-AQ37,IF(A38&lt;'Données projet'!$A$62,$AF$205^A38,IF(A38='Données projet'!$A$62,'Données projet'!$B$62,AI37+AH38-AQ37)))</f>
        <v>380.62307692307695</v>
      </c>
      <c r="AJ38" s="13">
        <f>AI38*VLOOKUP('Données projet'!$B$10,Paramètres!$A$1:$I$89,3,0)*VLOOKUP('Données projet'!$B$10,Paramètres!$A$1:$I$89,5,0)</f>
        <v>212.76830000000001</v>
      </c>
      <c r="AK38" s="13">
        <f t="shared" si="35"/>
        <v>52.540067037520508</v>
      </c>
      <c r="AL38" s="20">
        <f t="shared" si="4"/>
        <v>462.07873925701483</v>
      </c>
      <c r="AM38" s="59">
        <f t="shared" si="5"/>
        <v>755.41207259034809</v>
      </c>
      <c r="AN38" s="59">
        <f ca="1">AVERAGE(OFFSET($AM$3,0,0,'Données projet'!$E$10+1,1))-AVERAGE(OFFSET($H$3,0,0,'Données projet'!$E$10+1,1))</f>
        <v>277.73784710957608</v>
      </c>
      <c r="AO38" s="59">
        <f t="shared" si="36"/>
        <v>369.67177565548127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26.776346200655233</v>
      </c>
      <c r="AV38" s="21">
        <f>EXP(-LN(2)/25)*AV37+(1-EXP(-LN(2)/25))/(LN(2)/25)*Calculateur!AQ38*Calculateur!AS38*VLOOKUP('Données projet'!$B$10,Paramètres!$A$1:$I$89,3,0)*0.475*44/12</f>
        <v>15.886127547825641</v>
      </c>
      <c r="AW38" s="21">
        <f>EXP(-LN(2)/2)*AW37+(1-EXP(-LN(2)/2))/(LN(2)/2)*AQ38*AT38*VLOOKUP('Données projet'!$B$10,Paramètres!$A$1:$I$89,3,0)*0.475*44/12</f>
        <v>1.1019102448972871</v>
      </c>
      <c r="AX38" s="21">
        <f t="shared" si="6"/>
        <v>43.764383993378168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126.11040000000001</v>
      </c>
      <c r="BF38" s="13">
        <f t="shared" si="37"/>
        <v>33.096004194977873</v>
      </c>
      <c r="BG38" s="20">
        <f t="shared" si="7"/>
        <v>277.28448730625314</v>
      </c>
      <c r="BH38" s="59">
        <f t="shared" si="8"/>
        <v>570.6178206395864</v>
      </c>
      <c r="BI38" s="59">
        <f ca="1">AVERAGE(OFFSET($BH$3,0,0,'Données projet'!$E$11+1,1))-AVERAGE(OFFSET($H$3,0,0,'Données projet'!$E$11+1,1))</f>
        <v>203.42120484957661</v>
      </c>
      <c r="BJ38" s="59">
        <f t="shared" si="38"/>
        <v>201.8090670543379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7.7399999999999997E-2</v>
      </c>
      <c r="BN38" s="16">
        <f>IF(ISNA(VLOOKUP(A38,'Données projet'!$A$87:$I$107,6,0)),0%,VLOOKUP(A38,'Données projet'!$A$87:$I$107,6,0)*VLOOKUP('Données projet'!$B$11,Paramètres!$A$1:$I$89,7,0))</f>
        <v>0.18489999999999998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2.1101332755964592</v>
      </c>
      <c r="BQ38" s="21">
        <f>EXP(-LN(2)/25)*BQ37+(1-EXP(-LN(2)/25))/(LN(2)/25)*Calculateur!BL38*Calculateur!BN38*VLOOKUP('Données projet'!$B$11,Paramètres!$A$1:$I$89,3,0)*0.475*44/12</f>
        <v>7.1494251806703835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9.2595584562668432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1">
        <f t="shared" si="32"/>
        <v>5.8624356226349592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67">
        <f t="shared" si="1"/>
        <v>334.51754204275585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624.13834287157817</v>
      </c>
      <c r="S39" s="59">
        <f ca="1">AVERAGE(OFFSET($R$3,0,0,'Données projet'!$E$9+1,1))-AVERAGE(OFFSET($H$3,0,0,'Données projet'!$E$9+1,1))</f>
        <v>282.62919832217119</v>
      </c>
      <c r="T39" s="59">
        <f t="shared" si="34"/>
        <v>248.89638559192258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403.50769230769237</v>
      </c>
      <c r="AG39" s="12">
        <f>VLOOKUP(A39,'Données projet'!$A$61:$I$81,9,0)</f>
        <v>22.884615384615397</v>
      </c>
      <c r="AH39" s="12">
        <f t="array" ref="AH39">INDEX(AG:AG,MIN(IF(ISNUMBER(AG39:AG235),ROW(AG39:AG235),"")))</f>
        <v>22.884615384615397</v>
      </c>
      <c r="AI39" s="13">
        <f>IF('Données projet'!$A$62&gt;35,AI38+AH39-AQ38,IF(A39&lt;'Données projet'!$A$62,$AF$205^A39,IF(A39='Données projet'!$A$62,'Données projet'!$B$62,AI38+AH39-AQ38)))</f>
        <v>403.50769230769237</v>
      </c>
      <c r="AJ39" s="13">
        <f>AI39*VLOOKUP('Données projet'!$B$10,Paramètres!$A$1:$I$89,3,0)*VLOOKUP('Données projet'!$B$10,Paramètres!$A$1:$I$89,5,0)</f>
        <v>225.56080000000003</v>
      </c>
      <c r="AK39" s="13">
        <f t="shared" si="35"/>
        <v>55.321736658663667</v>
      </c>
      <c r="AL39" s="20">
        <f t="shared" si="4"/>
        <v>489.20375134717256</v>
      </c>
      <c r="AM39" s="59">
        <f t="shared" si="5"/>
        <v>782.53708468050581</v>
      </c>
      <c r="AN39" s="59">
        <f ca="1">AVERAGE(OFFSET($AM$3,0,0,'Données projet'!$E$10+1,1))-AVERAGE(OFFSET($H$3,0,0,'Données projet'!$E$10+1,1))</f>
        <v>277.73784710957608</v>
      </c>
      <c r="AO39" s="59">
        <f t="shared" si="36"/>
        <v>369.67177565548127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69.3</v>
      </c>
      <c r="AR39" s="16">
        <f>IF(ISNA(VLOOKUP(A39,'Données projet'!$A$61:$I$81,5,0)),0%,VLOOKUP(A39,'Données projet'!$A$61:$I$81,5,0)*VLOOKUP('Données projet'!$B$10,Paramètres!$A$1:$I$89,7,0))</f>
        <v>0.38500000000000001</v>
      </c>
      <c r="AS39" s="16">
        <f>IF(ISNA(VLOOKUP(A39,'Données projet'!$A$61:$I$81,6,0)),0%,VLOOKUP(A39,'Données projet'!$A$61:$I$81,6,0)*VLOOKUP('Données projet'!$B$10,Paramètres!$A$1:$I$89,7,0))</f>
        <v>9.240000000000001E-2</v>
      </c>
      <c r="AT39" s="16">
        <f>IF(ISNA(VLOOKUP(A39,'Données projet'!$A$61:$I$81,7,0)),0%,VLOOKUP(A39,'Données projet'!$A$61:$I$81,7,0))</f>
        <v>0.13200000000000001</v>
      </c>
      <c r="AU39" s="21">
        <f>EXP(-LN(2)/35)*AU38+(1-EXP(-LN(2)/35))/(LN(2)/35)*AQ39*AR39*VLOOKUP('Données projet'!$B$10,Paramètres!$A$1:$I$89,3,0)*0.475*44/12</f>
        <v>46.036190634544177</v>
      </c>
      <c r="AV39" s="21">
        <f>EXP(-LN(2)/25)*AV38+(1-EXP(-LN(2)/25))/(LN(2)/25)*Calculateur!AQ39*Calculateur!AS39*VLOOKUP('Données projet'!$B$10,Paramètres!$A$1:$I$89,3,0)*0.475*44/12</f>
        <v>20.181403317675393</v>
      </c>
      <c r="AW39" s="21">
        <f>EXP(-LN(2)/2)*AW38+(1-EXP(-LN(2)/2))/(LN(2)/2)*AQ39*AT39*VLOOKUP('Données projet'!$B$10,Paramètres!$A$1:$I$89,3,0)*0.475*44/12</f>
        <v>6.5688475705786837</v>
      </c>
      <c r="AX39" s="21">
        <f t="shared" si="6"/>
        <v>72.786441522798256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112.61952000000001</v>
      </c>
      <c r="BF39" s="13">
        <f t="shared" si="37"/>
        <v>29.947316013837597</v>
      </c>
      <c r="BG39" s="20">
        <f t="shared" si="7"/>
        <v>248.30390605743386</v>
      </c>
      <c r="BH39" s="59">
        <f t="shared" si="8"/>
        <v>541.63723939076715</v>
      </c>
      <c r="BI39" s="59">
        <f ca="1">AVERAGE(OFFSET($BH$3,0,0,'Données projet'!$E$11+1,1))-AVERAGE(OFFSET($H$3,0,0,'Données projet'!$E$11+1,1))</f>
        <v>203.42120484957661</v>
      </c>
      <c r="BJ39" s="59">
        <f t="shared" si="38"/>
        <v>201.8090670543379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2.0687548491162246</v>
      </c>
      <c r="BQ39" s="21">
        <f>EXP(-LN(2)/25)*BQ38+(1-EXP(-LN(2)/25))/(LN(2)/25)*Calculateur!BL39*Calculateur!BN39*VLOOKUP('Données projet'!$B$11,Paramètres!$A$1:$I$89,3,0)*0.475*44/12</f>
        <v>6.9539237731330221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9.0226786222492468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1">
        <f t="shared" si="32"/>
        <v>6.0060955954395308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67">
        <f t="shared" si="1"/>
        <v>335.62813316205717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643.91354964808943</v>
      </c>
      <c r="S40" s="59">
        <f ca="1">AVERAGE(OFFSET($R$3,0,0,'Données projet'!$E$9+1,1))-AVERAGE(OFFSET($H$3,0,0,'Données projet'!$E$9+1,1))</f>
        <v>282.62919832217119</v>
      </c>
      <c r="T40" s="59">
        <f t="shared" si="34"/>
        <v>248.89638559192258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22.419230769230751</v>
      </c>
      <c r="AI40" s="13">
        <f>IF('Données projet'!$A$62&gt;35,AI39+AH40-AQ39,IF(A40&lt;'Données projet'!$A$62,$AF$205^A40,IF(A40='Données projet'!$A$62,'Données projet'!$B$62,AI39+AH40-AQ39)))</f>
        <v>356.62692307692311</v>
      </c>
      <c r="AJ40" s="13">
        <f>AI40*VLOOKUP('Données projet'!$B$10,Paramètres!$A$1:$I$89,3,0)*VLOOKUP('Données projet'!$B$10,Paramètres!$A$1:$I$89,5,0)</f>
        <v>199.35445000000001</v>
      </c>
      <c r="AK40" s="13">
        <f t="shared" si="35"/>
        <v>49.60226869073324</v>
      </c>
      <c r="AL40" s="20">
        <f t="shared" si="4"/>
        <v>433.59961838636042</v>
      </c>
      <c r="AM40" s="59">
        <f t="shared" si="5"/>
        <v>726.93295171969373</v>
      </c>
      <c r="AN40" s="59">
        <f ca="1">AVERAGE(OFFSET($AM$3,0,0,'Données projet'!$E$10+1,1))-AVERAGE(OFFSET($H$3,0,0,'Données projet'!$E$10+1,1))</f>
        <v>277.73784710957608</v>
      </c>
      <c r="AO40" s="59">
        <f t="shared" si="36"/>
        <v>369.67177565548127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45.133449015504453</v>
      </c>
      <c r="AV40" s="21">
        <f>EXP(-LN(2)/25)*AV39+(1-EXP(-LN(2)/25))/(LN(2)/25)*Calculateur!AQ40*Calculateur!AS40*VLOOKUP('Données projet'!$B$10,Paramètres!$A$1:$I$89,3,0)*0.475*44/12</f>
        <v>19.629541782659683</v>
      </c>
      <c r="AW40" s="21">
        <f>EXP(-LN(2)/2)*AW39+(1-EXP(-LN(2)/2))/(LN(2)/2)*AQ40*AT40*VLOOKUP('Données projet'!$B$10,Paramètres!$A$1:$I$89,3,0)*0.475*44/12</f>
        <v>4.6448766617369657</v>
      </c>
      <c r="AX40" s="21">
        <f t="shared" si="6"/>
        <v>69.407867459901098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119.65824000000002</v>
      </c>
      <c r="BF40" s="13">
        <f t="shared" si="37"/>
        <v>31.595276160231336</v>
      </c>
      <c r="BG40" s="20">
        <f t="shared" si="7"/>
        <v>263.43320731240294</v>
      </c>
      <c r="BH40" s="59">
        <f t="shared" si="8"/>
        <v>556.76654064573631</v>
      </c>
      <c r="BI40" s="59">
        <f ca="1">AVERAGE(OFFSET($BH$3,0,0,'Données projet'!$E$11+1,1))-AVERAGE(OFFSET($H$3,0,0,'Données projet'!$E$11+1,1))</f>
        <v>203.42120484957661</v>
      </c>
      <c r="BJ40" s="59">
        <f t="shared" si="38"/>
        <v>201.8090670543379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2.0281878283409194</v>
      </c>
      <c r="BQ40" s="21">
        <f>EXP(-LN(2)/25)*BQ39+(1-EXP(-LN(2)/25))/(LN(2)/25)*Calculateur!BL40*Calculateur!BN40*VLOOKUP('Données projet'!$B$11,Paramètres!$A$1:$I$89,3,0)*0.475*44/12</f>
        <v>6.7637683618657416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8.7919561902066619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1">
        <f t="shared" si="32"/>
        <v>6.1493042738312038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67">
        <f t="shared" si="1"/>
        <v>336.73793827692265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607.80221072940196</v>
      </c>
      <c r="S41" s="59">
        <f ca="1">AVERAGE(OFFSET($R$3,0,0,'Données projet'!$E$9+1,1))-AVERAGE(OFFSET($H$3,0,0,'Données projet'!$E$9+1,1))</f>
        <v>282.62919832217119</v>
      </c>
      <c r="T41" s="59">
        <f t="shared" si="34"/>
        <v>248.89638559192258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22.419230769230751</v>
      </c>
      <c r="AI41" s="13">
        <f>IF('Données projet'!$A$62&gt;35,AI40+AH41-AQ40,IF(A41&lt;'Données projet'!$A$62,$AF$205^A41,IF(A41='Données projet'!$A$62,'Données projet'!$B$62,AI40+AH41-AQ40)))</f>
        <v>379.04615384615386</v>
      </c>
      <c r="AJ41" s="13">
        <f>AI41*VLOOKUP('Données projet'!$B$10,Paramètres!$A$1:$I$89,3,0)*VLOOKUP('Données projet'!$B$10,Paramètres!$A$1:$I$89,5,0)</f>
        <v>211.88679999999999</v>
      </c>
      <c r="AK41" s="13">
        <f t="shared" si="35"/>
        <v>52.347684082939317</v>
      </c>
      <c r="AL41" s="20">
        <f t="shared" si="4"/>
        <v>460.20839311111928</v>
      </c>
      <c r="AM41" s="59">
        <f t="shared" si="5"/>
        <v>753.54172644445259</v>
      </c>
      <c r="AN41" s="59">
        <f ca="1">AVERAGE(OFFSET($AM$3,0,0,'Données projet'!$E$10+1,1))-AVERAGE(OFFSET($H$3,0,0,'Données projet'!$E$10+1,1))</f>
        <v>277.73784710957608</v>
      </c>
      <c r="AO41" s="59">
        <f t="shared" si="36"/>
        <v>369.67177565548127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44.248409608996077</v>
      </c>
      <c r="AV41" s="21">
        <f>EXP(-LN(2)/25)*AV40+(1-EXP(-LN(2)/25))/(LN(2)/25)*Calculateur!AQ41*Calculateur!AS41*VLOOKUP('Données projet'!$B$10,Paramètres!$A$1:$I$89,3,0)*0.475*44/12</f>
        <v>19.092770930340116</v>
      </c>
      <c r="AW41" s="21">
        <f>EXP(-LN(2)/2)*AW40+(1-EXP(-LN(2)/2))/(LN(2)/2)*AQ41*AT41*VLOOKUP('Données projet'!$B$10,Paramètres!$A$1:$I$89,3,0)*0.475*44/12</f>
        <v>3.2844237852893423</v>
      </c>
      <c r="AX41" s="21">
        <f t="shared" si="6"/>
        <v>66.625604324625542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126.69695999999999</v>
      </c>
      <c r="BF41" s="13">
        <f t="shared" si="37"/>
        <v>33.231984319593515</v>
      </c>
      <c r="BG41" s="20">
        <f t="shared" si="7"/>
        <v>278.54291135662532</v>
      </c>
      <c r="BH41" s="59">
        <f t="shared" si="8"/>
        <v>571.87624468995864</v>
      </c>
      <c r="BI41" s="59">
        <f ca="1">AVERAGE(OFFSET($BH$3,0,0,'Données projet'!$E$11+1,1))-AVERAGE(OFFSET($H$3,0,0,'Données projet'!$E$11+1,1))</f>
        <v>203.42120484957661</v>
      </c>
      <c r="BJ41" s="59">
        <f t="shared" si="38"/>
        <v>201.8090670543379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1.9884163020995784</v>
      </c>
      <c r="BQ41" s="21">
        <f>EXP(-LN(2)/25)*BQ40+(1-EXP(-LN(2)/25))/(LN(2)/25)*Calculateur!BL41*Calculateur!BN41*VLOOKUP('Données projet'!$B$11,Paramètres!$A$1:$I$89,3,0)*0.475*44/12</f>
        <v>6.578812760319404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8.5672290624189831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1">
        <f t="shared" si="32"/>
        <v>6.2920748991727322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67">
        <f t="shared" si="1"/>
        <v>337.8469804493925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627.44627428293506</v>
      </c>
      <c r="S42" s="59">
        <f ca="1">AVERAGE(OFFSET($R$3,0,0,'Données projet'!$E$9+1,1))-AVERAGE(OFFSET($H$3,0,0,'Données projet'!$E$9+1,1))</f>
        <v>282.62919832217119</v>
      </c>
      <c r="T42" s="59">
        <f t="shared" si="34"/>
        <v>248.89638559192258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22.419230769230751</v>
      </c>
      <c r="AI42" s="13">
        <f>IF('Données projet'!$A$62&gt;35,AI41+AH42-AQ41,IF(A42&lt;'Données projet'!$A$62,$AF$205^A42,IF(A42='Données projet'!$A$62,'Données projet'!$B$62,AI41+AH42-AQ41)))</f>
        <v>401.46538461538461</v>
      </c>
      <c r="AJ42" s="13">
        <f>AI42*VLOOKUP('Données projet'!$B$10,Paramètres!$A$1:$I$89,3,0)*VLOOKUP('Données projet'!$B$10,Paramètres!$A$1:$I$89,5,0)</f>
        <v>224.41915</v>
      </c>
      <c r="AK42" s="13">
        <f t="shared" si="35"/>
        <v>55.074251579267461</v>
      </c>
      <c r="AL42" s="20">
        <f t="shared" si="4"/>
        <v>486.78434108389075</v>
      </c>
      <c r="AM42" s="59">
        <f t="shared" si="5"/>
        <v>780.11767441722407</v>
      </c>
      <c r="AN42" s="59">
        <f ca="1">AVERAGE(OFFSET($AM$3,0,0,'Données projet'!$E$10+1,1))-AVERAGE(OFFSET($H$3,0,0,'Données projet'!$E$10+1,1))</f>
        <v>277.73784710957608</v>
      </c>
      <c r="AO42" s="59">
        <f t="shared" si="36"/>
        <v>369.67177565548127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43.380725285428596</v>
      </c>
      <c r="AV42" s="21">
        <f>EXP(-LN(2)/25)*AV41+(1-EXP(-LN(2)/25))/(LN(2)/25)*Calculateur!AQ42*Calculateur!AS42*VLOOKUP('Données projet'!$B$10,Paramètres!$A$1:$I$89,3,0)*0.475*44/12</f>
        <v>18.570678105204781</v>
      </c>
      <c r="AW42" s="21">
        <f>EXP(-LN(2)/2)*AW41+(1-EXP(-LN(2)/2))/(LN(2)/2)*AQ42*AT42*VLOOKUP('Données projet'!$B$10,Paramètres!$A$1:$I$89,3,0)*0.475*44/12</f>
        <v>2.3224383308684833</v>
      </c>
      <c r="AX42" s="21">
        <f t="shared" si="6"/>
        <v>64.273841721501853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133.73568</v>
      </c>
      <c r="BF42" s="13">
        <f t="shared" si="37"/>
        <v>34.858136849359241</v>
      </c>
      <c r="BG42" s="20">
        <f t="shared" si="7"/>
        <v>293.63423101263402</v>
      </c>
      <c r="BH42" s="59">
        <f t="shared" si="8"/>
        <v>586.96756434596728</v>
      </c>
      <c r="BI42" s="59">
        <f ca="1">AVERAGE(OFFSET($BH$3,0,0,'Données projet'!$E$11+1,1))-AVERAGE(OFFSET($H$3,0,0,'Données projet'!$E$11+1,1))</f>
        <v>203.42120484957661</v>
      </c>
      <c r="BJ42" s="59">
        <f t="shared" si="38"/>
        <v>201.8090670543379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1.9494246712295946</v>
      </c>
      <c r="BQ42" s="21">
        <f>EXP(-LN(2)/25)*BQ41+(1-EXP(-LN(2)/25))/(LN(2)/25)*Calculateur!BL42*Calculateur!BN42*VLOOKUP('Données projet'!$B$11,Paramètres!$A$1:$I$89,3,0)*0.475*44/12</f>
        <v>6.3989147794237429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8.3483394506533379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1">
        <f t="shared" si="32"/>
        <v>6.4344199950962579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67">
        <f t="shared" si="1"/>
        <v>338.95528149145929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647.06489528575048</v>
      </c>
      <c r="S43" s="59">
        <f ca="1">AVERAGE(OFFSET($R$3,0,0,'Données projet'!$E$9+1,1))-AVERAGE(OFFSET($H$3,0,0,'Données projet'!$E$9+1,1))</f>
        <v>282.62919832217119</v>
      </c>
      <c r="T43" s="59">
        <f t="shared" si="34"/>
        <v>248.89638559192258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22.419230769230751</v>
      </c>
      <c r="AI43" s="13">
        <f>IF('Données projet'!$A$62&gt;35,AI42+AH43-AQ42,IF(A43&lt;'Données projet'!$A$62,$AF$205^A43,IF(A43='Données projet'!$A$62,'Données projet'!$B$62,AI42+AH43-AQ42)))</f>
        <v>423.88461538461536</v>
      </c>
      <c r="AJ43" s="13">
        <f>AI43*VLOOKUP('Données projet'!$B$10,Paramètres!$A$1:$I$89,3,0)*VLOOKUP('Données projet'!$B$10,Paramètres!$A$1:$I$89,5,0)</f>
        <v>236.95150000000001</v>
      </c>
      <c r="AK43" s="13">
        <f t="shared" si="35"/>
        <v>57.783143668102753</v>
      </c>
      <c r="AL43" s="20">
        <f t="shared" si="4"/>
        <v>513.32950438861235</v>
      </c>
      <c r="AM43" s="59">
        <f t="shared" si="5"/>
        <v>806.66283772194561</v>
      </c>
      <c r="AN43" s="59">
        <f ca="1">AVERAGE(OFFSET($AM$3,0,0,'Données projet'!$E$10+1,1))-AVERAGE(OFFSET($H$3,0,0,'Données projet'!$E$10+1,1))</f>
        <v>277.73784710957608</v>
      </c>
      <c r="AO43" s="59">
        <f t="shared" si="36"/>
        <v>369.67177565548127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42.530055722211095</v>
      </c>
      <c r="AV43" s="21">
        <f>EXP(-LN(2)/25)*AV42+(1-EXP(-LN(2)/25))/(LN(2)/25)*Calculateur!AQ43*Calculateur!AS43*VLOOKUP('Données projet'!$B$10,Paramètres!$A$1:$I$89,3,0)*0.475*44/12</f>
        <v>18.062861935828437</v>
      </c>
      <c r="AW43" s="21">
        <f>EXP(-LN(2)/2)*AW42+(1-EXP(-LN(2)/2))/(LN(2)/2)*AQ43*AT43*VLOOKUP('Données projet'!$B$10,Paramètres!$A$1:$I$89,3,0)*0.475*44/12</f>
        <v>1.6422118926446714</v>
      </c>
      <c r="AX43" s="21">
        <f t="shared" si="6"/>
        <v>62.235129550684206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140.77439999999999</v>
      </c>
      <c r="BF43" s="13">
        <f t="shared" si="37"/>
        <v>36.474352666172102</v>
      </c>
      <c r="BG43" s="20">
        <f t="shared" si="7"/>
        <v>308.70824422691641</v>
      </c>
      <c r="BH43" s="59">
        <f t="shared" si="8"/>
        <v>602.04157756024972</v>
      </c>
      <c r="BI43" s="59">
        <f ca="1">AVERAGE(OFFSET($BH$3,0,0,'Données projet'!$E$11+1,1))-AVERAGE(OFFSET($H$3,0,0,'Données projet'!$E$11+1,1))</f>
        <v>203.42120484957661</v>
      </c>
      <c r="BJ43" s="59">
        <f t="shared" si="38"/>
        <v>201.8090670543379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0.16770000000000002</v>
      </c>
      <c r="BN43" s="16">
        <f>IF(ISNA(VLOOKUP(A43,'Données projet'!$A$87:$I$107,6,0)),0%,VLOOKUP(A43,'Données projet'!$A$87:$I$107,6,0)*VLOOKUP('Données projet'!$B$11,Paramètres!$A$1:$I$89,7,0))</f>
        <v>0.16770000000000002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5.7171264532621482</v>
      </c>
      <c r="BQ43" s="21">
        <f>EXP(-LN(2)/25)*BQ42+(1-EXP(-LN(2)/25))/(LN(2)/25)*Calculateur!BL43*Calculateur!BN43*VLOOKUP('Données projet'!$B$11,Paramètres!$A$1:$I$89,3,0)*0.475*44/12</f>
        <v>10.014879537179119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15.732005990441268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1">
        <f t="shared" si="32"/>
        <v>6.5763514233638816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67">
        <f t="shared" si="1"/>
        <v>340.0628620623587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666.65968269240284</v>
      </c>
      <c r="S44" s="59">
        <f ca="1">AVERAGE(OFFSET($R$3,0,0,'Données projet'!$E$9+1,1))-AVERAGE(OFFSET($H$3,0,0,'Données projet'!$E$9+1,1))</f>
        <v>282.62919832217119</v>
      </c>
      <c r="T44" s="59">
        <f t="shared" si="34"/>
        <v>248.89638559192258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22.419230769230751</v>
      </c>
      <c r="AI44" s="13">
        <f>IF('Données projet'!$A$62&gt;35,AI43+AH44-AQ43,IF(A44&lt;'Données projet'!$A$62,$AF$205^A44,IF(A44='Données projet'!$A$62,'Données projet'!$B$62,AI43+AH44-AQ43)))</f>
        <v>446.30384615384611</v>
      </c>
      <c r="AJ44" s="13">
        <f>AI44*VLOOKUP('Données projet'!$B$10,Paramètres!$A$1:$I$89,3,0)*VLOOKUP('Données projet'!$B$10,Paramètres!$A$1:$I$89,5,0)</f>
        <v>249.48384999999996</v>
      </c>
      <c r="AK44" s="13">
        <f t="shared" si="35"/>
        <v>60.475401807280001</v>
      </c>
      <c r="AL44" s="20">
        <f t="shared" si="4"/>
        <v>539.8456968976792</v>
      </c>
      <c r="AM44" s="59">
        <f t="shared" si="5"/>
        <v>833.17903023101258</v>
      </c>
      <c r="AN44" s="59">
        <f ca="1">AVERAGE(OFFSET($AM$3,0,0,'Données projet'!$E$10+1,1))-AVERAGE(OFFSET($H$3,0,0,'Données projet'!$E$10+1,1))</f>
        <v>277.73784710957608</v>
      </c>
      <c r="AO44" s="59">
        <f t="shared" si="36"/>
        <v>369.67177565548127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41.696067270271087</v>
      </c>
      <c r="AV44" s="21">
        <f>EXP(-LN(2)/25)*AV43+(1-EXP(-LN(2)/25))/(LN(2)/25)*Calculateur!AQ44*Calculateur!AS44*VLOOKUP('Données projet'!$B$10,Paramètres!$A$1:$I$89,3,0)*0.475*44/12</f>
        <v>17.568932026308584</v>
      </c>
      <c r="AW44" s="21">
        <f>EXP(-LN(2)/2)*AW43+(1-EXP(-LN(2)/2))/(LN(2)/2)*AQ44*AT44*VLOOKUP('Données projet'!$B$10,Paramètres!$A$1:$I$89,3,0)*0.475*44/12</f>
        <v>1.1612191654342419</v>
      </c>
      <c r="AX44" s="21">
        <f t="shared" si="6"/>
        <v>60.426218462013914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126.25703999999998</v>
      </c>
      <c r="BF44" s="13">
        <f t="shared" si="37"/>
        <v>33.130006114881219</v>
      </c>
      <c r="BG44" s="20">
        <f t="shared" si="7"/>
        <v>277.59910531675143</v>
      </c>
      <c r="BH44" s="59">
        <f t="shared" si="8"/>
        <v>570.9324386500848</v>
      </c>
      <c r="BI44" s="59">
        <f ca="1">AVERAGE(OFFSET($BH$3,0,0,'Données projet'!$E$11+1,1))-AVERAGE(OFFSET($H$3,0,0,'Données projet'!$E$11+1,1))</f>
        <v>203.42120484957661</v>
      </c>
      <c r="BJ44" s="59">
        <f t="shared" si="38"/>
        <v>201.8090670543379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5.6050170906164913</v>
      </c>
      <c r="BQ44" s="21">
        <f>EXP(-LN(2)/25)*BQ43+(1-EXP(-LN(2)/25))/(LN(2)/25)*Calculateur!BL44*Calculateur!BN44*VLOOKUP('Données projet'!$B$11,Paramètres!$A$1:$I$89,3,0)*0.475*44/12</f>
        <v>9.741022129575331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15.346039220191823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1">
        <f t="shared" si="32"/>
        <v>6.7178804341249787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67">
        <f t="shared" si="1"/>
        <v>341.16974175610096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686.23206282767137</v>
      </c>
      <c r="S45" s="59">
        <f ca="1">AVERAGE(OFFSET($R$3,0,0,'Données projet'!$E$9+1,1))-AVERAGE(OFFSET($H$3,0,0,'Données projet'!$E$9+1,1))</f>
        <v>282.62919832217119</v>
      </c>
      <c r="T45" s="59">
        <f t="shared" si="34"/>
        <v>248.89638559192258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468.72307692307686</v>
      </c>
      <c r="AG45" s="12">
        <f>VLOOKUP(A45,'Données projet'!$A$61:$I$81,9,0)</f>
        <v>22.419230769230751</v>
      </c>
      <c r="AH45" s="12">
        <f t="array" ref="AH45">INDEX(AG:AG,MIN(IF(ISNUMBER(AG45:AG241),ROW(AG45:AG241),"")))</f>
        <v>22.419230769230751</v>
      </c>
      <c r="AI45" s="13">
        <f>IF('Données projet'!$A$62&gt;35,AI44+AH45-AQ44,IF(A45&lt;'Données projet'!$A$62,$AF$205^A45,IF(A45='Données projet'!$A$62,'Données projet'!$B$62,AI44+AH45-AQ44)))</f>
        <v>468.72307692307686</v>
      </c>
      <c r="AJ45" s="13">
        <f>AI45*VLOOKUP('Données projet'!$B$10,Paramètres!$A$1:$I$89,3,0)*VLOOKUP('Données projet'!$B$10,Paramètres!$A$1:$I$89,5,0)</f>
        <v>262.01619999999997</v>
      </c>
      <c r="AK45" s="13">
        <f t="shared" si="35"/>
        <v>63.151956912854622</v>
      </c>
      <c r="AL45" s="20">
        <f t="shared" si="4"/>
        <v>566.33453995655509</v>
      </c>
      <c r="AM45" s="59">
        <f t="shared" si="5"/>
        <v>859.66787328988835</v>
      </c>
      <c r="AN45" s="59">
        <f ca="1">AVERAGE(OFFSET($AM$3,0,0,'Données projet'!$E$10+1,1))-AVERAGE(OFFSET($H$3,0,0,'Données projet'!$E$10+1,1))</f>
        <v>277.73784710957608</v>
      </c>
      <c r="AO45" s="59">
        <f t="shared" si="36"/>
        <v>369.67177565548127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73.392307692307682</v>
      </c>
      <c r="AR45" s="16">
        <f>IF(ISNA(VLOOKUP(A45,'Données projet'!$A$61:$I$81,5,0)),0%,VLOOKUP(A45,'Données projet'!$A$61:$I$81,5,0)*VLOOKUP('Données projet'!$B$10,Paramètres!$A$1:$I$89,7,0))</f>
        <v>0.38500000000000001</v>
      </c>
      <c r="AS45" s="16">
        <f>IF(ISNA(VLOOKUP(A45,'Données projet'!$A$61:$I$81,6,0)),0%,VLOOKUP(A45,'Données projet'!$A$61:$I$81,6,0)*VLOOKUP('Données projet'!$B$10,Paramètres!$A$1:$I$89,7,0))</f>
        <v>9.240000000000001E-2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61.831684880697594</v>
      </c>
      <c r="AV45" s="21">
        <f>EXP(-LN(2)/25)*AV44+(1-EXP(-LN(2)/25))/(LN(2)/25)*Calculateur!AQ45*Calculateur!AS45*VLOOKUP('Données projet'!$B$10,Paramètres!$A$1:$I$89,3,0)*0.475*44/12</f>
        <v>22.097488925021114</v>
      </c>
      <c r="AW45" s="21">
        <f>EXP(-LN(2)/2)*AW44+(1-EXP(-LN(2)/2))/(LN(2)/2)*AQ45*AT45*VLOOKUP('Données projet'!$B$10,Paramètres!$A$1:$I$89,3,0)*0.475*44/12</f>
        <v>6.9526777981796624</v>
      </c>
      <c r="AX45" s="21">
        <f t="shared" si="6"/>
        <v>90.881851603898369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132.26927999999998</v>
      </c>
      <c r="BF45" s="13">
        <f t="shared" si="37"/>
        <v>34.52019401964877</v>
      </c>
      <c r="BG45" s="20">
        <f t="shared" si="7"/>
        <v>290.49166725088827</v>
      </c>
      <c r="BH45" s="59">
        <f t="shared" si="8"/>
        <v>583.82500058422158</v>
      </c>
      <c r="BI45" s="59">
        <f ca="1">AVERAGE(OFFSET($BH$3,0,0,'Données projet'!$E$11+1,1))-AVERAGE(OFFSET($H$3,0,0,'Données projet'!$E$11+1,1))</f>
        <v>203.42120484957661</v>
      </c>
      <c r="BJ45" s="59">
        <f t="shared" si="38"/>
        <v>201.8090670543379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5.4951061241923567</v>
      </c>
      <c r="BQ45" s="21">
        <f>EXP(-LN(2)/25)*BQ44+(1-EXP(-LN(2)/25))/(LN(2)/25)*Calculateur!BL45*Calculateur!BN45*VLOOKUP('Données projet'!$B$11,Paramètres!$A$1:$I$89,3,0)*0.475*44/12</f>
        <v>9.4746533671840023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14.969759491376358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1">
        <f t="shared" si="32"/>
        <v>6.8590177112522763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67">
        <f t="shared" si="1"/>
        <v>342.27593918043101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705.78330836947771</v>
      </c>
      <c r="S46" s="59">
        <f ca="1">AVERAGE(OFFSET($R$3,0,0,'Données projet'!$E$9+1,1))-AVERAGE(OFFSET($H$3,0,0,'Données projet'!$E$9+1,1))</f>
        <v>282.62919832217119</v>
      </c>
      <c r="T46" s="59">
        <f t="shared" si="34"/>
        <v>248.89638559192258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21.625641025641034</v>
      </c>
      <c r="AI46" s="13">
        <f>IF('Données projet'!$A$62&gt;35,AI45+AH46-AQ45,IF(A46&lt;'Données projet'!$A$62,$AF$205^A46,IF(A46='Données projet'!$A$62,'Données projet'!$B$62,AI45+AH46-AQ45)))</f>
        <v>416.95641025641021</v>
      </c>
      <c r="AJ46" s="13">
        <f>AI46*VLOOKUP('Données projet'!$B$10,Paramètres!$A$1:$I$89,3,0)*VLOOKUP('Données projet'!$B$10,Paramètres!$A$1:$I$89,5,0)</f>
        <v>233.0786333333333</v>
      </c>
      <c r="AK46" s="13">
        <f t="shared" si="35"/>
        <v>56.947838023653489</v>
      </c>
      <c r="AL46" s="20">
        <f t="shared" si="4"/>
        <v>505.1294376134187</v>
      </c>
      <c r="AM46" s="59">
        <f t="shared" si="5"/>
        <v>798.46277094675202</v>
      </c>
      <c r="AN46" s="59">
        <f ca="1">AVERAGE(OFFSET($AM$3,0,0,'Données projet'!$E$10+1,1))-AVERAGE(OFFSET($H$3,0,0,'Données projet'!$E$10+1,1))</f>
        <v>277.73784710957608</v>
      </c>
      <c r="AO46" s="59">
        <f t="shared" si="36"/>
        <v>369.67177565548127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60.619203253790985</v>
      </c>
      <c r="AV46" s="21">
        <f>EXP(-LN(2)/25)*AV45+(1-EXP(-LN(2)/25))/(LN(2)/25)*Calculateur!AQ46*Calculateur!AS46*VLOOKUP('Données projet'!$B$10,Paramètres!$A$1:$I$89,3,0)*0.475*44/12</f>
        <v>21.493231928309974</v>
      </c>
      <c r="AW46" s="21">
        <f>EXP(-LN(2)/2)*AW45+(1-EXP(-LN(2)/2))/(LN(2)/2)*AQ46*AT46*VLOOKUP('Données projet'!$B$10,Paramètres!$A$1:$I$89,3,0)*0.475*44/12</f>
        <v>4.9162856184979935</v>
      </c>
      <c r="AX46" s="21">
        <f t="shared" si="6"/>
        <v>87.028720800598961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138.28151999999997</v>
      </c>
      <c r="BF46" s="13">
        <f t="shared" si="37"/>
        <v>35.903043322174675</v>
      </c>
      <c r="BG46" s="20">
        <f t="shared" si="7"/>
        <v>303.37144778612083</v>
      </c>
      <c r="BH46" s="59">
        <f t="shared" si="8"/>
        <v>596.70478111945408</v>
      </c>
      <c r="BI46" s="59">
        <f ca="1">AVERAGE(OFFSET($BH$3,0,0,'Données projet'!$E$11+1,1))-AVERAGE(OFFSET($H$3,0,0,'Données projet'!$E$11+1,1))</f>
        <v>203.42120484957661</v>
      </c>
      <c r="BJ46" s="59">
        <f t="shared" si="38"/>
        <v>201.8090670543379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5.3873504447807292</v>
      </c>
      <c r="BQ46" s="21">
        <f>EXP(-LN(2)/25)*BQ45+(1-EXP(-LN(2)/25))/(LN(2)/25)*Calculateur!BL46*Calculateur!BN46*VLOOKUP('Données projet'!$B$11,Paramètres!$A$1:$I$89,3,0)*0.475*44/12</f>
        <v>9.2155684726079894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14.602918917388719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1">
        <f t="shared" si="32"/>
        <v>6.9997734133417886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67">
        <f t="shared" si="1"/>
        <v>343.38147202823689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725.31456154863588</v>
      </c>
      <c r="S47" s="59">
        <f ca="1">AVERAGE(OFFSET($R$3,0,0,'Données projet'!$E$9+1,1))-AVERAGE(OFFSET($H$3,0,0,'Données projet'!$E$9+1,1))</f>
        <v>282.62919832217119</v>
      </c>
      <c r="T47" s="59">
        <f t="shared" si="34"/>
        <v>248.89638559192258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21.625641025641034</v>
      </c>
      <c r="AI47" s="13">
        <f>IF('Données projet'!$A$62&gt;35,AI46+AH47-AQ46,IF(A47&lt;'Données projet'!$A$62,$AF$205^A47,IF(A47='Données projet'!$A$62,'Données projet'!$B$62,AI46+AH47-AQ46)))</f>
        <v>438.58205128205122</v>
      </c>
      <c r="AJ47" s="13">
        <f>AI47*VLOOKUP('Données projet'!$B$10,Paramètres!$A$1:$I$89,3,0)*VLOOKUP('Données projet'!$B$10,Paramètres!$A$1:$I$89,5,0)</f>
        <v>245.16736666666665</v>
      </c>
      <c r="AK47" s="13">
        <f t="shared" si="35"/>
        <v>59.549932468183236</v>
      </c>
      <c r="AL47" s="20">
        <f t="shared" si="4"/>
        <v>530.71596265986352</v>
      </c>
      <c r="AM47" s="59">
        <f t="shared" si="5"/>
        <v>824.04929599319689</v>
      </c>
      <c r="AN47" s="59">
        <f ca="1">AVERAGE(OFFSET($AM$3,0,0,'Données projet'!$E$10+1,1))-AVERAGE(OFFSET($H$3,0,0,'Données projet'!$E$10+1,1))</f>
        <v>277.73784710957608</v>
      </c>
      <c r="AO47" s="59">
        <f t="shared" si="36"/>
        <v>369.67177565548127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59.430497652047244</v>
      </c>
      <c r="AV47" s="21">
        <f>EXP(-LN(2)/25)*AV46+(1-EXP(-LN(2)/25))/(LN(2)/25)*Calculateur!AQ47*Calculateur!AS47*VLOOKUP('Données projet'!$B$10,Paramètres!$A$1:$I$89,3,0)*0.475*44/12</f>
        <v>20.905498370950394</v>
      </c>
      <c r="AW47" s="21">
        <f>EXP(-LN(2)/2)*AW46+(1-EXP(-LN(2)/2))/(LN(2)/2)*AQ47*AT47*VLOOKUP('Données projet'!$B$10,Paramètres!$A$1:$I$89,3,0)*0.475*44/12</f>
        <v>3.4763388990898312</v>
      </c>
      <c r="AX47" s="21">
        <f t="shared" si="6"/>
        <v>83.812334922087459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144.29375999999996</v>
      </c>
      <c r="BF47" s="13">
        <f t="shared" si="37"/>
        <v>37.278909560653958</v>
      </c>
      <c r="BG47" s="20">
        <f t="shared" si="7"/>
        <v>316.23906615147223</v>
      </c>
      <c r="BH47" s="59">
        <f t="shared" si="8"/>
        <v>609.5723994848056</v>
      </c>
      <c r="BI47" s="59">
        <f ca="1">AVERAGE(OFFSET($BH$3,0,0,'Données projet'!$E$11+1,1))-AVERAGE(OFFSET($H$3,0,0,'Données projet'!$E$11+1,1))</f>
        <v>203.42120484957661</v>
      </c>
      <c r="BJ47" s="59">
        <f t="shared" si="38"/>
        <v>201.8090670543379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5.2817077885178891</v>
      </c>
      <c r="BQ47" s="21">
        <f>EXP(-LN(2)/25)*BQ46+(1-EXP(-LN(2)/25))/(LN(2)/25)*Calculateur!BL47*Calculateur!BN47*VLOOKUP('Données projet'!$B$11,Paramètres!$A$1:$I$89,3,0)*0.475*44/12</f>
        <v>8.9635682680988396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14.245276056616728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1">
        <f t="shared" si="32"/>
        <v>7.140157210880437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67">
        <f t="shared" si="1"/>
        <v>344.4863571422834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744.8268529338701</v>
      </c>
      <c r="S48" s="59">
        <f ca="1">AVERAGE(OFFSET($R$3,0,0,'Données projet'!$E$9+1,1))-AVERAGE(OFFSET($H$3,0,0,'Données projet'!$E$9+1,1))</f>
        <v>282.62919832217119</v>
      </c>
      <c r="T48" s="59">
        <f t="shared" si="34"/>
        <v>248.89638559192258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21.625641025641034</v>
      </c>
      <c r="AI48" s="13">
        <f>IF('Données projet'!$A$62&gt;35,AI47+AH48-AQ47,IF(A48&lt;'Données projet'!$A$62,$AF$205^A48,IF(A48='Données projet'!$A$62,'Données projet'!$B$62,AI47+AH48-AQ47)))</f>
        <v>460.20769230769224</v>
      </c>
      <c r="AJ48" s="13">
        <f>AI48*VLOOKUP('Données projet'!$B$10,Paramètres!$A$1:$I$89,3,0)*VLOOKUP('Données projet'!$B$10,Paramètres!$A$1:$I$89,5,0)</f>
        <v>257.25609999999995</v>
      </c>
      <c r="AK48" s="13">
        <f t="shared" si="35"/>
        <v>62.137128695600659</v>
      </c>
      <c r="AL48" s="20">
        <f t="shared" si="4"/>
        <v>556.27653997817106</v>
      </c>
      <c r="AM48" s="59">
        <f t="shared" si="5"/>
        <v>849.60987331150432</v>
      </c>
      <c r="AN48" s="59">
        <f ca="1">AVERAGE(OFFSET($AM$3,0,0,'Données projet'!$E$10+1,1))-AVERAGE(OFFSET($H$3,0,0,'Données projet'!$E$10+1,1))</f>
        <v>277.73784710957608</v>
      </c>
      <c r="AO48" s="59">
        <f t="shared" si="36"/>
        <v>369.67177565548127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58.265101842114873</v>
      </c>
      <c r="AV48" s="21">
        <f>EXP(-LN(2)/25)*AV47+(1-EXP(-LN(2)/25))/(LN(2)/25)*Calculateur!AQ48*Calculateur!AS48*VLOOKUP('Données projet'!$B$10,Paramètres!$A$1:$I$89,3,0)*0.475*44/12</f>
        <v>20.333836418624376</v>
      </c>
      <c r="AW48" s="21">
        <f>EXP(-LN(2)/2)*AW47+(1-EXP(-LN(2)/2))/(LN(2)/2)*AQ48*AT48*VLOOKUP('Données projet'!$B$10,Paramètres!$A$1:$I$89,3,0)*0.475*44/12</f>
        <v>2.4581428092489968</v>
      </c>
      <c r="AX48" s="21">
        <f t="shared" si="6"/>
        <v>81.057081069988243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150.30599999999995</v>
      </c>
      <c r="BF48" s="13">
        <f t="shared" si="37"/>
        <v>38.648116968856641</v>
      </c>
      <c r="BG48" s="20">
        <f t="shared" si="7"/>
        <v>329.09508705409189</v>
      </c>
      <c r="BH48" s="59">
        <f t="shared" si="8"/>
        <v>622.42842038742515</v>
      </c>
      <c r="BI48" s="59">
        <f ca="1">AVERAGE(OFFSET($BH$3,0,0,'Données projet'!$E$11+1,1))-AVERAGE(OFFSET($H$3,0,0,'Données projet'!$E$11+1,1))</f>
        <v>203.42120484957661</v>
      </c>
      <c r="BJ48" s="59">
        <f t="shared" si="38"/>
        <v>201.8090670543379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0.25369999999999998</v>
      </c>
      <c r="BN48" s="16">
        <f>IF(ISNA(VLOOKUP(A48,'Données projet'!$A$87:$I$107,6,0)),0%,VLOOKUP(A48,'Données projet'!$A$87:$I$107,6,0)*VLOOKUP('Données projet'!$B$11,Paramètres!$A$1:$I$89,7,0))</f>
        <v>0.11610000000000001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9.7020337866303468</v>
      </c>
      <c r="BQ48" s="21">
        <f>EXP(-LN(2)/25)*BQ47+(1-EXP(-LN(2)/25))/(LN(2)/25)*Calculateur!BL48*Calculateur!BN48*VLOOKUP('Données projet'!$B$11,Paramètres!$A$1:$I$89,3,0)*0.475*44/12</f>
        <v>10.780565607441794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20.482599394072139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1">
        <f t="shared" si="32"/>
        <v>7.2801783200166916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67">
        <f t="shared" si="1"/>
        <v>345.59061057402903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764.32111680044125</v>
      </c>
      <c r="S49" s="59">
        <f ca="1">AVERAGE(OFFSET($R$3,0,0,'Données projet'!$E$9+1,1))-AVERAGE(OFFSET($H$3,0,0,'Données projet'!$E$9+1,1))</f>
        <v>282.62919832217119</v>
      </c>
      <c r="T49" s="59">
        <f t="shared" si="34"/>
        <v>248.89638559192258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21.625641025641034</v>
      </c>
      <c r="AI49" s="13">
        <f>IF('Données projet'!$A$62&gt;35,AI48+AH49-AQ48,IF(A49&lt;'Données projet'!$A$62,$AF$205^A49,IF(A49='Données projet'!$A$62,'Données projet'!$B$62,AI48+AH49-AQ48)))</f>
        <v>481.83333333333326</v>
      </c>
      <c r="AJ49" s="13">
        <f>AI49*VLOOKUP('Données projet'!$B$10,Paramètres!$A$1:$I$89,3,0)*VLOOKUP('Données projet'!$B$10,Paramètres!$A$1:$I$89,5,0)</f>
        <v>269.34483333333333</v>
      </c>
      <c r="AK49" s="13">
        <f t="shared" si="35"/>
        <v>64.710206731812576</v>
      </c>
      <c r="AL49" s="20">
        <f t="shared" si="4"/>
        <v>581.81252811346246</v>
      </c>
      <c r="AM49" s="59">
        <f t="shared" si="5"/>
        <v>875.14586144679583</v>
      </c>
      <c r="AN49" s="59">
        <f ca="1">AVERAGE(OFFSET($AM$3,0,0,'Données projet'!$E$10+1,1))-AVERAGE(OFFSET($H$3,0,0,'Données projet'!$E$10+1,1))</f>
        <v>277.73784710957608</v>
      </c>
      <c r="AO49" s="59">
        <f t="shared" si="36"/>
        <v>369.67177565548127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57.122558733194019</v>
      </c>
      <c r="AV49" s="21">
        <f>EXP(-LN(2)/25)*AV48+(1-EXP(-LN(2)/25))/(LN(2)/25)*Calculateur!AQ49*Calculateur!AS49*VLOOKUP('Données projet'!$B$10,Paramètres!$A$1:$I$89,3,0)*0.475*44/12</f>
        <v>19.77780659244711</v>
      </c>
      <c r="AW49" s="21">
        <f>EXP(-LN(2)/2)*AW48+(1-EXP(-LN(2)/2))/(LN(2)/2)*AQ49*AT49*VLOOKUP('Données projet'!$B$10,Paramètres!$A$1:$I$89,3,0)*0.475*44/12</f>
        <v>1.7381694495449156</v>
      </c>
      <c r="AX49" s="21">
        <f t="shared" si="6"/>
        <v>78.638534775186045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139.45463999999996</v>
      </c>
      <c r="BF49" s="13">
        <f t="shared" si="37"/>
        <v>36.172042811708678</v>
      </c>
      <c r="BG49" s="20">
        <f t="shared" si="7"/>
        <v>305.88313923039249</v>
      </c>
      <c r="BH49" s="59">
        <f t="shared" si="8"/>
        <v>599.2164725637258</v>
      </c>
      <c r="BI49" s="59">
        <f ca="1">AVERAGE(OFFSET($BH$3,0,0,'Données projet'!$E$11+1,1))-AVERAGE(OFFSET($H$3,0,0,'Données projet'!$E$11+1,1))</f>
        <v>203.42120484957661</v>
      </c>
      <c r="BJ49" s="59">
        <f t="shared" si="38"/>
        <v>201.8090670543379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9.5117828217308151</v>
      </c>
      <c r="BQ49" s="21">
        <f>EXP(-LN(2)/25)*BQ48+(1-EXP(-LN(2)/25))/(LN(2)/25)*Calculateur!BL49*Calculateur!BN49*VLOOKUP('Données projet'!$B$11,Paramètres!$A$1:$I$89,3,0)*0.475*44/12</f>
        <v>10.485770473980992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19.997553295711807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1">
        <f t="shared" si="32"/>
        <v>7.4198455333118369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67">
        <f t="shared" si="1"/>
        <v>346.69424763718473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689.6550225891267</v>
      </c>
      <c r="S50" s="59">
        <f ca="1">AVERAGE(OFFSET($R$3,0,0,'Données projet'!$E$9+1,1))-AVERAGE(OFFSET($H$3,0,0,'Données projet'!$E$9+1,1))</f>
        <v>282.62919832217119</v>
      </c>
      <c r="T50" s="59">
        <f t="shared" si="34"/>
        <v>248.89638559192258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21.625641025641034</v>
      </c>
      <c r="AI50" s="13">
        <f>IF('Données projet'!$A$62&gt;35,AI49+AH50-AQ49,IF(A50&lt;'Données projet'!$A$62,$AF$205^A50,IF(A50='Données projet'!$A$62,'Données projet'!$B$62,AI49+AH50-AQ49)))</f>
        <v>503.45897435897427</v>
      </c>
      <c r="AJ50" s="13">
        <f>AI50*VLOOKUP('Données projet'!$B$10,Paramètres!$A$1:$I$89,3,0)*VLOOKUP('Données projet'!$B$10,Paramètres!$A$1:$I$89,5,0)</f>
        <v>281.43356666666659</v>
      </c>
      <c r="AK50" s="13">
        <f t="shared" si="35"/>
        <v>67.26987262617007</v>
      </c>
      <c r="AL50" s="20">
        <f t="shared" si="4"/>
        <v>607.32515676835726</v>
      </c>
      <c r="AM50" s="59">
        <f t="shared" si="5"/>
        <v>900.65849010169063</v>
      </c>
      <c r="AN50" s="59">
        <f ca="1">AVERAGE(OFFSET($AM$3,0,0,'Données projet'!$E$10+1,1))-AVERAGE(OFFSET($H$3,0,0,'Données projet'!$E$10+1,1))</f>
        <v>277.73784710957608</v>
      </c>
      <c r="AO50" s="59">
        <f t="shared" si="36"/>
        <v>369.67177565548127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56.002420197756614</v>
      </c>
      <c r="AV50" s="21">
        <f>EXP(-LN(2)/25)*AV49+(1-EXP(-LN(2)/25))/(LN(2)/25)*Calculateur!AQ50*Calculateur!AS50*VLOOKUP('Données projet'!$B$10,Paramètres!$A$1:$I$89,3,0)*0.475*44/12</f>
        <v>19.236981431106997</v>
      </c>
      <c r="AW50" s="21">
        <f>EXP(-LN(2)/2)*AW49+(1-EXP(-LN(2)/2))/(LN(2)/2)*AQ50*AT50*VLOOKUP('Données projet'!$B$10,Paramètres!$A$1:$I$89,3,0)*0.475*44/12</f>
        <v>1.2290714046244984</v>
      </c>
      <c r="AX50" s="21">
        <f t="shared" si="6"/>
        <v>76.46847303348811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144.73367999999994</v>
      </c>
      <c r="BF50" s="13">
        <f t="shared" si="37"/>
        <v>37.379317506781838</v>
      </c>
      <c r="BG50" s="20">
        <f t="shared" si="7"/>
        <v>317.1801373243116</v>
      </c>
      <c r="BH50" s="59">
        <f t="shared" si="8"/>
        <v>610.51347065764492</v>
      </c>
      <c r="BI50" s="59">
        <f ca="1">AVERAGE(OFFSET($BH$3,0,0,'Données projet'!$E$11+1,1))-AVERAGE(OFFSET($H$3,0,0,'Données projet'!$E$11+1,1))</f>
        <v>203.42120484957661</v>
      </c>
      <c r="BJ50" s="59">
        <f t="shared" si="38"/>
        <v>201.8090670543379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9.3252625622113339</v>
      </c>
      <c r="BQ50" s="21">
        <f>EXP(-LN(2)/25)*BQ49+(1-EXP(-LN(2)/25))/(LN(2)/25)*Calculateur!BL50*Calculateur!BN50*VLOOKUP('Données projet'!$B$11,Paramètres!$A$1:$I$89,3,0)*0.475*44/12</f>
        <v>10.199036528947278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19.524299091158611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1">
        <f t="shared" si="32"/>
        <v>7.5591672478002421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67">
        <f t="shared" si="1"/>
        <v>347.79728295658538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707.20578790539162</v>
      </c>
      <c r="S51" s="59">
        <f ca="1">AVERAGE(OFFSET($R$3,0,0,'Données projet'!$E$9+1,1))-AVERAGE(OFFSET($H$3,0,0,'Données projet'!$E$9+1,1))</f>
        <v>282.62919832217119</v>
      </c>
      <c r="T51" s="59">
        <f t="shared" si="34"/>
        <v>248.89638559192258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525.0846153846154</v>
      </c>
      <c r="AG51" s="12">
        <f>VLOOKUP(A51,'Données projet'!$A$61:$I$81,9,0)</f>
        <v>21.625641025641034</v>
      </c>
      <c r="AH51" s="12">
        <f t="array" ref="AH51">INDEX(AG:AG,MIN(IF(ISNUMBER(AG51:AG247),ROW(AG51:AG247),"")))</f>
        <v>21.625641025641034</v>
      </c>
      <c r="AI51" s="13">
        <f>IF('Données projet'!$A$62&gt;35,AI50+AH51-AQ50,IF(A51&lt;'Données projet'!$A$62,$AF$205^A51,IF(A51='Données projet'!$A$62,'Données projet'!$B$62,AI50+AH51-AQ50)))</f>
        <v>525.08461538461529</v>
      </c>
      <c r="AJ51" s="13">
        <f>AI51*VLOOKUP('Données projet'!$B$10,Paramètres!$A$1:$I$89,3,0)*VLOOKUP('Données projet'!$B$10,Paramètres!$A$1:$I$89,5,0)</f>
        <v>293.52229999999997</v>
      </c>
      <c r="AK51" s="13">
        <f t="shared" si="35"/>
        <v>69.816768342057628</v>
      </c>
      <c r="AL51" s="20">
        <f t="shared" si="4"/>
        <v>632.81554402908364</v>
      </c>
      <c r="AM51" s="59">
        <f t="shared" si="5"/>
        <v>926.1488773624169</v>
      </c>
      <c r="AN51" s="59">
        <f ca="1">AVERAGE(OFFSET($AM$3,0,0,'Données projet'!$E$10+1,1))-AVERAGE(OFFSET($H$3,0,0,'Données projet'!$E$10+1,1))</f>
        <v>277.73784710957608</v>
      </c>
      <c r="AO51" s="59">
        <f t="shared" si="36"/>
        <v>369.67177565548127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81.330769230769235</v>
      </c>
      <c r="AR51" s="16">
        <f>IF(ISNA(VLOOKUP(A51,'Données projet'!$A$61:$I$81,5,0)),0%,VLOOKUP(A51,'Données projet'!$A$61:$I$81,5,0)*VLOOKUP('Données projet'!$B$10,Paramètres!$A$1:$I$89,7,0))</f>
        <v>0.38500000000000001</v>
      </c>
      <c r="AS51" s="16">
        <f>IF(ISNA(VLOOKUP(A51,'Données projet'!$A$61:$I$81,6,0)),0%,VLOOKUP(A51,'Données projet'!$A$61:$I$81,6,0)*VLOOKUP('Données projet'!$B$10,Paramètres!$A$1:$I$89,7,0))</f>
        <v>9.240000000000001E-2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78.12390248786032</v>
      </c>
      <c r="AV51" s="21">
        <f>EXP(-LN(2)/25)*AV50+(1-EXP(-LN(2)/25))/(LN(2)/25)*Calculateur!AQ51*Calculateur!AS51*VLOOKUP('Données projet'!$B$10,Paramètres!$A$1:$I$89,3,0)*0.475*44/12</f>
        <v>24.261720592795644</v>
      </c>
      <c r="AW51" s="21">
        <f>EXP(-LN(2)/2)*AW50+(1-EXP(-LN(2)/2))/(LN(2)/2)*AQ51*AT51*VLOOKUP('Données projet'!$B$10,Paramètres!$A$1:$I$89,3,0)*0.475*44/12</f>
        <v>7.6638765903722392</v>
      </c>
      <c r="AX51" s="21">
        <f t="shared" si="6"/>
        <v>110.0494996710282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150.01271999999992</v>
      </c>
      <c r="BF51" s="13">
        <f t="shared" si="37"/>
        <v>38.581476272231626</v>
      </c>
      <c r="BG51" s="20">
        <f t="shared" si="7"/>
        <v>328.46822517413659</v>
      </c>
      <c r="BH51" s="59">
        <f t="shared" si="8"/>
        <v>621.80155850746996</v>
      </c>
      <c r="BI51" s="59">
        <f ca="1">AVERAGE(OFFSET($BH$3,0,0,'Données projet'!$E$11+1,1))-AVERAGE(OFFSET($H$3,0,0,'Données projet'!$E$11+1,1))</f>
        <v>203.42120484957661</v>
      </c>
      <c r="BJ51" s="59">
        <f t="shared" si="38"/>
        <v>201.8090670543379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9.1423998512149041</v>
      </c>
      <c r="BQ51" s="21">
        <f>EXP(-LN(2)/25)*BQ50+(1-EXP(-LN(2)/25))/(LN(2)/25)*Calculateur!BL51*Calculateur!BN51*VLOOKUP('Données projet'!$B$11,Paramètres!$A$1:$I$89,3,0)*0.475*44/12</f>
        <v>9.9201433387191944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19.062543189934097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1">
        <f t="shared" si="32"/>
        <v>7.6981514906452606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67">
        <f t="shared" si="1"/>
        <v>348.89973051287382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724.74050336523328</v>
      </c>
      <c r="S52" s="59">
        <f ca="1">AVERAGE(OFFSET($R$3,0,0,'Données projet'!$E$9+1,1))-AVERAGE(OFFSET($H$3,0,0,'Données projet'!$E$9+1,1))</f>
        <v>282.62919832217119</v>
      </c>
      <c r="T52" s="59">
        <f t="shared" si="34"/>
        <v>248.89638559192258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20.507692307692299</v>
      </c>
      <c r="AI52" s="13">
        <f>IF('Données projet'!$A$62&gt;35,AI51+AH52-AQ51,IF(A52&lt;'Données projet'!$A$62,$AF$205^A52,IF(A52='Données projet'!$A$62,'Données projet'!$B$62,AI51+AH52-AQ51)))</f>
        <v>464.26153846153835</v>
      </c>
      <c r="AJ52" s="13">
        <f>AI52*VLOOKUP('Données projet'!$B$10,Paramètres!$A$1:$I$89,3,0)*VLOOKUP('Données projet'!$B$10,Paramètres!$A$1:$I$89,5,0)</f>
        <v>259.52219999999994</v>
      </c>
      <c r="AK52" s="13">
        <f t="shared" si="35"/>
        <v>62.620519404058925</v>
      </c>
      <c r="AL52" s="20">
        <f t="shared" si="4"/>
        <v>561.06523629540254</v>
      </c>
      <c r="AM52" s="59">
        <f t="shared" si="5"/>
        <v>854.39856962873591</v>
      </c>
      <c r="AN52" s="59">
        <f ca="1">AVERAGE(OFFSET($AM$3,0,0,'Données projet'!$E$10+1,1))-AVERAGE(OFFSET($H$3,0,0,'Données projet'!$E$10+1,1))</f>
        <v>277.73784710957608</v>
      </c>
      <c r="AO52" s="59">
        <f t="shared" si="36"/>
        <v>369.67177565548127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76.591940410948766</v>
      </c>
      <c r="AV52" s="21">
        <f>EXP(-LN(2)/25)*AV51+(1-EXP(-LN(2)/25))/(LN(2)/25)*Calculateur!AQ52*Calculateur!AS52*VLOOKUP('Données projet'!$B$10,Paramètres!$A$1:$I$89,3,0)*0.475*44/12</f>
        <v>23.598282567317213</v>
      </c>
      <c r="AW52" s="21">
        <f>EXP(-LN(2)/2)*AW51+(1-EXP(-LN(2)/2))/(LN(2)/2)*AQ52*AT52*VLOOKUP('Données projet'!$B$10,Paramètres!$A$1:$I$89,3,0)*0.475*44/12</f>
        <v>5.4191791072290476</v>
      </c>
      <c r="AX52" s="21">
        <f t="shared" si="6"/>
        <v>105.60940208549502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155.29175999999993</v>
      </c>
      <c r="BF52" s="13">
        <f t="shared" si="37"/>
        <v>39.778719769696814</v>
      </c>
      <c r="BG52" s="20">
        <f t="shared" si="7"/>
        <v>339.74775226555511</v>
      </c>
      <c r="BH52" s="59">
        <f t="shared" si="8"/>
        <v>633.08108559888842</v>
      </c>
      <c r="BI52" s="59">
        <f ca="1">AVERAGE(OFFSET($BH$3,0,0,'Données projet'!$E$11+1,1))-AVERAGE(OFFSET($H$3,0,0,'Données projet'!$E$11+1,1))</f>
        <v>203.42120484957661</v>
      </c>
      <c r="BJ52" s="59">
        <f t="shared" si="38"/>
        <v>201.8090670543379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8.9631229664458747</v>
      </c>
      <c r="BQ52" s="21">
        <f>EXP(-LN(2)/25)*BQ51+(1-EXP(-LN(2)/25))/(LN(2)/25)*Calculateur!BL52*Calculateur!BN52*VLOOKUP('Données projet'!$B$11,Paramètres!$A$1:$I$89,3,0)*0.475*44/12</f>
        <v>9.6488764974442525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18.611999463890129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1">
        <f t="shared" si="32"/>
        <v>7.8368059426416599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67">
        <f t="shared" si="1"/>
        <v>350.00160368343415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742.25991286085764</v>
      </c>
      <c r="S53" s="59">
        <f ca="1">AVERAGE(OFFSET($R$3,0,0,'Données projet'!$E$9+1,1))-AVERAGE(OFFSET($H$3,0,0,'Données projet'!$E$9+1,1))</f>
        <v>282.62919832217119</v>
      </c>
      <c r="T53" s="59">
        <f t="shared" si="34"/>
        <v>248.89638559192258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20.507692307692299</v>
      </c>
      <c r="AI53" s="13">
        <f>IF('Données projet'!$A$62&gt;35,AI52+AH53-AQ52,IF(A53&lt;'Données projet'!$A$62,$AF$205^A53,IF(A53='Données projet'!$A$62,'Données projet'!$B$62,AI52+AH53-AQ52)))</f>
        <v>484.76923076923066</v>
      </c>
      <c r="AJ53" s="13">
        <f>AI53*VLOOKUP('Données projet'!$B$10,Paramètres!$A$1:$I$89,3,0)*VLOOKUP('Données projet'!$B$10,Paramètres!$A$1:$I$89,5,0)</f>
        <v>270.98599999999993</v>
      </c>
      <c r="AK53" s="13">
        <f t="shared" si="35"/>
        <v>65.058478958733772</v>
      </c>
      <c r="AL53" s="20">
        <f t="shared" si="4"/>
        <v>585.27746751979453</v>
      </c>
      <c r="AM53" s="59">
        <f t="shared" si="5"/>
        <v>878.61080085312778</v>
      </c>
      <c r="AN53" s="59">
        <f ca="1">AVERAGE(OFFSET($AM$3,0,0,'Données projet'!$E$10+1,1))-AVERAGE(OFFSET($H$3,0,0,'Données projet'!$E$10+1,1))</f>
        <v>277.73784710957608</v>
      </c>
      <c r="AO53" s="59">
        <f t="shared" si="36"/>
        <v>369.67177565548127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75.090019175960848</v>
      </c>
      <c r="AV53" s="21">
        <f>EXP(-LN(2)/25)*AV52+(1-EXP(-LN(2)/25))/(LN(2)/25)*Calculateur!AQ53*Calculateur!AS53*VLOOKUP('Données projet'!$B$10,Paramètres!$A$1:$I$89,3,0)*0.475*44/12</f>
        <v>22.952986289534177</v>
      </c>
      <c r="AW53" s="21">
        <f>EXP(-LN(2)/2)*AW52+(1-EXP(-LN(2)/2))/(LN(2)/2)*AQ53*AT53*VLOOKUP('Données projet'!$B$10,Paramètres!$A$1:$I$89,3,0)*0.475*44/12</f>
        <v>3.8319382951861205</v>
      </c>
      <c r="AX53" s="21">
        <f t="shared" si="6"/>
        <v>101.87494376068115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160.57079999999991</v>
      </c>
      <c r="BF53" s="13">
        <f t="shared" si="37"/>
        <v>40.97123424416818</v>
      </c>
      <c r="BG53" s="20">
        <f t="shared" si="7"/>
        <v>351.01904297525942</v>
      </c>
      <c r="BH53" s="59">
        <f t="shared" si="8"/>
        <v>644.35237630859274</v>
      </c>
      <c r="BI53" s="59">
        <f ca="1">AVERAGE(OFFSET($BH$3,0,0,'Données projet'!$E$11+1,1))-AVERAGE(OFFSET($H$3,0,0,'Données projet'!$E$11+1,1))</f>
        <v>203.42120484957661</v>
      </c>
      <c r="BJ53" s="59">
        <f t="shared" si="38"/>
        <v>201.8090670543379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0.30529999999999996</v>
      </c>
      <c r="BN53" s="16">
        <f>IF(ISNA(VLOOKUP(A53,'Données projet'!$A$87:$I$107,6,0)),0%,VLOOKUP(A53,'Données projet'!$A$87:$I$107,6,0)*VLOOKUP('Données projet'!$B$11,Paramètres!$A$1:$I$89,7,0))</f>
        <v>7.7399999999999997E-2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12.994097924127059</v>
      </c>
      <c r="BQ53" s="21">
        <f>EXP(-LN(2)/25)*BQ52+(1-EXP(-LN(2)/25))/(LN(2)/25)*Calculateur!BL53*Calculateur!BN53*VLOOKUP('Données projet'!$B$11,Paramètres!$A$1:$I$89,3,0)*0.475*44/12</f>
        <v>10.447324793879904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23.441422718006962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1">
        <f t="shared" si="32"/>
        <v>7.9751379597846981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67">
        <f t="shared" si="1"/>
        <v>351.10291527995832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759.76469751202762</v>
      </c>
      <c r="S54" s="59">
        <f ca="1">AVERAGE(OFFSET($R$3,0,0,'Données projet'!$E$9+1,1))-AVERAGE(OFFSET($H$3,0,0,'Données projet'!$E$9+1,1))</f>
        <v>282.62919832217119</v>
      </c>
      <c r="T54" s="59">
        <f t="shared" si="34"/>
        <v>248.89638559192258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20.507692307692299</v>
      </c>
      <c r="AI54" s="13">
        <f>IF('Données projet'!$A$62&gt;35,AI53+AH54-AQ53,IF(A54&lt;'Données projet'!$A$62,$AF$205^A54,IF(A54='Données projet'!$A$62,'Données projet'!$B$62,AI53+AH54-AQ53)))</f>
        <v>505.27692307692297</v>
      </c>
      <c r="AJ54" s="13">
        <f>AI54*VLOOKUP('Données projet'!$B$10,Paramètres!$A$1:$I$89,3,0)*VLOOKUP('Données projet'!$B$10,Paramètres!$A$1:$I$89,5,0)</f>
        <v>282.44979999999998</v>
      </c>
      <c r="AK54" s="13">
        <f t="shared" si="35"/>
        <v>67.484459274997945</v>
      </c>
      <c r="AL54" s="20">
        <f t="shared" si="4"/>
        <v>609.46883490395464</v>
      </c>
      <c r="AM54" s="59">
        <f t="shared" si="5"/>
        <v>902.80216823728802</v>
      </c>
      <c r="AN54" s="59">
        <f ca="1">AVERAGE(OFFSET($AM$3,0,0,'Données projet'!$E$10+1,1))-AVERAGE(OFFSET($H$3,0,0,'Données projet'!$E$10+1,1))</f>
        <v>277.73784710957608</v>
      </c>
      <c r="AO54" s="59">
        <f t="shared" si="36"/>
        <v>369.67177565548127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73.617549700309539</v>
      </c>
      <c r="AV54" s="21">
        <f>EXP(-LN(2)/25)*AV53+(1-EXP(-LN(2)/25))/(LN(2)/25)*Calculateur!AQ54*Calculateur!AS54*VLOOKUP('Données projet'!$B$10,Paramètres!$A$1:$I$89,3,0)*0.475*44/12</f>
        <v>22.325335672401774</v>
      </c>
      <c r="AW54" s="21">
        <f>EXP(-LN(2)/2)*AW53+(1-EXP(-LN(2)/2))/(LN(2)/2)*AQ54*AT54*VLOOKUP('Données projet'!$B$10,Paramètres!$A$1:$I$89,3,0)*0.475*44/12</f>
        <v>2.7095895536145242</v>
      </c>
      <c r="AX54" s="21">
        <f t="shared" si="6"/>
        <v>98.652474926325837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152.5055999999999</v>
      </c>
      <c r="BF54" s="13">
        <f t="shared" si="37"/>
        <v>39.147442061162181</v>
      </c>
      <c r="BG54" s="20">
        <f t="shared" si="7"/>
        <v>333.79571492319059</v>
      </c>
      <c r="BH54" s="59">
        <f t="shared" si="8"/>
        <v>627.1290482565239</v>
      </c>
      <c r="BI54" s="59">
        <f ca="1">AVERAGE(OFFSET($BH$3,0,0,'Données projet'!$E$11+1,1))-AVERAGE(OFFSET($H$3,0,0,'Données projet'!$E$11+1,1))</f>
        <v>203.42120484957661</v>
      </c>
      <c r="BJ54" s="59">
        <f t="shared" si="38"/>
        <v>201.8090670543379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12.739291589452071</v>
      </c>
      <c r="BQ54" s="21">
        <f>EXP(-LN(2)/25)*BQ53+(1-EXP(-LN(2)/25))/(LN(2)/25)*Calculateur!BL54*Calculateur!BN54*VLOOKUP('Données projet'!$B$11,Paramètres!$A$1:$I$89,3,0)*0.475*44/12</f>
        <v>10.161642147990325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22.900933737442394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1">
        <f t="shared" si="32"/>
        <v>8.1131545930997699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67">
        <f t="shared" si="1"/>
        <v>352.20367758298204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777.25548316852883</v>
      </c>
      <c r="S55" s="59">
        <f ca="1">AVERAGE(OFFSET($R$3,0,0,'Données projet'!$E$9+1,1))-AVERAGE(OFFSET($H$3,0,0,'Données projet'!$E$9+1,1))</f>
        <v>282.62919832217119</v>
      </c>
      <c r="T55" s="59">
        <f t="shared" si="34"/>
        <v>248.89638559192258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20.507692307692299</v>
      </c>
      <c r="AI55" s="13">
        <f>IF('Données projet'!$A$62&gt;35,AI54+AH55-AQ54,IF(A55&lt;'Données projet'!$A$62,$AF$205^A55,IF(A55='Données projet'!$A$62,'Données projet'!$B$62,AI54+AH55-AQ54)))</f>
        <v>525.78461538461522</v>
      </c>
      <c r="AJ55" s="13">
        <f>AI55*VLOOKUP('Données projet'!$B$10,Paramètres!$A$1:$I$89,3,0)*VLOOKUP('Données projet'!$B$10,Paramètres!$A$1:$I$89,5,0)</f>
        <v>293.91359999999992</v>
      </c>
      <c r="AK55" s="13">
        <f t="shared" si="35"/>
        <v>69.899002171586702</v>
      </c>
      <c r="AL55" s="20">
        <f t="shared" si="4"/>
        <v>633.64028211551329</v>
      </c>
      <c r="AM55" s="59">
        <f t="shared" si="5"/>
        <v>926.97361544884666</v>
      </c>
      <c r="AN55" s="59">
        <f ca="1">AVERAGE(OFFSET($AM$3,0,0,'Données projet'!$E$10+1,1))-AVERAGE(OFFSET($H$3,0,0,'Données projet'!$E$10+1,1))</f>
        <v>277.73784710957608</v>
      </c>
      <c r="AO55" s="59">
        <f t="shared" si="36"/>
        <v>369.67177565548127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72.173954452958057</v>
      </c>
      <c r="AV55" s="21">
        <f>EXP(-LN(2)/25)*AV54+(1-EXP(-LN(2)/25))/(LN(2)/25)*Calculateur!AQ55*Calculateur!AS55*VLOOKUP('Données projet'!$B$10,Paramètres!$A$1:$I$89,3,0)*0.475*44/12</f>
        <v>21.714848194401569</v>
      </c>
      <c r="AW55" s="21">
        <f>EXP(-LN(2)/2)*AW54+(1-EXP(-LN(2)/2))/(LN(2)/2)*AQ55*AT55*VLOOKUP('Données projet'!$B$10,Paramètres!$A$1:$I$89,3,0)*0.475*44/12</f>
        <v>1.9159691475930605</v>
      </c>
      <c r="AX55" s="21">
        <f t="shared" si="6"/>
        <v>95.804771794952686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156.90479999999991</v>
      </c>
      <c r="BF55" s="13">
        <f t="shared" si="37"/>
        <v>40.143592678874334</v>
      </c>
      <c r="BG55" s="20">
        <f t="shared" si="7"/>
        <v>343.1926172490393</v>
      </c>
      <c r="BH55" s="59">
        <f t="shared" si="8"/>
        <v>636.52595058237262</v>
      </c>
      <c r="BI55" s="59">
        <f ca="1">AVERAGE(OFFSET($BH$3,0,0,'Données projet'!$E$11+1,1))-AVERAGE(OFFSET($H$3,0,0,'Données projet'!$E$11+1,1))</f>
        <v>203.42120484957661</v>
      </c>
      <c r="BJ55" s="59">
        <f t="shared" si="38"/>
        <v>201.8090670543379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12.489481851583541</v>
      </c>
      <c r="BQ55" s="21">
        <f>EXP(-LN(2)/25)*BQ54+(1-EXP(-LN(2)/25))/(LN(2)/25)*Calculateur!BL55*Calculateur!BN55*VLOOKUP('Données projet'!$B$11,Paramètres!$A$1:$I$89,3,0)*0.475*44/12</f>
        <v>9.8837715090759932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22.373253360659533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1">
        <f t="shared" si="32"/>
        <v>8.250862606903512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67">
        <f t="shared" si="1"/>
        <v>353.30390237369022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794.73284677172524</v>
      </c>
      <c r="S56" s="59">
        <f ca="1">AVERAGE(OFFSET($R$3,0,0,'Données projet'!$E$9+1,1))-AVERAGE(OFFSET($H$3,0,0,'Données projet'!$E$9+1,1))</f>
        <v>282.62919832217119</v>
      </c>
      <c r="T56" s="59">
        <f t="shared" si="34"/>
        <v>248.89638559192258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20.507692307692299</v>
      </c>
      <c r="AI56" s="13">
        <f>IF('Données projet'!$A$62&gt;35,AI55+AH56-AQ55,IF(A56&lt;'Données projet'!$A$62,$AF$205^A56,IF(A56='Données projet'!$A$62,'Données projet'!$B$62,AI55+AH56-AQ55)))</f>
        <v>546.29230769230753</v>
      </c>
      <c r="AJ56" s="13">
        <f>AI56*VLOOKUP('Données projet'!$B$10,Paramètres!$A$1:$I$89,3,0)*VLOOKUP('Données projet'!$B$10,Paramètres!$A$1:$I$89,5,0)</f>
        <v>305.37739999999991</v>
      </c>
      <c r="AK56" s="13">
        <f t="shared" si="35"/>
        <v>72.302604807906476</v>
      </c>
      <c r="AL56" s="20">
        <f t="shared" si="4"/>
        <v>657.79267504043685</v>
      </c>
      <c r="AM56" s="59">
        <f t="shared" si="5"/>
        <v>951.12600837377022</v>
      </c>
      <c r="AN56" s="59">
        <f ca="1">AVERAGE(OFFSET($AM$3,0,0,'Données projet'!$E$10+1,1))-AVERAGE(OFFSET($H$3,0,0,'Données projet'!$E$10+1,1))</f>
        <v>277.73784710957608</v>
      </c>
      <c r="AO56" s="59">
        <f t="shared" si="36"/>
        <v>369.67177565548127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70.758667227900972</v>
      </c>
      <c r="AV56" s="21">
        <f>EXP(-LN(2)/25)*AV55+(1-EXP(-LN(2)/25))/(LN(2)/25)*Calculateur!AQ56*Calculateur!AS56*VLOOKUP('Données projet'!$B$10,Paramètres!$A$1:$I$89,3,0)*0.475*44/12</f>
        <v>21.121054528591422</v>
      </c>
      <c r="AW56" s="21">
        <f>EXP(-LN(2)/2)*AW55+(1-EXP(-LN(2)/2))/(LN(2)/2)*AQ56*AT56*VLOOKUP('Données projet'!$B$10,Paramètres!$A$1:$I$89,3,0)*0.475*44/12</f>
        <v>1.3547947768072623</v>
      </c>
      <c r="AX56" s="21">
        <f t="shared" si="6"/>
        <v>93.234516533299654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161.30399999999992</v>
      </c>
      <c r="BF56" s="13">
        <f t="shared" si="37"/>
        <v>41.136497157560363</v>
      </c>
      <c r="BG56" s="20">
        <f t="shared" si="7"/>
        <v>352.58386588275084</v>
      </c>
      <c r="BH56" s="59">
        <f t="shared" si="8"/>
        <v>645.9171992160841</v>
      </c>
      <c r="BI56" s="59">
        <f ca="1">AVERAGE(OFFSET($BH$3,0,0,'Données projet'!$E$11+1,1))-AVERAGE(OFFSET($H$3,0,0,'Données projet'!$E$11+1,1))</f>
        <v>203.42120484957661</v>
      </c>
      <c r="BJ56" s="59">
        <f t="shared" si="38"/>
        <v>201.8090670543379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12.244570730305719</v>
      </c>
      <c r="BQ56" s="21">
        <f>EXP(-LN(2)/25)*BQ55+(1-EXP(-LN(2)/25))/(LN(2)/25)*Calculateur!BL56*Calculateur!BN56*VLOOKUP('Données projet'!$B$11,Paramètres!$A$1:$I$89,3,0)*0.475*44/12</f>
        <v>9.6134992573953557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21.858069987701075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1">
        <f t="shared" si="32"/>
        <v>8.388268495647786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67">
        <f t="shared" si="1"/>
        <v>354.40360096325321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812.19732178320896</v>
      </c>
      <c r="S57" s="59">
        <f ca="1">AVERAGE(OFFSET($R$3,0,0,'Données projet'!$E$9+1,1))-AVERAGE(OFFSET($H$3,0,0,'Données projet'!$E$9+1,1))</f>
        <v>282.62919832217119</v>
      </c>
      <c r="T57" s="59">
        <f t="shared" si="34"/>
        <v>248.89638559192258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566.79999999999995</v>
      </c>
      <c r="AG57" s="12">
        <f>VLOOKUP(A57,'Données projet'!$A$61:$I$81,9,0)</f>
        <v>20.507692307692299</v>
      </c>
      <c r="AH57" s="12">
        <f t="array" ref="AH57">INDEX(AG:AG,MIN(IF(ISNUMBER(AG57:AG253),ROW(AG57:AG253),"")))</f>
        <v>20.507692307692299</v>
      </c>
      <c r="AI57" s="13">
        <f>IF('Données projet'!$A$62&gt;35,AI56+AH57-AQ56,IF(A57&lt;'Données projet'!$A$62,$AF$205^A57,IF(A57='Données projet'!$A$62,'Données projet'!$B$62,AI56+AH57-AQ56)))</f>
        <v>566.79999999999984</v>
      </c>
      <c r="AJ57" s="13">
        <f>AI57*VLOOKUP('Données projet'!$B$10,Paramètres!$A$1:$I$89,3,0)*VLOOKUP('Données projet'!$B$10,Paramètres!$A$1:$I$89,5,0)</f>
        <v>316.8411999999999</v>
      </c>
      <c r="AK57" s="13">
        <f t="shared" si="35"/>
        <v>74.695724902330795</v>
      </c>
      <c r="AL57" s="20">
        <f t="shared" si="4"/>
        <v>681.92681087155927</v>
      </c>
      <c r="AM57" s="59">
        <f t="shared" si="5"/>
        <v>975.26014420489264</v>
      </c>
      <c r="AN57" s="59">
        <f ca="1">AVERAGE(OFFSET($AM$3,0,0,'Données projet'!$E$10+1,1))-AVERAGE(OFFSET($H$3,0,0,'Données projet'!$E$10+1,1))</f>
        <v>277.73784710957608</v>
      </c>
      <c r="AO57" s="59">
        <f t="shared" si="36"/>
        <v>369.67177565548127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566.79999999999995</v>
      </c>
      <c r="AR57" s="16">
        <f>IF(ISNA(VLOOKUP(A57,'Données projet'!$A$61:$I$81,5,0)),0%,VLOOKUP(A57,'Données projet'!$A$61:$I$81,5,0)*VLOOKUP('Données projet'!$B$10,Paramètres!$A$1:$I$89,7,0))</f>
        <v>0.38500000000000001</v>
      </c>
      <c r="AS57" s="16">
        <f>IF(ISNA(VLOOKUP(A57,'Données projet'!$A$61:$I$81,6,0)),0%,VLOOKUP(A57,'Données projet'!$A$61:$I$81,6,0)*VLOOKUP('Données projet'!$B$10,Paramètres!$A$1:$I$89,7,0))</f>
        <v>9.240000000000001E-2</v>
      </c>
      <c r="AT57" s="16">
        <f>IF(ISNA(VLOOKUP(A57,'Données projet'!$A$61:$I$81,7,0)),0%,VLOOKUP(A57,'Données projet'!$A$61:$I$81,7,0))</f>
        <v>0.13200000000000001</v>
      </c>
      <c r="AU57" s="21">
        <f>EXP(-LN(2)/35)*AU56+(1-EXP(-LN(2)/35))/(LN(2)/35)*AQ57*AR57*VLOOKUP('Données projet'!$B$10,Paramètres!$A$1:$I$89,3,0)*0.475*44/12</f>
        <v>231.19058838852931</v>
      </c>
      <c r="AV57" s="21">
        <f>EXP(-LN(2)/25)*AV56+(1-EXP(-LN(2)/25))/(LN(2)/25)*Calculateur!AQ57*Calculateur!AS57*VLOOKUP('Données projet'!$B$10,Paramètres!$A$1:$I$89,3,0)*0.475*44/12</f>
        <v>59.227252728732921</v>
      </c>
      <c r="AW57" s="21">
        <f>EXP(-LN(2)/2)*AW56+(1-EXP(-LN(2)/2))/(LN(2)/2)*AQ57*AT57*VLOOKUP('Données projet'!$B$10,Paramètres!$A$1:$I$89,3,0)*0.475*44/12</f>
        <v>48.311379430966142</v>
      </c>
      <c r="AX57" s="21">
        <f t="shared" si="6"/>
        <v>338.7292205482284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165.70319999999992</v>
      </c>
      <c r="BF57" s="13">
        <f t="shared" si="37"/>
        <v>42.126254201367267</v>
      </c>
      <c r="BG57" s="20">
        <f t="shared" si="7"/>
        <v>361.96963273404782</v>
      </c>
      <c r="BH57" s="59">
        <f t="shared" si="8"/>
        <v>655.30296606738113</v>
      </c>
      <c r="BI57" s="59">
        <f ca="1">AVERAGE(OFFSET($BH$3,0,0,'Données projet'!$E$11+1,1))-AVERAGE(OFFSET($H$3,0,0,'Données projet'!$E$11+1,1))</f>
        <v>203.42120484957661</v>
      </c>
      <c r="BJ57" s="59">
        <f t="shared" si="38"/>
        <v>201.8090670543379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12.004462166735122</v>
      </c>
      <c r="BQ57" s="21">
        <f>EXP(-LN(2)/25)*BQ56+(1-EXP(-LN(2)/25))/(LN(2)/25)*Calculateur!BL57*Calculateur!BN57*VLOOKUP('Données projet'!$B$11,Paramètres!$A$1:$I$89,3,0)*0.475*44/12</f>
        <v>9.3506176146499254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21.355079781385047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1">
        <f t="shared" si="32"/>
        <v>8.5253784994806487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67">
        <f t="shared" si="1"/>
        <v>355.50278421992874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829.64940284477098</v>
      </c>
      <c r="S58" s="59">
        <f ca="1">AVERAGE(OFFSET($R$3,0,0,'Données projet'!$E$9+1,1))-AVERAGE(OFFSET($H$3,0,0,'Données projet'!$E$9+1,1))</f>
        <v>282.62919832217119</v>
      </c>
      <c r="T58" s="59">
        <f t="shared" si="34"/>
        <v>248.89638559192258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-1.1368683772161603E-13</v>
      </c>
      <c r="AJ58" s="13">
        <f>AI58*VLOOKUP('Données projet'!$B$10,Paramètres!$A$1:$I$89,3,0)*VLOOKUP('Données projet'!$B$10,Paramètres!$A$1:$I$89,5,0)</f>
        <v>-6.3550942286383367E-14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277.73784710957608</v>
      </c>
      <c r="AO58" s="59">
        <f t="shared" si="36"/>
        <v>369.67177565548127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226.65708196256534</v>
      </c>
      <c r="AV58" s="21">
        <f>EXP(-LN(2)/25)*AV57+(1-EXP(-LN(2)/25))/(LN(2)/25)*Calculateur!AQ58*Calculateur!AS58*VLOOKUP('Données projet'!$B$10,Paramètres!$A$1:$I$89,3,0)*0.475*44/12</f>
        <v>57.607680388239864</v>
      </c>
      <c r="AW58" s="21">
        <f>EXP(-LN(2)/2)*AW57+(1-EXP(-LN(2)/2))/(LN(2)/2)*AQ58*AT58*VLOOKUP('Données projet'!$B$10,Paramètres!$A$1:$I$89,3,0)*0.475*44/12</f>
        <v>34.161304004112452</v>
      </c>
      <c r="AX58" s="21">
        <f t="shared" si="6"/>
        <v>318.42606635491768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170.1023999999999</v>
      </c>
      <c r="BF58" s="13">
        <f t="shared" si="37"/>
        <v>43.112956975087329</v>
      </c>
      <c r="BG58" s="20">
        <f t="shared" si="7"/>
        <v>371.35008006494354</v>
      </c>
      <c r="BH58" s="59">
        <f t="shared" si="8"/>
        <v>664.6834133982768</v>
      </c>
      <c r="BI58" s="59">
        <f ca="1">AVERAGE(OFFSET($BH$3,0,0,'Données projet'!$E$11+1,1))-AVERAGE(OFFSET($H$3,0,0,'Données projet'!$E$11+1,1))</f>
        <v>203.42120484957661</v>
      </c>
      <c r="BJ58" s="59">
        <f t="shared" si="38"/>
        <v>201.8090670543379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0.33110000000000001</v>
      </c>
      <c r="BN58" s="16">
        <f>IF(ISNA(VLOOKUP(A58,'Données projet'!$A$87:$I$107,6,0)),0%,VLOOKUP(A58,'Données projet'!$A$87:$I$107,6,0)*VLOOKUP('Données projet'!$B$11,Paramètres!$A$1:$I$89,7,0))</f>
        <v>6.4500000000000002E-2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15.257830062214461</v>
      </c>
      <c r="BQ58" s="21">
        <f>EXP(-LN(2)/25)*BQ57+(1-EXP(-LN(2)/25))/(LN(2)/25)*Calculateur!BL58*Calculateur!BN58*VLOOKUP('Données projet'!$B$11,Paramètres!$A$1:$I$89,3,0)*0.475*44/12</f>
        <v>9.7718786661966828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25.029708728411144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1">
        <f t="shared" si="32"/>
        <v>8.6621986186436022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67">
        <f t="shared" si="1"/>
        <v>356.60146259413756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847.0895498004968</v>
      </c>
      <c r="S59" s="59">
        <f ca="1">AVERAGE(OFFSET($R$3,0,0,'Données projet'!$E$9+1,1))-AVERAGE(OFFSET($H$3,0,0,'Données projet'!$E$9+1,1))</f>
        <v>282.62919832217119</v>
      </c>
      <c r="T59" s="59">
        <f t="shared" si="34"/>
        <v>248.89638559192258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-1.1368683772161603E-13</v>
      </c>
      <c r="AJ59" s="13">
        <f>AI59*VLOOKUP('Données projet'!$B$10,Paramètres!$A$1:$I$89,3,0)*VLOOKUP('Données projet'!$B$10,Paramètres!$A$1:$I$89,5,0)</f>
        <v>-6.3550942286383367E-14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277.73784710957608</v>
      </c>
      <c r="AO59" s="59">
        <f t="shared" si="36"/>
        <v>369.67177565548127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222.21247483244866</v>
      </c>
      <c r="AV59" s="21">
        <f>EXP(-LN(2)/25)*AV58+(1-EXP(-LN(2)/25))/(LN(2)/25)*Calculateur!AQ59*Calculateur!AS59*VLOOKUP('Données projet'!$B$10,Paramètres!$A$1:$I$89,3,0)*0.475*44/12</f>
        <v>56.032395338567198</v>
      </c>
      <c r="AW59" s="21">
        <f>EXP(-LN(2)/2)*AW58+(1-EXP(-LN(2)/2))/(LN(2)/2)*AQ59*AT59*VLOOKUP('Données projet'!$B$10,Paramètres!$A$1:$I$89,3,0)*0.475*44/12</f>
        <v>24.155689715483074</v>
      </c>
      <c r="AX59" s="21">
        <f t="shared" si="6"/>
        <v>302.40055988649891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164.38343999999992</v>
      </c>
      <c r="BF59" s="13">
        <f t="shared" si="37"/>
        <v>41.82965192331919</v>
      </c>
      <c r="BG59" s="20">
        <f t="shared" si="7"/>
        <v>359.15446843311406</v>
      </c>
      <c r="BH59" s="59">
        <f t="shared" si="8"/>
        <v>652.48780176644732</v>
      </c>
      <c r="BI59" s="59">
        <f ca="1">AVERAGE(OFFSET($BH$3,0,0,'Données projet'!$E$11+1,1))-AVERAGE(OFFSET($H$3,0,0,'Données projet'!$E$11+1,1))</f>
        <v>203.42120484957661</v>
      </c>
      <c r="BJ59" s="59">
        <f t="shared" si="38"/>
        <v>201.8090670543379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14.958633321051847</v>
      </c>
      <c r="BQ59" s="21">
        <f>EXP(-LN(2)/25)*BQ58+(1-EXP(-LN(2)/25))/(LN(2)/25)*Calculateur!BL59*Calculateur!BN59*VLOOKUP('Données projet'!$B$11,Paramètres!$A$1:$I$89,3,0)*0.475*44/12</f>
        <v>9.5046661301887685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24.463299451240616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1">
        <f t="shared" si="32"/>
        <v>8.7987346268113527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67">
        <f t="shared" si="1"/>
        <v>357.69964614169641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786.30087043382196</v>
      </c>
      <c r="S60" s="59">
        <f ca="1">AVERAGE(OFFSET($R$3,0,0,'Données projet'!$E$9+1,1))-AVERAGE(OFFSET($H$3,0,0,'Données projet'!$E$9+1,1))</f>
        <v>282.62919832217119</v>
      </c>
      <c r="T60" s="59">
        <f t="shared" si="34"/>
        <v>248.89638559192258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-1.1368683772161603E-13</v>
      </c>
      <c r="AJ60" s="13">
        <f>AI60*VLOOKUP('Données projet'!$B$10,Paramètres!$A$1:$I$89,3,0)*VLOOKUP('Données projet'!$B$10,Paramètres!$A$1:$I$89,5,0)</f>
        <v>-6.3550942286383367E-14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277.73784710957608</v>
      </c>
      <c r="AO60" s="59">
        <f t="shared" si="36"/>
        <v>369.67177565548127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217.8550237372109</v>
      </c>
      <c r="AV60" s="21">
        <f>EXP(-LN(2)/25)*AV59+(1-EXP(-LN(2)/25))/(LN(2)/25)*Calculateur!AQ60*Calculateur!AS60*VLOOKUP('Données projet'!$B$10,Paramètres!$A$1:$I$89,3,0)*0.475*44/12</f>
        <v>54.500186541418472</v>
      </c>
      <c r="AW60" s="21">
        <f>EXP(-LN(2)/2)*AW59+(1-EXP(-LN(2)/2))/(LN(2)/2)*AQ60*AT60*VLOOKUP('Données projet'!$B$10,Paramètres!$A$1:$I$89,3,0)*0.475*44/12</f>
        <v>17.08065200205623</v>
      </c>
      <c r="AX60" s="21">
        <f t="shared" si="6"/>
        <v>289.43586228068563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168.19607999999988</v>
      </c>
      <c r="BF60" s="13">
        <f t="shared" si="37"/>
        <v>42.685755010634267</v>
      </c>
      <c r="BG60" s="20">
        <f t="shared" si="7"/>
        <v>367.28586264352111</v>
      </c>
      <c r="BH60" s="59">
        <f t="shared" si="8"/>
        <v>660.61919597685437</v>
      </c>
      <c r="BI60" s="59">
        <f ca="1">AVERAGE(OFFSET($BH$3,0,0,'Données projet'!$E$11+1,1))-AVERAGE(OFFSET($H$3,0,0,'Données projet'!$E$11+1,1))</f>
        <v>203.42120484957661</v>
      </c>
      <c r="BJ60" s="59">
        <f t="shared" si="38"/>
        <v>201.8090670543379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14.66530364549144</v>
      </c>
      <c r="BQ60" s="21">
        <f>EXP(-LN(2)/25)*BQ59+(1-EXP(-LN(2)/25))/(LN(2)/25)*Calculateur!BL60*Calculateur!BN60*VLOOKUP('Données projet'!$B$11,Paramètres!$A$1:$I$89,3,0)*0.475*44/12</f>
        <v>9.2447605350300872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23.910064180521527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1">
        <f t="shared" si="32"/>
        <v>8.9349920834689218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67">
        <f t="shared" si="1"/>
        <v>358.79734454537498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801.56937962325628</v>
      </c>
      <c r="S61" s="59">
        <f ca="1">AVERAGE(OFFSET($R$3,0,0,'Données projet'!$E$9+1,1))-AVERAGE(OFFSET($H$3,0,0,'Données projet'!$E$9+1,1))</f>
        <v>282.62919832217119</v>
      </c>
      <c r="T61" s="59">
        <f t="shared" si="34"/>
        <v>248.89638559192258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-1.1368683772161603E-13</v>
      </c>
      <c r="AJ61" s="13">
        <f>AI61*VLOOKUP('Données projet'!$B$10,Paramètres!$A$1:$I$89,3,0)*VLOOKUP('Données projet'!$B$10,Paramètres!$A$1:$I$89,5,0)</f>
        <v>-6.3550942286383367E-14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277.73784710957608</v>
      </c>
      <c r="AO61" s="59">
        <f t="shared" si="36"/>
        <v>369.67177565548127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213.58301960016803</v>
      </c>
      <c r="AV61" s="21">
        <f>EXP(-LN(2)/25)*AV60+(1-EXP(-LN(2)/25))/(LN(2)/25)*Calculateur!AQ61*Calculateur!AS61*VLOOKUP('Données projet'!$B$10,Paramètres!$A$1:$I$89,3,0)*0.475*44/12</f>
        <v>53.009876074403138</v>
      </c>
      <c r="AW61" s="21">
        <f>EXP(-LN(2)/2)*AW60+(1-EXP(-LN(2)/2))/(LN(2)/2)*AQ61*AT61*VLOOKUP('Données projet'!$B$10,Paramètres!$A$1:$I$89,3,0)*0.475*44/12</f>
        <v>12.077844857741541</v>
      </c>
      <c r="AX61" s="21">
        <f t="shared" si="6"/>
        <v>278.67074053231272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172.0087199999999</v>
      </c>
      <c r="BF61" s="13">
        <f t="shared" si="37"/>
        <v>43.539602012936164</v>
      </c>
      <c r="BG61" s="20">
        <f t="shared" si="7"/>
        <v>375.41332750586366</v>
      </c>
      <c r="BH61" s="59">
        <f t="shared" si="8"/>
        <v>668.74666083919692</v>
      </c>
      <c r="BI61" s="59">
        <f ca="1">AVERAGE(OFFSET($BH$3,0,0,'Données projet'!$E$11+1,1))-AVERAGE(OFFSET($H$3,0,0,'Données projet'!$E$11+1,1))</f>
        <v>203.42120484957661</v>
      </c>
      <c r="BJ61" s="59">
        <f t="shared" si="38"/>
        <v>201.8090670543379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14.377725985955335</v>
      </c>
      <c r="BQ61" s="21">
        <f>EXP(-LN(2)/25)*BQ60+(1-EXP(-LN(2)/25))/(LN(2)/25)*Calculateur!BL61*Calculateur!BN61*VLOOKUP('Données projet'!$B$11,Paramètres!$A$1:$I$89,3,0)*0.475*44/12</f>
        <v>8.9919620720388629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23.369688057994196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1">
        <f t="shared" si="32"/>
        <v>9.0709763454110508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67">
        <f t="shared" si="1"/>
        <v>359.89456713492422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816.82819725284298</v>
      </c>
      <c r="S62" s="59">
        <f ca="1">AVERAGE(OFFSET($R$3,0,0,'Données projet'!$E$9+1,1))-AVERAGE(OFFSET($H$3,0,0,'Données projet'!$E$9+1,1))</f>
        <v>282.62919832217119</v>
      </c>
      <c r="T62" s="59">
        <f t="shared" si="34"/>
        <v>248.89638559192258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-1.1368683772161603E-13</v>
      </c>
      <c r="AJ62" s="13">
        <f>AI62*VLOOKUP('Données projet'!$B$10,Paramètres!$A$1:$I$89,3,0)*VLOOKUP('Données projet'!$B$10,Paramètres!$A$1:$I$89,5,0)</f>
        <v>-6.3550942286383367E-14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277.73784710957608</v>
      </c>
      <c r="AO62" s="59">
        <f t="shared" si="36"/>
        <v>369.67177565548127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209.39478685858731</v>
      </c>
      <c r="AV62" s="21">
        <f>EXP(-LN(2)/25)*AV61+(1-EXP(-LN(2)/25))/(LN(2)/25)*Calculateur!AQ62*Calculateur!AS62*VLOOKUP('Données projet'!$B$10,Paramètres!$A$1:$I$89,3,0)*0.475*44/12</f>
        <v>51.560318225480358</v>
      </c>
      <c r="AW62" s="21">
        <f>EXP(-LN(2)/2)*AW61+(1-EXP(-LN(2)/2))/(LN(2)/2)*AQ62*AT62*VLOOKUP('Données projet'!$B$10,Paramètres!$A$1:$I$89,3,0)*0.475*44/12</f>
        <v>8.5403260010281166</v>
      </c>
      <c r="AX62" s="21">
        <f t="shared" si="6"/>
        <v>269.49543108509579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175.82135999999988</v>
      </c>
      <c r="BF62" s="13">
        <f t="shared" si="37"/>
        <v>44.391248695306977</v>
      </c>
      <c r="BG62" s="20">
        <f t="shared" si="7"/>
        <v>383.53696014432609</v>
      </c>
      <c r="BH62" s="59">
        <f t="shared" si="8"/>
        <v>676.8702934776594</v>
      </c>
      <c r="BI62" s="59">
        <f ca="1">AVERAGE(OFFSET($BH$3,0,0,'Données projet'!$E$11+1,1))-AVERAGE(OFFSET($H$3,0,0,'Données projet'!$E$11+1,1))</f>
        <v>203.42120484957661</v>
      </c>
      <c r="BJ62" s="59">
        <f t="shared" si="38"/>
        <v>201.8090670543379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14.095787548917681</v>
      </c>
      <c r="BQ62" s="21">
        <f>EXP(-LN(2)/25)*BQ61+(1-EXP(-LN(2)/25))/(LN(2)/25)*Calculateur!BL62*Calculateur!BN62*VLOOKUP('Données projet'!$B$11,Paramètres!$A$1:$I$89,3,0)*0.475*44/12</f>
        <v>8.7460763963122261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22.841863945229907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1">
        <f t="shared" si="32"/>
        <v>9.2066925774398314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67">
        <f t="shared" si="1"/>
        <v>360.99132290570765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832.07764548194177</v>
      </c>
      <c r="S63" s="59">
        <f ca="1">AVERAGE(OFFSET($R$3,0,0,'Données projet'!$E$9+1,1))-AVERAGE(OFFSET($H$3,0,0,'Données projet'!$E$9+1,1))</f>
        <v>282.62919832217119</v>
      </c>
      <c r="T63" s="59">
        <f t="shared" si="34"/>
        <v>248.89638559192258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-1.1368683772161603E-13</v>
      </c>
      <c r="AJ63" s="13">
        <f>AI63*VLOOKUP('Données projet'!$B$10,Paramètres!$A$1:$I$89,3,0)*VLOOKUP('Données projet'!$B$10,Paramètres!$A$1:$I$89,5,0)</f>
        <v>-6.3550942286383367E-14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277.73784710957608</v>
      </c>
      <c r="AO63" s="59">
        <f t="shared" si="36"/>
        <v>369.67177565548127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205.28868280649928</v>
      </c>
      <c r="AV63" s="21">
        <f>EXP(-LN(2)/25)*AV62+(1-EXP(-LN(2)/25))/(LN(2)/25)*Calculateur!AQ63*Calculateur!AS63*VLOOKUP('Données projet'!$B$10,Paramètres!$A$1:$I$89,3,0)*0.475*44/12</f>
        <v>50.150398612165304</v>
      </c>
      <c r="AW63" s="21">
        <f>EXP(-LN(2)/2)*AW62+(1-EXP(-LN(2)/2))/(LN(2)/2)*AQ63*AT63*VLOOKUP('Données projet'!$B$10,Paramètres!$A$1:$I$89,3,0)*0.475*44/12</f>
        <v>6.0389224288707712</v>
      </c>
      <c r="AX63" s="21">
        <f t="shared" si="6"/>
        <v>261.47800384753538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179.63399999999987</v>
      </c>
      <c r="BF63" s="13">
        <f t="shared" si="37"/>
        <v>45.240748266194686</v>
      </c>
      <c r="BG63" s="20">
        <f t="shared" si="7"/>
        <v>391.65685323028885</v>
      </c>
      <c r="BH63" s="59">
        <f t="shared" si="8"/>
        <v>684.99018656362216</v>
      </c>
      <c r="BI63" s="59">
        <f ca="1">AVERAGE(OFFSET($BH$3,0,0,'Données projet'!$E$11+1,1))-AVERAGE(OFFSET($H$3,0,0,'Données projet'!$E$11+1,1))</f>
        <v>203.42120484957661</v>
      </c>
      <c r="BJ63" s="59">
        <f t="shared" si="38"/>
        <v>201.8090670543379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0.3569</v>
      </c>
      <c r="BN63" s="16">
        <f>IF(ISNA(VLOOKUP(A63,'Données projet'!$A$87:$I$107,6,0)),0%,VLOOKUP(A63,'Données projet'!$A$87:$I$107,6,0)*VLOOKUP('Données projet'!$B$11,Paramètres!$A$1:$I$89,7,0))</f>
        <v>3.44E-2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17.290719415266068</v>
      </c>
      <c r="BQ63" s="21">
        <f>EXP(-LN(2)/25)*BQ62+(1-EXP(-LN(2)/25))/(LN(2)/25)*Calculateur!BL63*Calculateur!BN63*VLOOKUP('Données projet'!$B$11,Paramètres!$A$1:$I$89,3,0)*0.475*44/12</f>
        <v>8.8401842284312533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26.130903643697323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1">
        <f t="shared" si="32"/>
        <v>9.3421457623289594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67">
        <f t="shared" si="1"/>
        <v>362.08762053605625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847.31802675293875</v>
      </c>
      <c r="S64" s="59">
        <f ca="1">AVERAGE(OFFSET($R$3,0,0,'Données projet'!$E$9+1,1))-AVERAGE(OFFSET($H$3,0,0,'Données projet'!$E$9+1,1))</f>
        <v>282.62919832217119</v>
      </c>
      <c r="T64" s="59">
        <f t="shared" si="34"/>
        <v>248.89638559192258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-6.3550942286383367E-14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277.73784710957608</v>
      </c>
      <c r="AO64" s="59">
        <f t="shared" si="36"/>
        <v>369.67177565548127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201.26309695039652</v>
      </c>
      <c r="AV64" s="21">
        <f>EXP(-LN(2)/25)*AV63+(1-EXP(-LN(2)/25))/(LN(2)/25)*Calculateur!AQ64*Calculateur!AS64*VLOOKUP('Données projet'!$B$10,Paramètres!$A$1:$I$89,3,0)*0.475*44/12</f>
        <v>48.779033324820801</v>
      </c>
      <c r="AW64" s="21">
        <f>EXP(-LN(2)/2)*AW63+(1-EXP(-LN(2)/2))/(LN(2)/2)*AQ64*AT64*VLOOKUP('Données projet'!$B$10,Paramètres!$A$1:$I$89,3,0)*0.475*44/12</f>
        <v>4.2701630005140592</v>
      </c>
      <c r="AX64" s="21">
        <f t="shared" si="6"/>
        <v>254.31229327573138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174.06167999999988</v>
      </c>
      <c r="BF64" s="13">
        <f t="shared" si="37"/>
        <v>43.998450960214953</v>
      </c>
      <c r="BG64" s="20">
        <f t="shared" si="7"/>
        <v>379.78806142237414</v>
      </c>
      <c r="BH64" s="59">
        <f t="shared" si="8"/>
        <v>673.12139475570746</v>
      </c>
      <c r="BI64" s="59">
        <f ca="1">AVERAGE(OFFSET($BH$3,0,0,'Données projet'!$E$11+1,1))-AVERAGE(OFFSET($H$3,0,0,'Données projet'!$E$11+1,1))</f>
        <v>203.42120484957661</v>
      </c>
      <c r="BJ64" s="59">
        <f t="shared" si="38"/>
        <v>201.8090670543379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16.951658953830183</v>
      </c>
      <c r="BQ64" s="21">
        <f>EXP(-LN(2)/25)*BQ63+(1-EXP(-LN(2)/25))/(LN(2)/25)*Calculateur!BL64*Calculateur!BN64*VLOOKUP('Données projet'!$B$11,Paramètres!$A$1:$I$89,3,0)*0.475*44/12</f>
        <v>8.5984489258197172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25.5501078796499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1">
        <f t="shared" si="32"/>
        <v>9.4773407101161169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67">
        <f t="shared" si="1"/>
        <v>363.1834684034522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862.54962551842982</v>
      </c>
      <c r="S65" s="59">
        <f ca="1">AVERAGE(OFFSET($R$3,0,0,'Données projet'!$E$9+1,1))-AVERAGE(OFFSET($H$3,0,0,'Données projet'!$E$9+1,1))</f>
        <v>282.62919832217119</v>
      </c>
      <c r="T65" s="59">
        <f t="shared" si="34"/>
        <v>248.89638559192258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-6.3550942286383367E-14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277.73784710957608</v>
      </c>
      <c r="AO65" s="59">
        <f t="shared" si="36"/>
        <v>369.67177565548127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197.31645037756701</v>
      </c>
      <c r="AV65" s="21">
        <f>EXP(-LN(2)/25)*AV64+(1-EXP(-LN(2)/25))/(LN(2)/25)*Calculateur!AQ65*Calculateur!AS65*VLOOKUP('Données projet'!$B$10,Paramètres!$A$1:$I$89,3,0)*0.475*44/12</f>
        <v>47.445168093375699</v>
      </c>
      <c r="AW65" s="21">
        <f>EXP(-LN(2)/2)*AW64+(1-EXP(-LN(2)/2))/(LN(2)/2)*AQ65*AT65*VLOOKUP('Données projet'!$B$10,Paramètres!$A$1:$I$89,3,0)*0.475*44/12</f>
        <v>3.0194612144353861</v>
      </c>
      <c r="AX65" s="21">
        <f t="shared" si="6"/>
        <v>247.7810796853781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177.28775999999988</v>
      </c>
      <c r="BF65" s="13">
        <f t="shared" si="37"/>
        <v>44.718230568721658</v>
      </c>
      <c r="BG65" s="20">
        <f t="shared" si="7"/>
        <v>386.66043357385661</v>
      </c>
      <c r="BH65" s="59">
        <f t="shared" si="8"/>
        <v>679.99376690718987</v>
      </c>
      <c r="BI65" s="59">
        <f ca="1">AVERAGE(OFFSET($BH$3,0,0,'Données projet'!$E$11+1,1))-AVERAGE(OFFSET($H$3,0,0,'Données projet'!$E$11+1,1))</f>
        <v>203.42120484957661</v>
      </c>
      <c r="BJ65" s="59">
        <f t="shared" si="38"/>
        <v>201.8090670543379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16.619247261236595</v>
      </c>
      <c r="BQ65" s="21">
        <f>EXP(-LN(2)/25)*BQ64+(1-EXP(-LN(2)/25))/(LN(2)/25)*Calculateur!BL65*Calculateur!BN65*VLOOKUP('Données projet'!$B$11,Paramètres!$A$1:$I$89,3,0)*0.475*44/12</f>
        <v>8.3633238877704006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24.982571149006993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1">
        <f t="shared" si="32"/>
        <v>9.612282066778798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67">
        <f t="shared" si="1"/>
        <v>364.27887459963972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877.7727097739953</v>
      </c>
      <c r="S66" s="59">
        <f ca="1">AVERAGE(OFFSET($R$3,0,0,'Données projet'!$E$9+1,1))-AVERAGE(OFFSET($H$3,0,0,'Données projet'!$E$9+1,1))</f>
        <v>282.62919832217119</v>
      </c>
      <c r="T66" s="59">
        <f t="shared" si="34"/>
        <v>248.89638559192258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-6.3550942286383367E-14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277.73784710957608</v>
      </c>
      <c r="AO66" s="59">
        <f t="shared" si="36"/>
        <v>369.67177565548127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193.44719513681397</v>
      </c>
      <c r="AV66" s="21">
        <f>EXP(-LN(2)/25)*AV65+(1-EXP(-LN(2)/25))/(LN(2)/25)*Calculateur!AQ66*Calculateur!AS66*VLOOKUP('Données projet'!$B$10,Paramètres!$A$1:$I$89,3,0)*0.475*44/12</f>
        <v>46.14777747682939</v>
      </c>
      <c r="AW66" s="21">
        <f>EXP(-LN(2)/2)*AW65+(1-EXP(-LN(2)/2))/(LN(2)/2)*AQ66*AT66*VLOOKUP('Données projet'!$B$10,Paramètres!$A$1:$I$89,3,0)*0.475*44/12</f>
        <v>2.1350815002570296</v>
      </c>
      <c r="AX66" s="21">
        <f t="shared" si="6"/>
        <v>241.73005411390039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180.5138399999999</v>
      </c>
      <c r="BF66" s="13">
        <f t="shared" si="37"/>
        <v>45.43648712647358</v>
      </c>
      <c r="BG66" s="20">
        <f t="shared" si="7"/>
        <v>393.53015307860801</v>
      </c>
      <c r="BH66" s="59">
        <f t="shared" si="8"/>
        <v>686.86348641194127</v>
      </c>
      <c r="BI66" s="59">
        <f ca="1">AVERAGE(OFFSET($BH$3,0,0,'Données projet'!$E$11+1,1))-AVERAGE(OFFSET($H$3,0,0,'Données projet'!$E$11+1,1))</f>
        <v>203.42120484957661</v>
      </c>
      <c r="BJ66" s="59">
        <f t="shared" si="38"/>
        <v>201.8090670543379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16.293353959183655</v>
      </c>
      <c r="BQ66" s="21">
        <f>EXP(-LN(2)/25)*BQ65+(1-EXP(-LN(2)/25))/(LN(2)/25)*Calculateur!BL66*Calculateur!BN66*VLOOKUP('Données projet'!$B$11,Paramètres!$A$1:$I$89,3,0)*0.475*44/12</f>
        <v>8.1346283562512305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24.427982315434885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1">
        <f t="shared" si="32"/>
        <v>9.7469743223436929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67">
        <f t="shared" si="1"/>
        <v>365.37384694474855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892.98753242304292</v>
      </c>
      <c r="S67" s="59">
        <f ca="1">AVERAGE(OFFSET($R$3,0,0,'Données projet'!$E$9+1,1))-AVERAGE(OFFSET($H$3,0,0,'Données projet'!$E$9+1,1))</f>
        <v>282.62919832217119</v>
      </c>
      <c r="T67" s="59">
        <f t="shared" si="34"/>
        <v>248.89638559192258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-6.3550942286383367E-14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277.73784710957608</v>
      </c>
      <c r="AO67" s="59">
        <f t="shared" si="36"/>
        <v>369.67177565548127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189.65381363131942</v>
      </c>
      <c r="AV67" s="21">
        <f>EXP(-LN(2)/25)*AV66+(1-EXP(-LN(2)/25))/(LN(2)/25)*Calculateur!AQ67*Calculateur!AS67*VLOOKUP('Données projet'!$B$10,Paramètres!$A$1:$I$89,3,0)*0.475*44/12</f>
        <v>44.885864074919347</v>
      </c>
      <c r="AW67" s="21">
        <f>EXP(-LN(2)/2)*AW66+(1-EXP(-LN(2)/2))/(LN(2)/2)*AQ67*AT67*VLOOKUP('Données projet'!$B$10,Paramètres!$A$1:$I$89,3,0)*0.475*44/12</f>
        <v>1.509730607217693</v>
      </c>
      <c r="AX67" s="21">
        <f t="shared" si="6"/>
        <v>236.04940831345647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183.7399199999999</v>
      </c>
      <c r="BF67" s="13">
        <f t="shared" si="37"/>
        <v>46.153250992914103</v>
      </c>
      <c r="BG67" s="20">
        <f t="shared" si="7"/>
        <v>400.39727281265851</v>
      </c>
      <c r="BH67" s="59">
        <f t="shared" si="8"/>
        <v>693.73060614599183</v>
      </c>
      <c r="BI67" s="59">
        <f ca="1">AVERAGE(OFFSET($BH$3,0,0,'Données projet'!$E$11+1,1))-AVERAGE(OFFSET($H$3,0,0,'Données projet'!$E$11+1,1))</f>
        <v>203.42120484957661</v>
      </c>
      <c r="BJ67" s="59">
        <f t="shared" si="38"/>
        <v>201.8090670543379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15.973851226008685</v>
      </c>
      <c r="BQ67" s="21">
        <f>EXP(-LN(2)/25)*BQ66+(1-EXP(-LN(2)/25))/(LN(2)/25)*Calculateur!BL67*Calculateur!BN67*VLOOKUP('Données projet'!$B$11,Paramètres!$A$1:$I$89,3,0)*0.475*44/12</f>
        <v>7.9121865160680276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23.886037742076713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1">
        <f t="shared" si="32"/>
        <v>9.8814218184748146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67">
        <f t="shared" ref="H68:H131" si="56">(B68+E68+F68)*44/12+(C68+D68)*0.475*44/12</f>
        <v>366.46839300051028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908.19433249600274</v>
      </c>
      <c r="S68" s="59">
        <f ca="1">AVERAGE(OFFSET($R$3,0,0,'Données projet'!$E$9+1,1))-AVERAGE(OFFSET($H$3,0,0,'Données projet'!$E$9+1,1))</f>
        <v>282.62919832217119</v>
      </c>
      <c r="T68" s="59">
        <f t="shared" si="34"/>
        <v>248.89638559192258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-6.3550942286383367E-14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277.73784710957608</v>
      </c>
      <c r="AO68" s="59">
        <f t="shared" si="36"/>
        <v>369.67177565548127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185.93481802341336</v>
      </c>
      <c r="AV68" s="21">
        <f>EXP(-LN(2)/25)*AV67+(1-EXP(-LN(2)/25))/(LN(2)/25)*Calculateur!AQ68*Calculateur!AS68*VLOOKUP('Données projet'!$B$10,Paramètres!$A$1:$I$89,3,0)*0.475*44/12</f>
        <v>43.658457761345673</v>
      </c>
      <c r="AW68" s="21">
        <f>EXP(-LN(2)/2)*AW67+(1-EXP(-LN(2)/2))/(LN(2)/2)*AQ68*AT68*VLOOKUP('Données projet'!$B$10,Paramètres!$A$1:$I$89,3,0)*0.475*44/12</f>
        <v>1.0675407501285148</v>
      </c>
      <c r="AX68" s="21">
        <f t="shared" ref="AX68:AX131" si="60">SUM(AU68:AW68)</f>
        <v>230.66081653488754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186.96599999999989</v>
      </c>
      <c r="BF68" s="13">
        <f t="shared" si="37"/>
        <v>46.868551400324606</v>
      </c>
      <c r="BG68" s="20">
        <f t="shared" ref="BG68:BG131" si="61">(BE68+BF68)*0.475*44/12</f>
        <v>407.26184368889852</v>
      </c>
      <c r="BH68" s="59">
        <f t="shared" ref="BH68:BH131" si="62">BG68+(AY68+AZ68)*44/12</f>
        <v>700.59517702223184</v>
      </c>
      <c r="BI68" s="59">
        <f ca="1">AVERAGE(OFFSET($BH$3,0,0,'Données projet'!$E$11+1,1))-AVERAGE(OFFSET($H$3,0,0,'Données projet'!$E$11+1,1))</f>
        <v>203.42120484957661</v>
      </c>
      <c r="BJ68" s="59">
        <f t="shared" si="38"/>
        <v>201.8090670543379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0.35259999999999997</v>
      </c>
      <c r="BN68" s="16">
        <f>IF(ISNA(VLOOKUP(A68,'Données projet'!$A$87:$I$107,6,0)),0%,VLOOKUP(A68,'Données projet'!$A$87:$I$107,6,0)*VLOOKUP('Données projet'!$B$11,Paramètres!$A$1:$I$89,7,0))</f>
        <v>3.8699999999999998E-2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18.804338826540079</v>
      </c>
      <c r="BQ68" s="21">
        <f>EXP(-LN(2)/25)*BQ67+(1-EXP(-LN(2)/25))/(LN(2)/25)*Calculateur!BL68*Calculateur!BN68*VLOOKUP('Données projet'!$B$11,Paramètres!$A$1:$I$89,3,0)*0.475*44/12</f>
        <v>8.039511790536956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26.843850617077035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1">
        <f t="shared" ref="D69:D132" si="86">IFERROR(EXP(-1.0587+0.8836*LN(C69)+0.284),0)</f>
        <v>10.015628755581478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67">
        <f t="shared" si="56"/>
        <v>367.56252008263772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923.39333624269693</v>
      </c>
      <c r="S69" s="59">
        <f ca="1">AVERAGE(OFFSET($R$3,0,0,'Données projet'!$E$9+1,1))-AVERAGE(OFFSET($H$3,0,0,'Données projet'!$E$9+1,1))</f>
        <v>282.62919832217119</v>
      </c>
      <c r="T69" s="59">
        <f t="shared" ref="T69:T132" si="88">$T$3</f>
        <v>248.89638559192258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-6.3550942286383367E-14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277.73784710957608</v>
      </c>
      <c r="AO69" s="59">
        <f t="shared" ref="AO69:AO132" si="90">$AO$3</f>
        <v>369.67177565548127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182.288749651015</v>
      </c>
      <c r="AV69" s="21">
        <f>EXP(-LN(2)/25)*AV68+(1-EXP(-LN(2)/25))/(LN(2)/25)*Calculateur!AQ69*Calculateur!AS69*VLOOKUP('Données projet'!$B$10,Paramètres!$A$1:$I$89,3,0)*0.475*44/12</f>
        <v>42.464614937963162</v>
      </c>
      <c r="AW69" s="21">
        <f>EXP(-LN(2)/2)*AW68+(1-EXP(-LN(2)/2))/(LN(2)/2)*AQ69*AT69*VLOOKUP('Données projet'!$B$10,Paramètres!$A$1:$I$89,3,0)*0.475*44/12</f>
        <v>0.75486530360884652</v>
      </c>
      <c r="AX69" s="21">
        <f t="shared" si="60"/>
        <v>225.50822989258702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181.68695999999989</v>
      </c>
      <c r="BF69" s="13">
        <f t="shared" ref="BF69:BF132" si="91">EXP(-1.0587+0.8836*LN(BE69)+0.284)</f>
        <v>45.697299679537338</v>
      </c>
      <c r="BG69" s="20">
        <f t="shared" si="61"/>
        <v>396.02758560852732</v>
      </c>
      <c r="BH69" s="59">
        <f t="shared" si="62"/>
        <v>689.36091894186063</v>
      </c>
      <c r="BI69" s="59">
        <f ca="1">AVERAGE(OFFSET($BH$3,0,0,'Données projet'!$E$11+1,1))-AVERAGE(OFFSET($H$3,0,0,'Données projet'!$E$11+1,1))</f>
        <v>203.42120484957661</v>
      </c>
      <c r="BJ69" s="59">
        <f t="shared" ref="BJ69:BJ132" si="92">$BJ$3</f>
        <v>201.8090670543379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18.43559721166579</v>
      </c>
      <c r="BQ69" s="21">
        <f>EXP(-LN(2)/25)*BQ68+(1-EXP(-LN(2)/25))/(LN(2)/25)*Calculateur!BL69*Calculateur!BN69*VLOOKUP('Données projet'!$B$11,Paramètres!$A$1:$I$89,3,0)*0.475*44/12</f>
        <v>7.8196709178451727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26.255268129510963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1">
        <f t="shared" si="86"/>
        <v>10.149599199483195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67">
        <f t="shared" si="56"/>
        <v>368.65623527243321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849.97015961428724</v>
      </c>
      <c r="S70" s="59">
        <f ca="1">AVERAGE(OFFSET($R$3,0,0,'Données projet'!$E$9+1,1))-AVERAGE(OFFSET($H$3,0,0,'Données projet'!$E$9+1,1))</f>
        <v>282.62919832217119</v>
      </c>
      <c r="T70" s="59">
        <f t="shared" si="88"/>
        <v>248.89638559192258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-6.3550942286383367E-14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277.73784710957608</v>
      </c>
      <c r="AO70" s="59">
        <f t="shared" si="90"/>
        <v>369.67177565548127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178.71417845551724</v>
      </c>
      <c r="AV70" s="21">
        <f>EXP(-LN(2)/25)*AV69+(1-EXP(-LN(2)/25))/(LN(2)/25)*Calculateur!AQ70*Calculateur!AS70*VLOOKUP('Données projet'!$B$10,Paramètres!$A$1:$I$89,3,0)*0.475*44/12</f>
        <v>41.303417809367517</v>
      </c>
      <c r="AW70" s="21">
        <f>EXP(-LN(2)/2)*AW69+(1-EXP(-LN(2)/2))/(LN(2)/2)*AQ70*AT70*VLOOKUP('Données projet'!$B$10,Paramètres!$A$1:$I$89,3,0)*0.475*44/12</f>
        <v>0.5337703750642574</v>
      </c>
      <c r="AX70" s="21">
        <f t="shared" si="60"/>
        <v>220.55136663994901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184.47311999999988</v>
      </c>
      <c r="BF70" s="13">
        <f t="shared" si="91"/>
        <v>46.315946745200115</v>
      </c>
      <c r="BG70" s="20">
        <f t="shared" si="61"/>
        <v>401.95762458122334</v>
      </c>
      <c r="BH70" s="59">
        <f t="shared" si="62"/>
        <v>695.29095791455666</v>
      </c>
      <c r="BI70" s="59">
        <f ca="1">AVERAGE(OFFSET($BH$3,0,0,'Données projet'!$E$11+1,1))-AVERAGE(OFFSET($H$3,0,0,'Données projet'!$E$11+1,1))</f>
        <v>203.42120484957661</v>
      </c>
      <c r="BJ70" s="59">
        <f t="shared" si="92"/>
        <v>201.8090670543379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18.07408639494901</v>
      </c>
      <c r="BQ70" s="21">
        <f>EXP(-LN(2)/25)*BQ69+(1-EXP(-LN(2)/25))/(LN(2)/25)*Calculateur!BL70*Calculateur!BN70*VLOOKUP('Données projet'!$B$11,Paramètres!$A$1:$I$89,3,0)*0.475*44/12</f>
        <v>7.6058416053780746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25.679928000327084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1">
        <f t="shared" si="86"/>
        <v>10.283337087665418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67">
        <f t="shared" si="56"/>
        <v>369.74954542768387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862.56905924022522</v>
      </c>
      <c r="S71" s="59">
        <f ca="1">AVERAGE(OFFSET($R$3,0,0,'Données projet'!$E$9+1,1))-AVERAGE(OFFSET($H$3,0,0,'Données projet'!$E$9+1,1))</f>
        <v>282.62919832217119</v>
      </c>
      <c r="T71" s="59">
        <f t="shared" si="88"/>
        <v>248.89638559192258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-6.3550942286383367E-14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277.73784710957608</v>
      </c>
      <c r="AO71" s="59">
        <f t="shared" si="90"/>
        <v>369.67177565548127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175.20970242089007</v>
      </c>
      <c r="AV71" s="21">
        <f>EXP(-LN(2)/25)*AV70+(1-EXP(-LN(2)/25))/(LN(2)/25)*Calculateur!AQ71*Calculateur!AS71*VLOOKUP('Données projet'!$B$10,Paramètres!$A$1:$I$89,3,0)*0.475*44/12</f>
        <v>40.173973677318017</v>
      </c>
      <c r="AW71" s="21">
        <f>EXP(-LN(2)/2)*AW70+(1-EXP(-LN(2)/2))/(LN(2)/2)*AQ71*AT71*VLOOKUP('Données projet'!$B$10,Paramètres!$A$1:$I$89,3,0)*0.475*44/12</f>
        <v>0.37743265180442326</v>
      </c>
      <c r="AX71" s="21">
        <f t="shared" si="60"/>
        <v>215.76110875001248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187.2592799999999</v>
      </c>
      <c r="BF71" s="13">
        <f t="shared" si="91"/>
        <v>46.933507123390406</v>
      </c>
      <c r="BG71" s="20">
        <f t="shared" si="61"/>
        <v>407.88577090657145</v>
      </c>
      <c r="BH71" s="59">
        <f t="shared" si="62"/>
        <v>701.21910423990471</v>
      </c>
      <c r="BI71" s="59">
        <f ca="1">AVERAGE(OFFSET($BH$3,0,0,'Données projet'!$E$11+1,1))-AVERAGE(OFFSET($H$3,0,0,'Données projet'!$E$11+1,1))</f>
        <v>203.42120484957661</v>
      </c>
      <c r="BJ71" s="59">
        <f t="shared" si="92"/>
        <v>201.8090670543379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17.719664584848221</v>
      </c>
      <c r="BQ71" s="21">
        <f>EXP(-LN(2)/25)*BQ70+(1-EXP(-LN(2)/25))/(LN(2)/25)*Calculateur!BL71*Calculateur!BN71*VLOOKUP('Données projet'!$B$11,Paramètres!$A$1:$I$89,3,0)*0.475*44/12</f>
        <v>7.3978594667051842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25.117524051553406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1">
        <f t="shared" si="86"/>
        <v>10.41684623515679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67">
        <f t="shared" si="56"/>
        <v>370.84245719289805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875.16213327363857</v>
      </c>
      <c r="S72" s="59">
        <f ca="1">AVERAGE(OFFSET($R$3,0,0,'Données projet'!$E$9+1,1))-AVERAGE(OFFSET($H$3,0,0,'Données projet'!$E$9+1,1))</f>
        <v>282.62919832217119</v>
      </c>
      <c r="T72" s="59">
        <f t="shared" si="88"/>
        <v>248.89638559192258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-6.3550942286383367E-14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277.73784710957608</v>
      </c>
      <c r="AO72" s="59">
        <f t="shared" si="90"/>
        <v>369.67177565548127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171.77394702378263</v>
      </c>
      <c r="AV72" s="21">
        <f>EXP(-LN(2)/25)*AV71+(1-EXP(-LN(2)/25))/(LN(2)/25)*Calculateur!AQ72*Calculateur!AS72*VLOOKUP('Données projet'!$B$10,Paramètres!$A$1:$I$89,3,0)*0.475*44/12</f>
        <v>39.075414254454301</v>
      </c>
      <c r="AW72" s="21">
        <f>EXP(-LN(2)/2)*AW71+(1-EXP(-LN(2)/2))/(LN(2)/2)*AQ72*AT72*VLOOKUP('Données projet'!$B$10,Paramètres!$A$1:$I$89,3,0)*0.475*44/12</f>
        <v>0.2668851875321287</v>
      </c>
      <c r="AX72" s="21">
        <f t="shared" si="60"/>
        <v>211.11624646576905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190.04543999999993</v>
      </c>
      <c r="BF72" s="13">
        <f t="shared" si="91"/>
        <v>47.549998850241536</v>
      </c>
      <c r="BG72" s="20">
        <f t="shared" si="61"/>
        <v>413.81205599750388</v>
      </c>
      <c r="BH72" s="59">
        <f t="shared" si="62"/>
        <v>707.14538933083713</v>
      </c>
      <c r="BI72" s="59">
        <f ca="1">AVERAGE(OFFSET($BH$3,0,0,'Données projet'!$E$11+1,1))-AVERAGE(OFFSET($H$3,0,0,'Données projet'!$E$11+1,1))</f>
        <v>203.42120484957661</v>
      </c>
      <c r="BJ72" s="59">
        <f t="shared" si="92"/>
        <v>201.8090670543379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17.372192770267549</v>
      </c>
      <c r="BQ72" s="21">
        <f>EXP(-LN(2)/25)*BQ71+(1-EXP(-LN(2)/25))/(LN(2)/25)*Calculateur!BL72*Calculateur!BN72*VLOOKUP('Données projet'!$B$11,Paramètres!$A$1:$I$89,3,0)*0.475*44/12</f>
        <v>7.1955646105516093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24.56775738081916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1">
        <f t="shared" si="86"/>
        <v>10.550130340056088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67">
        <f t="shared" si="56"/>
        <v>371.93497700893096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887.74952553292269</v>
      </c>
      <c r="S73" s="59">
        <f ca="1">AVERAGE(OFFSET($R$3,0,0,'Données projet'!$E$9+1,1))-AVERAGE(OFFSET($H$3,0,0,'Données projet'!$E$9+1,1))</f>
        <v>282.62919832217119</v>
      </c>
      <c r="T73" s="59">
        <f t="shared" si="88"/>
        <v>248.89638559192258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-6.3550942286383367E-14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277.73784710957608</v>
      </c>
      <c r="AO73" s="59">
        <f t="shared" si="90"/>
        <v>369.67177565548127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168.40556469440858</v>
      </c>
      <c r="AV73" s="21">
        <f>EXP(-LN(2)/25)*AV72+(1-EXP(-LN(2)/25))/(LN(2)/25)*Calculateur!AQ73*Calculateur!AS73*VLOOKUP('Données projet'!$B$10,Paramètres!$A$1:$I$89,3,0)*0.475*44/12</f>
        <v>38.006894996779522</v>
      </c>
      <c r="AW73" s="21">
        <f>EXP(-LN(2)/2)*AW72+(1-EXP(-LN(2)/2))/(LN(2)/2)*AQ73*AT73*VLOOKUP('Données projet'!$B$10,Paramètres!$A$1:$I$89,3,0)*0.475*44/12</f>
        <v>0.18871632590221163</v>
      </c>
      <c r="AX73" s="21">
        <f t="shared" si="60"/>
        <v>206.60117601709032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192.83159999999992</v>
      </c>
      <c r="BF73" s="13">
        <f t="shared" si="91"/>
        <v>48.165439402688776</v>
      </c>
      <c r="BG73" s="20">
        <f t="shared" si="61"/>
        <v>419.73651029301612</v>
      </c>
      <c r="BH73" s="59">
        <f t="shared" si="62"/>
        <v>713.06984362634944</v>
      </c>
      <c r="BI73" s="59">
        <f ca="1">AVERAGE(OFFSET($BH$3,0,0,'Données projet'!$E$11+1,1))-AVERAGE(OFFSET($H$3,0,0,'Données projet'!$E$11+1,1))</f>
        <v>203.42120484957661</v>
      </c>
      <c r="BJ73" s="59">
        <f t="shared" si="92"/>
        <v>201.8090670543379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0.38700000000000001</v>
      </c>
      <c r="BN73" s="16">
        <f>IF(ISNA(VLOOKUP(A73,'Données projet'!$A$87:$I$107,6,0)),0%,VLOOKUP(A73,'Données projet'!$A$87:$I$107,6,0)*VLOOKUP('Données projet'!$B$11,Paramètres!$A$1:$I$89,7,0))</f>
        <v>4.3000000000000003E-2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20.168289180432595</v>
      </c>
      <c r="BQ73" s="21">
        <f>EXP(-LN(2)/25)*BQ72+(1-EXP(-LN(2)/25))/(LN(2)/25)*Calculateur!BL73*Calculateur!BN73*VLOOKUP('Données projet'!$B$11,Paramètres!$A$1:$I$89,3,0)*0.475*44/12</f>
        <v>7.3459575086198132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27.514246689052406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1">
        <f t="shared" si="86"/>
        <v>10.683192988734277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67">
        <f t="shared" si="56"/>
        <v>373.02711112204548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900.3313732508102</v>
      </c>
      <c r="S74" s="59">
        <f ca="1">AVERAGE(OFFSET($R$3,0,0,'Données projet'!$E$9+1,1))-AVERAGE(OFFSET($H$3,0,0,'Données projet'!$E$9+1,1))</f>
        <v>282.62919832217119</v>
      </c>
      <c r="T74" s="59">
        <f t="shared" si="88"/>
        <v>248.89638559192258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-6.3550942286383367E-14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277.73784710957608</v>
      </c>
      <c r="AO74" s="59">
        <f t="shared" si="90"/>
        <v>369.67177565548127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165.10323428800319</v>
      </c>
      <c r="AV74" s="21">
        <f>EXP(-LN(2)/25)*AV73+(1-EXP(-LN(2)/25))/(LN(2)/25)*Calculateur!AQ74*Calculateur!AS74*VLOOKUP('Données projet'!$B$10,Paramètres!$A$1:$I$89,3,0)*0.475*44/12</f>
        <v>36.967594454396846</v>
      </c>
      <c r="AW74" s="21">
        <f>EXP(-LN(2)/2)*AW73+(1-EXP(-LN(2)/2))/(LN(2)/2)*AQ74*AT74*VLOOKUP('Données projet'!$B$10,Paramètres!$A$1:$I$89,3,0)*0.475*44/12</f>
        <v>0.13344259376606435</v>
      </c>
      <c r="AX74" s="21">
        <f t="shared" si="60"/>
        <v>202.2042713361661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187.99247999999989</v>
      </c>
      <c r="BF74" s="13">
        <f t="shared" si="91"/>
        <v>47.095844674053957</v>
      </c>
      <c r="BG74" s="20">
        <f t="shared" si="61"/>
        <v>409.44549880731046</v>
      </c>
      <c r="BH74" s="59">
        <f t="shared" si="62"/>
        <v>702.77883214064377</v>
      </c>
      <c r="BI74" s="59">
        <f ca="1">AVERAGE(OFFSET($BH$3,0,0,'Données projet'!$E$11+1,1))-AVERAGE(OFFSET($H$3,0,0,'Données projet'!$E$11+1,1))</f>
        <v>203.42120484957661</v>
      </c>
      <c r="BJ74" s="59">
        <f t="shared" si="92"/>
        <v>201.8090670543379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19.772801331046047</v>
      </c>
      <c r="BQ74" s="21">
        <f>EXP(-LN(2)/25)*BQ73+(1-EXP(-LN(2)/25))/(LN(2)/25)*Calculateur!BL74*Calculateur!BN74*VLOOKUP('Données projet'!$B$11,Paramètres!$A$1:$I$89,3,0)*0.475*44/12</f>
        <v>7.1450819142394888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26.917883245285537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1">
        <f t="shared" si="86"/>
        <v>10.816037660735203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67">
        <f t="shared" si="56"/>
        <v>374.11886559244709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912.90780750905378</v>
      </c>
      <c r="S75" s="59">
        <f ca="1">AVERAGE(OFFSET($R$3,0,0,'Données projet'!$E$9+1,1))-AVERAGE(OFFSET($H$3,0,0,'Données projet'!$E$9+1,1))</f>
        <v>282.62919832217119</v>
      </c>
      <c r="T75" s="59">
        <f t="shared" si="88"/>
        <v>248.89638559192258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-6.3550942286383367E-14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277.73784710957608</v>
      </c>
      <c r="AO75" s="59">
        <f t="shared" si="90"/>
        <v>369.67177565548127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161.86566056664478</v>
      </c>
      <c r="AV75" s="21">
        <f>EXP(-LN(2)/25)*AV74+(1-EXP(-LN(2)/25))/(LN(2)/25)*Calculateur!AQ75*Calculateur!AS75*VLOOKUP('Données projet'!$B$10,Paramètres!$A$1:$I$89,3,0)*0.475*44/12</f>
        <v>35.956713640000061</v>
      </c>
      <c r="AW75" s="21">
        <f>EXP(-LN(2)/2)*AW74+(1-EXP(-LN(2)/2))/(LN(2)/2)*AQ75*AT75*VLOOKUP('Données projet'!$B$10,Paramètres!$A$1:$I$89,3,0)*0.475*44/12</f>
        <v>9.4358162951105815E-2</v>
      </c>
      <c r="AX75" s="21">
        <f t="shared" si="60"/>
        <v>197.91673236959593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190.4853599999999</v>
      </c>
      <c r="BF75" s="13">
        <f t="shared" si="91"/>
        <v>47.647243117546552</v>
      </c>
      <c r="BG75" s="20">
        <f t="shared" si="61"/>
        <v>414.74761709639341</v>
      </c>
      <c r="BH75" s="59">
        <f t="shared" si="62"/>
        <v>708.08095042972673</v>
      </c>
      <c r="BI75" s="59">
        <f ca="1">AVERAGE(OFFSET($BH$3,0,0,'Données projet'!$E$11+1,1))-AVERAGE(OFFSET($H$3,0,0,'Données projet'!$E$11+1,1))</f>
        <v>203.42120484957661</v>
      </c>
      <c r="BJ75" s="59">
        <f t="shared" si="92"/>
        <v>201.8090670543379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19.385068757162198</v>
      </c>
      <c r="BQ75" s="21">
        <f>EXP(-LN(2)/25)*BQ74+(1-EXP(-LN(2)/25))/(LN(2)/25)*Calculateur!BL75*Calculateur!BN75*VLOOKUP('Données projet'!$B$11,Paramètres!$A$1:$I$89,3,0)*0.475*44/12</f>
        <v>6.9496992735510821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26.334768030713281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1">
        <f t="shared" si="86"/>
        <v>10.948667733396306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67">
        <f t="shared" si="56"/>
        <v>375.21024630233188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925.4789536359981</v>
      </c>
      <c r="S76" s="59">
        <f ca="1">AVERAGE(OFFSET($R$3,0,0,'Données projet'!$E$9+1,1))-AVERAGE(OFFSET($H$3,0,0,'Données projet'!$E$9+1,1))</f>
        <v>282.62919832217119</v>
      </c>
      <c r="T76" s="59">
        <f t="shared" si="88"/>
        <v>248.89638559192258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-6.3550942286383367E-14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277.73784710957608</v>
      </c>
      <c r="AO76" s="59">
        <f t="shared" si="90"/>
        <v>369.67177565548127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158.69157369123721</v>
      </c>
      <c r="AV76" s="21">
        <f>EXP(-LN(2)/25)*AV75+(1-EXP(-LN(2)/25))/(LN(2)/25)*Calculateur!AQ76*Calculateur!AS76*VLOOKUP('Données projet'!$B$10,Paramètres!$A$1:$I$89,3,0)*0.475*44/12</f>
        <v>34.973475414632865</v>
      </c>
      <c r="AW76" s="21">
        <f>EXP(-LN(2)/2)*AW75+(1-EXP(-LN(2)/2))/(LN(2)/2)*AQ76*AT76*VLOOKUP('Données projet'!$B$10,Paramètres!$A$1:$I$89,3,0)*0.475*44/12</f>
        <v>6.6721296883032175E-2</v>
      </c>
      <c r="AX76" s="21">
        <f t="shared" si="60"/>
        <v>193.73177040275311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192.97823999999986</v>
      </c>
      <c r="BF76" s="13">
        <f t="shared" si="91"/>
        <v>48.197802215761001</v>
      </c>
      <c r="BG76" s="20">
        <f t="shared" si="61"/>
        <v>420.04827352578349</v>
      </c>
      <c r="BH76" s="59">
        <f t="shared" si="62"/>
        <v>713.3816068591168</v>
      </c>
      <c r="BI76" s="59">
        <f ca="1">AVERAGE(OFFSET($BH$3,0,0,'Données projet'!$E$11+1,1))-AVERAGE(OFFSET($H$3,0,0,'Données projet'!$E$11+1,1))</f>
        <v>203.42120484957661</v>
      </c>
      <c r="BJ76" s="59">
        <f t="shared" si="92"/>
        <v>201.8090670543379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19.004939382558693</v>
      </c>
      <c r="BQ76" s="21">
        <f>EXP(-LN(2)/25)*BQ75+(1-EXP(-LN(2)/25))/(LN(2)/25)*Calculateur!BL76*Calculateur!BN76*VLOOKUP('Données projet'!$B$11,Paramètres!$A$1:$I$89,3,0)*0.475*44/12</f>
        <v>6.7596593814470269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25.764598764005719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1">
        <f t="shared" si="86"/>
        <v>11.081086486208886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67">
        <f t="shared" si="56"/>
        <v>376.30125896348045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938.0449315708936</v>
      </c>
      <c r="S77" s="59">
        <f ca="1">AVERAGE(OFFSET($R$3,0,0,'Données projet'!$E$9+1,1))-AVERAGE(OFFSET($H$3,0,0,'Données projet'!$E$9+1,1))</f>
        <v>282.62919832217119</v>
      </c>
      <c r="T77" s="59">
        <f t="shared" si="88"/>
        <v>248.89638559192258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-6.3550942286383367E-14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277.73784710957608</v>
      </c>
      <c r="AO77" s="59">
        <f t="shared" si="90"/>
        <v>369.67177565548127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155.57972872345456</v>
      </c>
      <c r="AV77" s="21">
        <f>EXP(-LN(2)/25)*AV76+(1-EXP(-LN(2)/25))/(LN(2)/25)*Calculateur!AQ77*Calculateur!AS77*VLOOKUP('Données projet'!$B$10,Paramètres!$A$1:$I$89,3,0)*0.475*44/12</f>
        <v>34.017123890244591</v>
      </c>
      <c r="AW77" s="21">
        <f>EXP(-LN(2)/2)*AW76+(1-EXP(-LN(2)/2))/(LN(2)/2)*AQ77*AT77*VLOOKUP('Données projet'!$B$10,Paramètres!$A$1:$I$89,3,0)*0.475*44/12</f>
        <v>4.7179081475552907E-2</v>
      </c>
      <c r="AX77" s="21">
        <f t="shared" si="60"/>
        <v>189.6440316951747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195.47111999999984</v>
      </c>
      <c r="BF77" s="13">
        <f t="shared" si="91"/>
        <v>48.747534064963503</v>
      </c>
      <c r="BG77" s="20">
        <f t="shared" si="61"/>
        <v>425.34748916314447</v>
      </c>
      <c r="BH77" s="59">
        <f t="shared" si="62"/>
        <v>718.68082249647773</v>
      </c>
      <c r="BI77" s="59">
        <f ca="1">AVERAGE(OFFSET($BH$3,0,0,'Données projet'!$E$11+1,1))-AVERAGE(OFFSET($H$3,0,0,'Données projet'!$E$11+1,1))</f>
        <v>203.42120484957661</v>
      </c>
      <c r="BJ77" s="59">
        <f t="shared" si="92"/>
        <v>201.8090670543379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18.63226411313514</v>
      </c>
      <c r="BQ77" s="21">
        <f>EXP(-LN(2)/25)*BQ76+(1-EXP(-LN(2)/25))/(LN(2)/25)*Calculateur!BL77*Calculateur!BN77*VLOOKUP('Données projet'!$B$11,Paramètres!$A$1:$I$89,3,0)*0.475*44/12</f>
        <v>6.5748161401863205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25.207080253321461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1">
        <f t="shared" si="86"/>
        <v>11.21329710493602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67">
        <f t="shared" si="56"/>
        <v>377.39190912443019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950.60585619834569</v>
      </c>
      <c r="S78" s="59">
        <f ca="1">AVERAGE(OFFSET($R$3,0,0,'Données projet'!$E$9+1,1))-AVERAGE(OFFSET($H$3,0,0,'Données projet'!$E$9+1,1))</f>
        <v>282.62919832217119</v>
      </c>
      <c r="T78" s="59">
        <f t="shared" si="88"/>
        <v>248.89638559192258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-6.3550942286383367E-14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277.73784710957608</v>
      </c>
      <c r="AO78" s="59">
        <f t="shared" si="90"/>
        <v>369.67177565548127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152.52890513745211</v>
      </c>
      <c r="AV78" s="21">
        <f>EXP(-LN(2)/25)*AV77+(1-EXP(-LN(2)/25))/(LN(2)/25)*Calculateur!AQ78*Calculateur!AS78*VLOOKUP('Données projet'!$B$10,Paramètres!$A$1:$I$89,3,0)*0.475*44/12</f>
        <v>33.086923848583055</v>
      </c>
      <c r="AW78" s="21">
        <f>EXP(-LN(2)/2)*AW77+(1-EXP(-LN(2)/2))/(LN(2)/2)*AQ78*AT78*VLOOKUP('Données projet'!$B$10,Paramètres!$A$1:$I$89,3,0)*0.475*44/12</f>
        <v>3.3360648441516087E-2</v>
      </c>
      <c r="AX78" s="21">
        <f t="shared" si="60"/>
        <v>185.6491896344767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197.96399999999983</v>
      </c>
      <c r="BF78" s="13">
        <f t="shared" si="91"/>
        <v>49.296450435147719</v>
      </c>
      <c r="BG78" s="20">
        <f t="shared" si="61"/>
        <v>430.64528450788202</v>
      </c>
      <c r="BH78" s="59">
        <f t="shared" si="62"/>
        <v>723.97861784121528</v>
      </c>
      <c r="BI78" s="59">
        <f ca="1">AVERAGE(OFFSET($BH$3,0,0,'Données projet'!$E$11+1,1))-AVERAGE(OFFSET($H$3,0,0,'Données projet'!$E$11+1,1))</f>
        <v>203.42120484957661</v>
      </c>
      <c r="BJ78" s="59">
        <f t="shared" si="92"/>
        <v>201.8090670543379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0.38269999999999998</v>
      </c>
      <c r="BN78" s="16">
        <f>IF(ISNA(VLOOKUP(A78,'Données projet'!$A$87:$I$107,6,0)),0%,VLOOKUP(A78,'Données projet'!$A$87:$I$107,6,0)*VLOOKUP('Données projet'!$B$11,Paramètres!$A$1:$I$89,7,0))</f>
        <v>4.7300000000000002E-2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21.05860829625033</v>
      </c>
      <c r="BQ78" s="21">
        <f>EXP(-LN(2)/25)*BQ77+(1-EXP(-LN(2)/25))/(LN(2)/25)*Calculateur!BL78*Calculateur!BN78*VLOOKUP('Données projet'!$B$11,Paramètres!$A$1:$I$89,3,0)*0.475*44/12</f>
        <v>6.7387118779129862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27.797320174163318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1">
        <f t="shared" si="86"/>
        <v>11.345302685504603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67">
        <f t="shared" si="56"/>
        <v>378.48220217725378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963.1618376558813</v>
      </c>
      <c r="S79" s="59">
        <f ca="1">AVERAGE(OFFSET($R$3,0,0,'Données projet'!$E$9+1,1))-AVERAGE(OFFSET($H$3,0,0,'Données projet'!$E$9+1,1))</f>
        <v>282.62919832217119</v>
      </c>
      <c r="T79" s="59">
        <f t="shared" si="88"/>
        <v>248.89638559192258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-6.3550942286383367E-14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277.73784710957608</v>
      </c>
      <c r="AO79" s="59">
        <f t="shared" si="90"/>
        <v>369.67177565548127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149.53790634115254</v>
      </c>
      <c r="AV79" s="21">
        <f>EXP(-LN(2)/25)*AV78+(1-EXP(-LN(2)/25))/(LN(2)/25)*Calculateur!AQ79*Calculateur!AS79*VLOOKUP('Données projet'!$B$10,Paramètres!$A$1:$I$89,3,0)*0.475*44/12</f>
        <v>32.182160175977849</v>
      </c>
      <c r="AW79" s="21">
        <f>EXP(-LN(2)/2)*AW78+(1-EXP(-LN(2)/2))/(LN(2)/2)*AQ79*AT79*VLOOKUP('Données projet'!$B$10,Paramètres!$A$1:$I$89,3,0)*0.475*44/12</f>
        <v>2.3589540737776454E-2</v>
      </c>
      <c r="AX79" s="21">
        <f t="shared" si="60"/>
        <v>181.74365605786818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193.41815999999983</v>
      </c>
      <c r="BF79" s="13">
        <f t="shared" si="91"/>
        <v>48.29487349052124</v>
      </c>
      <c r="BG79" s="20">
        <f t="shared" si="61"/>
        <v>420.98353332932419</v>
      </c>
      <c r="BH79" s="59">
        <f t="shared" si="62"/>
        <v>714.3168666626575</v>
      </c>
      <c r="BI79" s="59">
        <f ca="1">AVERAGE(OFFSET($BH$3,0,0,'Données projet'!$E$11+1,1))-AVERAGE(OFFSET($H$3,0,0,'Données projet'!$E$11+1,1))</f>
        <v>203.42120484957661</v>
      </c>
      <c r="BJ79" s="59">
        <f t="shared" si="92"/>
        <v>201.8090670543379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20.645661832043636</v>
      </c>
      <c r="BQ79" s="21">
        <f>EXP(-LN(2)/25)*BQ78+(1-EXP(-LN(2)/25))/(LN(2)/25)*Calculateur!BL79*Calculateur!BN79*VLOOKUP('Données projet'!$B$11,Paramètres!$A$1:$I$89,3,0)*0.475*44/12</f>
        <v>6.5544414472379993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27.200103279281635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1">
        <f t="shared" si="86"/>
        <v>11.47710623768668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67">
        <f t="shared" si="56"/>
        <v>379.57214336397089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282.62919832217119</v>
      </c>
      <c r="T80" s="59">
        <f t="shared" si="88"/>
        <v>248.89638559192258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-6.3550942286383367E-14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277.73784710957608</v>
      </c>
      <c r="AO80" s="59">
        <f t="shared" si="90"/>
        <v>369.67177565548127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146.60555920691925</v>
      </c>
      <c r="AV80" s="21">
        <f>EXP(-LN(2)/25)*AV79+(1-EXP(-LN(2)/25))/(LN(2)/25)*Calculateur!AQ80*Calculateur!AS80*VLOOKUP('Données projet'!$B$10,Paramètres!$A$1:$I$89,3,0)*0.475*44/12</f>
        <v>31.302137313579482</v>
      </c>
      <c r="AW80" s="21">
        <f>EXP(-LN(2)/2)*AW79+(1-EXP(-LN(2)/2))/(LN(2)/2)*AQ80*AT80*VLOOKUP('Données projet'!$B$10,Paramètres!$A$1:$I$89,3,0)*0.475*44/12</f>
        <v>1.6680324220758044E-2</v>
      </c>
      <c r="AX80" s="21">
        <f t="shared" si="60"/>
        <v>177.92437684471952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195.47111999999984</v>
      </c>
      <c r="BF80" s="13">
        <f t="shared" si="91"/>
        <v>48.747534064963503</v>
      </c>
      <c r="BG80" s="20">
        <f t="shared" si="61"/>
        <v>425.34748916314447</v>
      </c>
      <c r="BH80" s="59">
        <f t="shared" si="62"/>
        <v>718.68082249647773</v>
      </c>
      <c r="BI80" s="59">
        <f ca="1">AVERAGE(OFFSET($BH$3,0,0,'Données projet'!$E$11+1,1))-AVERAGE(OFFSET($H$3,0,0,'Données projet'!$E$11+1,1))</f>
        <v>203.42120484957661</v>
      </c>
      <c r="BJ80" s="59">
        <f t="shared" si="92"/>
        <v>201.8090670543379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20.240812996127563</v>
      </c>
      <c r="BQ80" s="21">
        <f>EXP(-LN(2)/25)*BQ79+(1-EXP(-LN(2)/25))/(LN(2)/25)*Calculateur!BL80*Calculateur!BN80*VLOOKUP('Données projet'!$B$11,Paramètres!$A$1:$I$89,3,0)*0.475*44/12</f>
        <v>6.375209901180181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26.616022897307744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1">
        <f t="shared" si="86"/>
        <v>11.60871068858415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67">
        <f t="shared" si="56"/>
        <v>380.66173778261737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282.62919832217119</v>
      </c>
      <c r="T81" s="59">
        <f t="shared" si="88"/>
        <v>248.89638559192258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-6.3550942286383367E-14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277.73784710957608</v>
      </c>
      <c r="AO81" s="59">
        <f t="shared" si="90"/>
        <v>369.67177565548127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143.73071361143315</v>
      </c>
      <c r="AV81" s="21">
        <f>EXP(-LN(2)/25)*AV80+(1-EXP(-LN(2)/25))/(LN(2)/25)*Calculateur!AQ81*Calculateur!AS81*VLOOKUP('Données projet'!$B$10,Paramètres!$A$1:$I$89,3,0)*0.475*44/12</f>
        <v>30.446178722631792</v>
      </c>
      <c r="AW81" s="21">
        <f>EXP(-LN(2)/2)*AW80+(1-EXP(-LN(2)/2))/(LN(2)/2)*AQ81*AT81*VLOOKUP('Données projet'!$B$10,Paramètres!$A$1:$I$89,3,0)*0.475*44/12</f>
        <v>1.1794770368888227E-2</v>
      </c>
      <c r="AX81" s="21">
        <f t="shared" si="60"/>
        <v>174.18868710443382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197.52407999999986</v>
      </c>
      <c r="BF81" s="13">
        <f t="shared" si="91"/>
        <v>49.199641586671113</v>
      </c>
      <c r="BG81" s="20">
        <f t="shared" si="61"/>
        <v>429.71048176345192</v>
      </c>
      <c r="BH81" s="59">
        <f t="shared" si="62"/>
        <v>723.04381509678524</v>
      </c>
      <c r="BI81" s="59">
        <f ca="1">AVERAGE(OFFSET($BH$3,0,0,'Données projet'!$E$11+1,1))-AVERAGE(OFFSET($H$3,0,0,'Données projet'!$E$11+1,1))</f>
        <v>203.42120484957661</v>
      </c>
      <c r="BJ81" s="59">
        <f t="shared" si="92"/>
        <v>201.8090670543379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19.843902998950394</v>
      </c>
      <c r="BQ81" s="21">
        <f>EXP(-LN(2)/25)*BQ80+(1-EXP(-LN(2)/25))/(LN(2)/25)*Calculateur!BL81*Calculateur!BN81*VLOOKUP('Données projet'!$B$11,Paramètres!$A$1:$I$89,3,0)*0.475*44/12</f>
        <v>6.200879451174691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26.044782450125084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1">
        <f t="shared" si="86"/>
        <v>11.740118885929625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67">
        <f t="shared" si="56"/>
        <v>381.75099039299408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282.62919832217119</v>
      </c>
      <c r="T82" s="59">
        <f t="shared" si="88"/>
        <v>248.89638559192258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-6.3550942286383367E-14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277.73784710957608</v>
      </c>
      <c r="AO82" s="59">
        <f t="shared" si="90"/>
        <v>369.67177565548127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140.91224198459184</v>
      </c>
      <c r="AV82" s="21">
        <f>EXP(-LN(2)/25)*AV81+(1-EXP(-LN(2)/25))/(LN(2)/25)*Calculateur!AQ82*Calculateur!AS82*VLOOKUP('Données projet'!$B$10,Paramètres!$A$1:$I$89,3,0)*0.475*44/12</f>
        <v>29.613626364366471</v>
      </c>
      <c r="AW82" s="21">
        <f>EXP(-LN(2)/2)*AW81+(1-EXP(-LN(2)/2))/(LN(2)/2)*AQ82*AT82*VLOOKUP('Données projet'!$B$10,Paramètres!$A$1:$I$89,3,0)*0.475*44/12</f>
        <v>8.3401621103790218E-3</v>
      </c>
      <c r="AX82" s="21">
        <f t="shared" si="60"/>
        <v>170.5342085110687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199.57703999999987</v>
      </c>
      <c r="BF82" s="13">
        <f t="shared" si="91"/>
        <v>49.651202469214105</v>
      </c>
      <c r="BG82" s="20">
        <f t="shared" si="61"/>
        <v>434.07252230054763</v>
      </c>
      <c r="BH82" s="59">
        <f t="shared" si="62"/>
        <v>727.40585563388095</v>
      </c>
      <c r="BI82" s="59">
        <f ca="1">AVERAGE(OFFSET($BH$3,0,0,'Données projet'!$E$11+1,1))-AVERAGE(OFFSET($H$3,0,0,'Données projet'!$E$11+1,1))</f>
        <v>203.42120484957661</v>
      </c>
      <c r="BJ82" s="59">
        <f t="shared" si="92"/>
        <v>201.8090670543379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19.454776164726677</v>
      </c>
      <c r="BQ82" s="21">
        <f>EXP(-LN(2)/25)*BQ81+(1-EXP(-LN(2)/25))/(LN(2)/25)*Calculateur!BL82*Calculateur!BN82*VLOOKUP('Données projet'!$B$11,Paramètres!$A$1:$I$89,3,0)*0.475*44/12</f>
        <v>6.0313160764922413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25.48609224121892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1">
        <f t="shared" si="86"/>
        <v>11.87133360121544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67">
        <f t="shared" si="56"/>
        <v>382.83990602211685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282.62919832217119</v>
      </c>
      <c r="T83" s="59">
        <f t="shared" si="88"/>
        <v>248.89638559192258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-6.3550942286383367E-14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277.73784710957608</v>
      </c>
      <c r="AO83" s="59">
        <f t="shared" si="90"/>
        <v>369.67177565548127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138.14903886725494</v>
      </c>
      <c r="AV83" s="21">
        <f>EXP(-LN(2)/25)*AV82+(1-EXP(-LN(2)/25))/(LN(2)/25)*Calculateur!AQ83*Calculateur!AS83*VLOOKUP('Données projet'!$B$10,Paramètres!$A$1:$I$89,3,0)*0.475*44/12</f>
        <v>28.803840194119942</v>
      </c>
      <c r="AW83" s="21">
        <f>EXP(-LN(2)/2)*AW82+(1-EXP(-LN(2)/2))/(LN(2)/2)*AQ83*AT83*VLOOKUP('Données projet'!$B$10,Paramètres!$A$1:$I$89,3,0)*0.475*44/12</f>
        <v>5.8973851844441134E-3</v>
      </c>
      <c r="AX83" s="21">
        <f t="shared" si="60"/>
        <v>166.95877644655934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201.62999999999988</v>
      </c>
      <c r="BF83" s="13">
        <f t="shared" si="91"/>
        <v>50.102222986612503</v>
      </c>
      <c r="BG83" s="20">
        <f t="shared" si="61"/>
        <v>438.43362170168325</v>
      </c>
      <c r="BH83" s="59">
        <f t="shared" si="62"/>
        <v>731.76695503501651</v>
      </c>
      <c r="BI83" s="59">
        <f ca="1">AVERAGE(OFFSET($BH$3,0,0,'Données projet'!$E$11+1,1))-AVERAGE(OFFSET($H$3,0,0,'Données projet'!$E$11+1,1))</f>
        <v>203.42120484957661</v>
      </c>
      <c r="BJ83" s="59">
        <f t="shared" si="92"/>
        <v>201.8090670543379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0.37840000000000001</v>
      </c>
      <c r="BN83" s="16">
        <f>IF(ISNA(VLOOKUP(A83,'Données projet'!$A$87:$I$107,6,0)),0%,VLOOKUP(A83,'Données projet'!$A$87:$I$107,6,0)*VLOOKUP('Données projet'!$B$11,Paramètres!$A$1:$I$89,7,0))</f>
        <v>5.5899999999999998E-2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21.526918957196674</v>
      </c>
      <c r="BQ83" s="21">
        <f>EXP(-LN(2)/25)*BQ82+(1-EXP(-LN(2)/25))/(LN(2)/25)*Calculateur!BL83*Calculateur!BN83*VLOOKUP('Données projet'!$B$11,Paramètres!$A$1:$I$89,3,0)*0.475*44/12</f>
        <v>6.227431651579149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27.754350608775823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1">
        <f t="shared" si="86"/>
        <v>12.002357532661732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67">
        <f t="shared" si="56"/>
        <v>383.92848936938583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282.62919832217119</v>
      </c>
      <c r="T84" s="59">
        <f t="shared" si="88"/>
        <v>248.89638559192258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-6.3550942286383367E-14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277.73784710957608</v>
      </c>
      <c r="AO84" s="59">
        <f t="shared" si="90"/>
        <v>369.67177565548127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135.44002047766153</v>
      </c>
      <c r="AV84" s="21">
        <f>EXP(-LN(2)/25)*AV83+(1-EXP(-LN(2)/25))/(LN(2)/25)*Calculateur!AQ84*Calculateur!AS84*VLOOKUP('Données projet'!$B$10,Paramètres!$A$1:$I$89,3,0)*0.475*44/12</f>
        <v>28.01619766928361</v>
      </c>
      <c r="AW84" s="21">
        <f>EXP(-LN(2)/2)*AW83+(1-EXP(-LN(2)/2))/(LN(2)/2)*AQ84*AT84*VLOOKUP('Données projet'!$B$10,Paramètres!$A$1:$I$89,3,0)*0.475*44/12</f>
        <v>4.1700810551895109E-3</v>
      </c>
      <c r="AX84" s="21">
        <f t="shared" si="60"/>
        <v>163.46038822800031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195.76439999999985</v>
      </c>
      <c r="BF84" s="13">
        <f t="shared" si="91"/>
        <v>48.812154563023455</v>
      </c>
      <c r="BG84" s="20">
        <f t="shared" si="61"/>
        <v>425.9708325305989</v>
      </c>
      <c r="BH84" s="59">
        <f t="shared" si="62"/>
        <v>719.30416586393221</v>
      </c>
      <c r="BI84" s="59">
        <f ca="1">AVERAGE(OFFSET($BH$3,0,0,'Données projet'!$E$11+1,1))-AVERAGE(OFFSET($H$3,0,0,'Données projet'!$E$11+1,1))</f>
        <v>203.42120484957661</v>
      </c>
      <c r="BJ84" s="59">
        <f t="shared" si="92"/>
        <v>201.8090670543379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21.104789206570118</v>
      </c>
      <c r="BQ84" s="21">
        <f>EXP(-LN(2)/25)*BQ83+(1-EXP(-LN(2)/25))/(LN(2)/25)*Calculateur!BL84*Calculateur!BN84*VLOOKUP('Données projet'!$B$11,Paramètres!$A$1:$I$89,3,0)*0.475*44/12</f>
        <v>6.0571422055803197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27.161931412150437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1">
        <f t="shared" si="86"/>
        <v>12.133193308033777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67">
        <f t="shared" si="56"/>
        <v>385.01674501149211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282.62919832217119</v>
      </c>
      <c r="T85" s="59">
        <f t="shared" si="88"/>
        <v>248.89638559192258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-6.3550942286383367E-14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277.73784710957608</v>
      </c>
      <c r="AO85" s="59">
        <f t="shared" si="90"/>
        <v>369.67177565548127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132.78412428634999</v>
      </c>
      <c r="AV85" s="21">
        <f>EXP(-LN(2)/25)*AV84+(1-EXP(-LN(2)/25))/(LN(2)/25)*Calculateur!AQ85*Calculateur!AS85*VLOOKUP('Données projet'!$B$10,Paramètres!$A$1:$I$89,3,0)*0.475*44/12</f>
        <v>27.250093270709247</v>
      </c>
      <c r="AW85" s="21">
        <f>EXP(-LN(2)/2)*AW84+(1-EXP(-LN(2)/2))/(LN(2)/2)*AQ85*AT85*VLOOKUP('Données projet'!$B$10,Paramètres!$A$1:$I$89,3,0)*0.475*44/12</f>
        <v>2.9486925922220567E-3</v>
      </c>
      <c r="AX85" s="21">
        <f t="shared" si="60"/>
        <v>160.03716624965145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195.76439999999985</v>
      </c>
      <c r="BF85" s="13">
        <f t="shared" si="91"/>
        <v>48.812154563023455</v>
      </c>
      <c r="BG85" s="20">
        <f t="shared" si="61"/>
        <v>425.9708325305989</v>
      </c>
      <c r="BH85" s="59">
        <f t="shared" si="62"/>
        <v>719.30416586393221</v>
      </c>
      <c r="BI85" s="59">
        <f ca="1">AVERAGE(OFFSET($BH$3,0,0,'Données projet'!$E$11+1,1))-AVERAGE(OFFSET($H$3,0,0,'Données projet'!$E$11+1,1))</f>
        <v>203.42120484957661</v>
      </c>
      <c r="BJ85" s="59">
        <f t="shared" si="92"/>
        <v>201.8090670543379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20.690937162879624</v>
      </c>
      <c r="BQ85" s="21">
        <f>EXP(-LN(2)/25)*BQ84+(1-EXP(-LN(2)/25))/(LN(2)/25)*Calculateur!BL85*Calculateur!BN85*VLOOKUP('Données projet'!$B$11,Paramètres!$A$1:$I$89,3,0)*0.475*44/12</f>
        <v>5.8915093334374609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26.582446496317086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1">
        <f t="shared" si="86"/>
        <v>12.263843487317986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67">
        <f t="shared" si="56"/>
        <v>386.10467740707878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282.62919832217119</v>
      </c>
      <c r="T86" s="59">
        <f t="shared" si="88"/>
        <v>248.89638559192258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-6.3550942286383367E-14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277.73784710957608</v>
      </c>
      <c r="AO86" s="59">
        <f t="shared" si="90"/>
        <v>369.67177565548127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130.18030859941337</v>
      </c>
      <c r="AV86" s="21">
        <f>EXP(-LN(2)/25)*AV85+(1-EXP(-LN(2)/25))/(LN(2)/25)*Calculateur!AQ86*Calculateur!AS86*VLOOKUP('Données projet'!$B$10,Paramètres!$A$1:$I$89,3,0)*0.475*44/12</f>
        <v>26.50493803720158</v>
      </c>
      <c r="AW86" s="21">
        <f>EXP(-LN(2)/2)*AW85+(1-EXP(-LN(2)/2))/(LN(2)/2)*AQ86*AT86*VLOOKUP('Données projet'!$B$10,Paramètres!$A$1:$I$89,3,0)*0.475*44/12</f>
        <v>2.0850405275947555E-3</v>
      </c>
      <c r="AX86" s="21">
        <f t="shared" si="60"/>
        <v>156.68733167714254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195.76439999999985</v>
      </c>
      <c r="BF86" s="13">
        <f t="shared" si="91"/>
        <v>48.812154563023455</v>
      </c>
      <c r="BG86" s="20">
        <f t="shared" si="61"/>
        <v>425.9708325305989</v>
      </c>
      <c r="BH86" s="59">
        <f t="shared" si="62"/>
        <v>719.30416586393221</v>
      </c>
      <c r="BI86" s="59">
        <f ca="1">AVERAGE(OFFSET($BH$3,0,0,'Données projet'!$E$11+1,1))-AVERAGE(OFFSET($H$3,0,0,'Données projet'!$E$11+1,1))</f>
        <v>203.42120484957661</v>
      </c>
      <c r="BJ86" s="59">
        <f t="shared" si="92"/>
        <v>201.8090670543379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20.285200505341081</v>
      </c>
      <c r="BQ86" s="21">
        <f>EXP(-LN(2)/25)*BQ85+(1-EXP(-LN(2)/25))/(LN(2)/25)*Calculateur!BL86*Calculateur!BN86*VLOOKUP('Données projet'!$B$11,Paramètres!$A$1:$I$89,3,0)*0.475*44/12</f>
        <v>5.7304057008936029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26.015606206234683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1">
        <f t="shared" si="86"/>
        <v>12.394310565265267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67">
        <f t="shared" si="56"/>
        <v>387.19229090117028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282.62919832217119</v>
      </c>
      <c r="T87" s="59">
        <f t="shared" si="88"/>
        <v>248.89638559192258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-6.3550942286383367E-14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277.73784710957608</v>
      </c>
      <c r="AO87" s="59">
        <f t="shared" si="90"/>
        <v>369.67177565548127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127.6275521499268</v>
      </c>
      <c r="AV87" s="21">
        <f>EXP(-LN(2)/25)*AV86+(1-EXP(-LN(2)/25))/(LN(2)/25)*Calculateur!AQ87*Calculateur!AS87*VLOOKUP('Données projet'!$B$10,Paramètres!$A$1:$I$89,3,0)*0.475*44/12</f>
        <v>25.78015911274019</v>
      </c>
      <c r="AW87" s="21">
        <f>EXP(-LN(2)/2)*AW86+(1-EXP(-LN(2)/2))/(LN(2)/2)*AQ87*AT87*VLOOKUP('Données projet'!$B$10,Paramètres!$A$1:$I$89,3,0)*0.475*44/12</f>
        <v>1.4743462961110284E-3</v>
      </c>
      <c r="AX87" s="21">
        <f t="shared" si="60"/>
        <v>153.4091856089631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195.76439999999985</v>
      </c>
      <c r="BF87" s="13">
        <f t="shared" si="91"/>
        <v>48.812154563023455</v>
      </c>
      <c r="BG87" s="20">
        <f t="shared" si="61"/>
        <v>425.9708325305989</v>
      </c>
      <c r="BH87" s="59">
        <f t="shared" si="62"/>
        <v>719.30416586393221</v>
      </c>
      <c r="BI87" s="59">
        <f ca="1">AVERAGE(OFFSET($BH$3,0,0,'Données projet'!$E$11+1,1))-AVERAGE(OFFSET($H$3,0,0,'Données projet'!$E$11+1,1))</f>
        <v>203.42120484957661</v>
      </c>
      <c r="BJ87" s="59">
        <f t="shared" si="92"/>
        <v>201.8090670543379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19.887420096181941</v>
      </c>
      <c r="BQ87" s="21">
        <f>EXP(-LN(2)/25)*BQ86+(1-EXP(-LN(2)/25))/(LN(2)/25)*Calculateur!BL87*Calculateur!BN87*VLOOKUP('Données projet'!$B$11,Paramètres!$A$1:$I$89,3,0)*0.475*44/12</f>
        <v>5.5737074556537287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25.46112755183567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1">
        <f t="shared" si="86"/>
        <v>12.524596973809777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67">
        <f t="shared" si="56"/>
        <v>388.27958972938529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282.62919832217119</v>
      </c>
      <c r="T88" s="59">
        <f t="shared" si="88"/>
        <v>248.89638559192258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-6.3550942286383367E-14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277.73784710957608</v>
      </c>
      <c r="AO88" s="59">
        <f t="shared" si="90"/>
        <v>369.67177565548127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125.12485369738698</v>
      </c>
      <c r="AV88" s="21">
        <f>EXP(-LN(2)/25)*AV87+(1-EXP(-LN(2)/25))/(LN(2)/25)*Calculateur!AQ88*Calculateur!AS88*VLOOKUP('Données projet'!$B$10,Paramètres!$A$1:$I$89,3,0)*0.475*44/12</f>
        <v>25.075199306082663</v>
      </c>
      <c r="AW88" s="21">
        <f>EXP(-LN(2)/2)*AW87+(1-EXP(-LN(2)/2))/(LN(2)/2)*AQ88*AT88*VLOOKUP('Données projet'!$B$10,Paramètres!$A$1:$I$89,3,0)*0.475*44/12</f>
        <v>1.0425202637973777E-3</v>
      </c>
      <c r="AX88" s="21">
        <f t="shared" si="60"/>
        <v>150.20109552373344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195.76439999999985</v>
      </c>
      <c r="BF88" s="13">
        <f t="shared" si="91"/>
        <v>48.812154563023455</v>
      </c>
      <c r="BG88" s="20">
        <f t="shared" si="61"/>
        <v>425.9708325305989</v>
      </c>
      <c r="BH88" s="59">
        <f t="shared" si="62"/>
        <v>719.30416586393221</v>
      </c>
      <c r="BI88" s="59">
        <f ca="1">AVERAGE(OFFSET($BH$3,0,0,'Données projet'!$E$11+1,1))-AVERAGE(OFFSET($H$3,0,0,'Données projet'!$E$11+1,1))</f>
        <v>203.42120484957661</v>
      </c>
      <c r="BJ88" s="59">
        <f t="shared" si="92"/>
        <v>201.8090670543379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19.49743991822432</v>
      </c>
      <c r="BQ88" s="21">
        <f>EXP(-LN(2)/25)*BQ87+(1-EXP(-LN(2)/25))/(LN(2)/25)*Calculateur!BL88*Calculateur!BN88*VLOOKUP('Données projet'!$B$11,Paramètres!$A$1:$I$89,3,0)*0.475*44/12</f>
        <v>5.421294132170341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24.918734050394661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1">
        <f t="shared" si="86"/>
        <v>12.654705084370677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67">
        <f t="shared" si="56"/>
        <v>389.36657802194554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282.62919832217119</v>
      </c>
      <c r="T89" s="59">
        <f t="shared" si="88"/>
        <v>248.89638559192258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-6.3550942286383367E-14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277.73784710957608</v>
      </c>
      <c r="AO89" s="59">
        <f t="shared" si="90"/>
        <v>369.67177565548127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122.67123163500614</v>
      </c>
      <c r="AV89" s="21">
        <f>EXP(-LN(2)/25)*AV88+(1-EXP(-LN(2)/25))/(LN(2)/25)*Calculateur!AQ89*Calculateur!AS89*VLOOKUP('Données projet'!$B$10,Paramètres!$A$1:$I$89,3,0)*0.475*44/12</f>
        <v>24.389516662410411</v>
      </c>
      <c r="AW89" s="21">
        <f>EXP(-LN(2)/2)*AW88+(1-EXP(-LN(2)/2))/(LN(2)/2)*AQ89*AT89*VLOOKUP('Données projet'!$B$10,Paramètres!$A$1:$I$89,3,0)*0.475*44/12</f>
        <v>7.3717314805551418E-4</v>
      </c>
      <c r="AX89" s="21">
        <f t="shared" si="60"/>
        <v>147.06148547056461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195.76439999999985</v>
      </c>
      <c r="BF89" s="13">
        <f t="shared" si="91"/>
        <v>48.812154563023455</v>
      </c>
      <c r="BG89" s="20">
        <f t="shared" si="61"/>
        <v>425.9708325305989</v>
      </c>
      <c r="BH89" s="59">
        <f t="shared" si="62"/>
        <v>719.30416586393221</v>
      </c>
      <c r="BI89" s="59">
        <f ca="1">AVERAGE(OFFSET($BH$3,0,0,'Données projet'!$E$11+1,1))-AVERAGE(OFFSET($H$3,0,0,'Données projet'!$E$11+1,1))</f>
        <v>203.42120484957661</v>
      </c>
      <c r="BJ89" s="59">
        <f t="shared" si="92"/>
        <v>201.8090670543379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19.115107013692029</v>
      </c>
      <c r="BQ89" s="21">
        <f>EXP(-LN(2)/25)*BQ88+(1-EXP(-LN(2)/25))/(LN(2)/25)*Calculateur!BL89*Calculateur!BN89*VLOOKUP('Données projet'!$B$11,Paramètres!$A$1:$I$89,3,0)*0.475*44/12</f>
        <v>5.2730485590326754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24.388155572724706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1">
        <f t="shared" si="86"/>
        <v>12.784637210043719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67">
        <f t="shared" si="56"/>
        <v>390.45325980749277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282.62919832217119</v>
      </c>
      <c r="T90" s="59">
        <f t="shared" si="88"/>
        <v>248.89638559192258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-6.3550942286383367E-14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277.73784710957608</v>
      </c>
      <c r="AO90" s="59">
        <f t="shared" si="90"/>
        <v>369.67177565548127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120.26572360470689</v>
      </c>
      <c r="AV90" s="21">
        <f>EXP(-LN(2)/25)*AV89+(1-EXP(-LN(2)/25))/(LN(2)/25)*Calculateur!AQ90*Calculateur!AS90*VLOOKUP('Données projet'!$B$10,Paramètres!$A$1:$I$89,3,0)*0.475*44/12</f>
        <v>23.72258404668786</v>
      </c>
      <c r="AW90" s="21">
        <f>EXP(-LN(2)/2)*AW89+(1-EXP(-LN(2)/2))/(LN(2)/2)*AQ90*AT90*VLOOKUP('Données projet'!$B$10,Paramètres!$A$1:$I$89,3,0)*0.475*44/12</f>
        <v>5.2126013189868886E-4</v>
      </c>
      <c r="AX90" s="21">
        <f t="shared" si="60"/>
        <v>143.98882891152667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195.76439999999985</v>
      </c>
      <c r="BF90" s="13">
        <f t="shared" si="91"/>
        <v>48.812154563023455</v>
      </c>
      <c r="BG90" s="20">
        <f t="shared" si="61"/>
        <v>425.9708325305989</v>
      </c>
      <c r="BH90" s="59">
        <f t="shared" si="62"/>
        <v>719.30416586393221</v>
      </c>
      <c r="BI90" s="59">
        <f ca="1">AVERAGE(OFFSET($BH$3,0,0,'Données projet'!$E$11+1,1))-AVERAGE(OFFSET($H$3,0,0,'Données projet'!$E$11+1,1))</f>
        <v>203.42120484957661</v>
      </c>
      <c r="BJ90" s="59">
        <f t="shared" si="92"/>
        <v>201.8090670543379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18.740271424217571</v>
      </c>
      <c r="BQ90" s="21">
        <f>EXP(-LN(2)/25)*BQ89+(1-EXP(-LN(2)/25))/(LN(2)/25)*Calculateur!BL90*Calculateur!BN90*VLOOKUP('Données projet'!$B$11,Paramètres!$A$1:$I$89,3,0)*0.475*44/12</f>
        <v>5.1288567688883546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23.869128193105926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1">
        <f t="shared" si="86"/>
        <v>12.914395607689229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67">
        <f t="shared" si="56"/>
        <v>391.53963901672535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282.62919832217119</v>
      </c>
      <c r="T91" s="59">
        <f t="shared" si="88"/>
        <v>248.89638559192258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-6.3550942286383367E-14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277.73784710957608</v>
      </c>
      <c r="AO91" s="59">
        <f t="shared" si="90"/>
        <v>369.67177565548127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117.9073861196668</v>
      </c>
      <c r="AV91" s="21">
        <f>EXP(-LN(2)/25)*AV90+(1-EXP(-LN(2)/25))/(LN(2)/25)*Calculateur!AQ91*Calculateur!AS91*VLOOKUP('Données projet'!$B$10,Paramètres!$A$1:$I$89,3,0)*0.475*44/12</f>
        <v>23.073888738414706</v>
      </c>
      <c r="AW91" s="21">
        <f>EXP(-LN(2)/2)*AW90+(1-EXP(-LN(2)/2))/(LN(2)/2)*AQ91*AT91*VLOOKUP('Données projet'!$B$10,Paramètres!$A$1:$I$89,3,0)*0.475*44/12</f>
        <v>3.6858657402775709E-4</v>
      </c>
      <c r="AX91" s="21">
        <f t="shared" si="60"/>
        <v>140.98164344465553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195.76439999999985</v>
      </c>
      <c r="BF91" s="13">
        <f t="shared" si="91"/>
        <v>48.812154563023455</v>
      </c>
      <c r="BG91" s="20">
        <f t="shared" si="61"/>
        <v>425.9708325305989</v>
      </c>
      <c r="BH91" s="59">
        <f t="shared" si="62"/>
        <v>719.30416586393221</v>
      </c>
      <c r="BI91" s="59">
        <f ca="1">AVERAGE(OFFSET($BH$3,0,0,'Données projet'!$E$11+1,1))-AVERAGE(OFFSET($H$3,0,0,'Données projet'!$E$11+1,1))</f>
        <v>203.42120484957661</v>
      </c>
      <c r="BJ91" s="59">
        <f t="shared" si="92"/>
        <v>201.8090670543379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18.372786132025571</v>
      </c>
      <c r="BQ91" s="21">
        <f>EXP(-LN(2)/25)*BQ90+(1-EXP(-LN(2)/25))/(LN(2)/25)*Calculateur!BL91*Calculateur!BN91*VLOOKUP('Données projet'!$B$11,Paramètres!$A$1:$I$89,3,0)*0.475*44/12</f>
        <v>4.9886079108282475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23.361394042853817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1">
        <f t="shared" si="86"/>
        <v>13.043982479922438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67">
        <f t="shared" si="56"/>
        <v>392.62571948586486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282.62919832217119</v>
      </c>
      <c r="T92" s="59">
        <f t="shared" si="88"/>
        <v>248.89638559192258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-6.3550942286383367E-14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277.73784710957608</v>
      </c>
      <c r="AO92" s="59">
        <f t="shared" si="90"/>
        <v>369.67177565548127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115.59529419426451</v>
      </c>
      <c r="AV92" s="21">
        <f>EXP(-LN(2)/25)*AV91+(1-EXP(-LN(2)/25))/(LN(2)/25)*Calculateur!AQ92*Calculateur!AS92*VLOOKUP('Données projet'!$B$10,Paramètres!$A$1:$I$89,3,0)*0.475*44/12</f>
        <v>22.442932037459684</v>
      </c>
      <c r="AW92" s="21">
        <f>EXP(-LN(2)/2)*AW91+(1-EXP(-LN(2)/2))/(LN(2)/2)*AQ92*AT92*VLOOKUP('Données projet'!$B$10,Paramètres!$A$1:$I$89,3,0)*0.475*44/12</f>
        <v>2.6063006594934443E-4</v>
      </c>
      <c r="AX92" s="21">
        <f t="shared" si="60"/>
        <v>138.03848686179015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195.76439999999985</v>
      </c>
      <c r="BF92" s="13">
        <f t="shared" si="91"/>
        <v>48.812154563023455</v>
      </c>
      <c r="BG92" s="20">
        <f t="shared" si="61"/>
        <v>425.9708325305989</v>
      </c>
      <c r="BH92" s="59">
        <f t="shared" si="62"/>
        <v>719.30416586393221</v>
      </c>
      <c r="BI92" s="59">
        <f ca="1">AVERAGE(OFFSET($BH$3,0,0,'Données projet'!$E$11+1,1))-AVERAGE(OFFSET($H$3,0,0,'Données projet'!$E$11+1,1))</f>
        <v>203.42120484957661</v>
      </c>
      <c r="BJ92" s="59">
        <f t="shared" si="92"/>
        <v>201.8090670543379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18.012507002269562</v>
      </c>
      <c r="BQ92" s="21">
        <f>EXP(-LN(2)/25)*BQ91+(1-EXP(-LN(2)/25))/(LN(2)/25)*Calculateur!BL92*Calculateur!BN92*VLOOKUP('Données projet'!$B$11,Paramètres!$A$1:$I$89,3,0)*0.475*44/12</f>
        <v>4.8521941651671607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22.864701167436721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1">
        <f t="shared" si="86"/>
        <v>13.173399977011854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67">
        <f t="shared" si="56"/>
        <v>393.71150495996227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282.62919832217119</v>
      </c>
      <c r="T93" s="59">
        <f t="shared" si="88"/>
        <v>248.89638559192258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-6.3550942286383367E-14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277.73784710957608</v>
      </c>
      <c r="AO93" s="59">
        <f t="shared" si="90"/>
        <v>369.67177565548127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113.32854098128254</v>
      </c>
      <c r="AV93" s="21">
        <f>EXP(-LN(2)/25)*AV92+(1-EXP(-LN(2)/25))/(LN(2)/25)*Calculateur!AQ93*Calculateur!AS93*VLOOKUP('Données projet'!$B$10,Paramètres!$A$1:$I$89,3,0)*0.475*44/12</f>
        <v>21.829228880672847</v>
      </c>
      <c r="AW93" s="21">
        <f>EXP(-LN(2)/2)*AW92+(1-EXP(-LN(2)/2))/(LN(2)/2)*AQ93*AT93*VLOOKUP('Données projet'!$B$10,Paramètres!$A$1:$I$89,3,0)*0.475*44/12</f>
        <v>1.8429328701387854E-4</v>
      </c>
      <c r="AX93" s="21">
        <f t="shared" si="60"/>
        <v>135.15795415524241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195.76439999999985</v>
      </c>
      <c r="BF93" s="13">
        <f t="shared" si="91"/>
        <v>48.812154563023455</v>
      </c>
      <c r="BG93" s="20">
        <f t="shared" si="61"/>
        <v>425.9708325305989</v>
      </c>
      <c r="BH93" s="59">
        <f t="shared" si="62"/>
        <v>719.30416586393221</v>
      </c>
      <c r="BI93" s="59">
        <f ca="1">AVERAGE(OFFSET($BH$3,0,0,'Données projet'!$E$11+1,1))-AVERAGE(OFFSET($H$3,0,0,'Données projet'!$E$11+1,1))</f>
        <v>203.42120484957661</v>
      </c>
      <c r="BJ93" s="59">
        <f t="shared" si="92"/>
        <v>201.8090670543379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17.659292726499494</v>
      </c>
      <c r="BQ93" s="21">
        <f>EXP(-LN(2)/25)*BQ92+(1-EXP(-LN(2)/25))/(LN(2)/25)*Calculateur!BL93*Calculateur!BN93*VLOOKUP('Données projet'!$B$11,Paramètres!$A$1:$I$89,3,0)*0.475*44/12</f>
        <v>4.7195106605548638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22.378803387054358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1">
        <f t="shared" si="86"/>
        <v>13.302650198690802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67">
        <f t="shared" si="56"/>
        <v>394.79699909605313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282.62919832217119</v>
      </c>
      <c r="T94" s="59">
        <f t="shared" si="88"/>
        <v>248.89638559192258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-6.3550942286383367E-14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277.73784710957608</v>
      </c>
      <c r="AO94" s="59">
        <f t="shared" si="90"/>
        <v>369.67177565548127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111.1062374162242</v>
      </c>
      <c r="AV94" s="21">
        <f>EXP(-LN(2)/25)*AV93+(1-EXP(-LN(2)/25))/(LN(2)/25)*Calculateur!AQ94*Calculateur!AS94*VLOOKUP('Données projet'!$B$10,Paramètres!$A$1:$I$89,3,0)*0.475*44/12</f>
        <v>21.232307468981592</v>
      </c>
      <c r="AW94" s="21">
        <f>EXP(-LN(2)/2)*AW93+(1-EXP(-LN(2)/2))/(LN(2)/2)*AQ94*AT94*VLOOKUP('Données projet'!$B$10,Paramètres!$A$1:$I$89,3,0)*0.475*44/12</f>
        <v>1.3031503297467222E-4</v>
      </c>
      <c r="AX94" s="21">
        <f t="shared" si="60"/>
        <v>132.33867520023878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195.76439999999985</v>
      </c>
      <c r="BF94" s="13">
        <f t="shared" si="91"/>
        <v>48.812154563023455</v>
      </c>
      <c r="BG94" s="20">
        <f t="shared" si="61"/>
        <v>425.9708325305989</v>
      </c>
      <c r="BH94" s="59">
        <f t="shared" si="62"/>
        <v>719.30416586393221</v>
      </c>
      <c r="BI94" s="59">
        <f ca="1">AVERAGE(OFFSET($BH$3,0,0,'Données projet'!$E$11+1,1))-AVERAGE(OFFSET($H$3,0,0,'Données projet'!$E$11+1,1))</f>
        <v>203.42120484957661</v>
      </c>
      <c r="BJ94" s="59">
        <f t="shared" si="92"/>
        <v>201.8090670543379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17.313004767237842</v>
      </c>
      <c r="BQ94" s="21">
        <f>EXP(-LN(2)/25)*BQ93+(1-EXP(-LN(2)/25))/(LN(2)/25)*Calculateur!BL94*Calculateur!BN94*VLOOKUP('Données projet'!$B$11,Paramètres!$A$1:$I$89,3,0)*0.475*44/12</f>
        <v>4.5904553933537118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21.903460160591553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1">
        <f t="shared" si="86"/>
        <v>13.431735195887134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67">
        <f t="shared" si="56"/>
        <v>395.88220546617003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282.62919832217119</v>
      </c>
      <c r="T95" s="59">
        <f t="shared" si="88"/>
        <v>248.89638559192258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-6.3550942286383367E-14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277.73784710957608</v>
      </c>
      <c r="AO95" s="59">
        <f t="shared" si="90"/>
        <v>369.67177565548127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108.92751186860532</v>
      </c>
      <c r="AV95" s="21">
        <f>EXP(-LN(2)/25)*AV94+(1-EXP(-LN(2)/25))/(LN(2)/25)*Calculateur!AQ95*Calculateur!AS95*VLOOKUP('Données projet'!$B$10,Paramètres!$A$1:$I$89,3,0)*0.475*44/12</f>
        <v>20.651708904683769</v>
      </c>
      <c r="AW95" s="21">
        <f>EXP(-LN(2)/2)*AW94+(1-EXP(-LN(2)/2))/(LN(2)/2)*AQ95*AT95*VLOOKUP('Données projet'!$B$10,Paramètres!$A$1:$I$89,3,0)*0.475*44/12</f>
        <v>9.2146643506939272E-5</v>
      </c>
      <c r="AX95" s="21">
        <f t="shared" si="60"/>
        <v>129.57931291993259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195.76439999999985</v>
      </c>
      <c r="BF95" s="13">
        <f t="shared" si="91"/>
        <v>48.812154563023455</v>
      </c>
      <c r="BG95" s="20">
        <f t="shared" si="61"/>
        <v>425.9708325305989</v>
      </c>
      <c r="BH95" s="59">
        <f t="shared" si="62"/>
        <v>719.30416586393221</v>
      </c>
      <c r="BI95" s="59">
        <f ca="1">AVERAGE(OFFSET($BH$3,0,0,'Données projet'!$E$11+1,1))-AVERAGE(OFFSET($H$3,0,0,'Données projet'!$E$11+1,1))</f>
        <v>203.42120484957661</v>
      </c>
      <c r="BJ95" s="59">
        <f t="shared" si="92"/>
        <v>201.8090670543379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16.973507303642513</v>
      </c>
      <c r="BQ95" s="21">
        <f>EXP(-LN(2)/25)*BQ94+(1-EXP(-LN(2)/25))/(LN(2)/25)*Calculateur!BL95*Calculateur!BN95*VLOOKUP('Données projet'!$B$11,Paramètres!$A$1:$I$89,3,0)*0.475*44/12</f>
        <v>4.4649291492208967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21.43843645286341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1">
        <f t="shared" si="86"/>
        <v>13.560656972375495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67">
        <f t="shared" si="56"/>
        <v>396.9671275602206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282.62919832217119</v>
      </c>
      <c r="T96" s="59">
        <f t="shared" si="88"/>
        <v>248.89638559192258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-6.3550942286383367E-14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277.73784710957608</v>
      </c>
      <c r="AO96" s="59">
        <f t="shared" si="90"/>
        <v>369.67177565548127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106.79150980008389</v>
      </c>
      <c r="AV96" s="21">
        <f>EXP(-LN(2)/25)*AV95+(1-EXP(-LN(2)/25))/(LN(2)/25)*Calculateur!AQ96*Calculateur!AS96*VLOOKUP('Données projet'!$B$10,Paramètres!$A$1:$I$89,3,0)*0.475*44/12</f>
        <v>20.086986838659019</v>
      </c>
      <c r="AW96" s="21">
        <f>EXP(-LN(2)/2)*AW95+(1-EXP(-LN(2)/2))/(LN(2)/2)*AQ96*AT96*VLOOKUP('Données projet'!$B$10,Paramètres!$A$1:$I$89,3,0)*0.475*44/12</f>
        <v>6.5157516487336108E-5</v>
      </c>
      <c r="AX96" s="21">
        <f t="shared" si="60"/>
        <v>126.87856179625939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195.76439999999985</v>
      </c>
      <c r="BF96" s="13">
        <f t="shared" si="91"/>
        <v>48.812154563023455</v>
      </c>
      <c r="BG96" s="20">
        <f t="shared" si="61"/>
        <v>425.9708325305989</v>
      </c>
      <c r="BH96" s="59">
        <f t="shared" si="62"/>
        <v>719.30416586393221</v>
      </c>
      <c r="BI96" s="59">
        <f ca="1">AVERAGE(OFFSET($BH$3,0,0,'Données projet'!$E$11+1,1))-AVERAGE(OFFSET($H$3,0,0,'Données projet'!$E$11+1,1))</f>
        <v>203.42120484957661</v>
      </c>
      <c r="BJ96" s="59">
        <f t="shared" si="92"/>
        <v>201.8090670543379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16.640667178235283</v>
      </c>
      <c r="BQ96" s="21">
        <f>EXP(-LN(2)/25)*BQ95+(1-EXP(-LN(2)/25))/(LN(2)/25)*Calculateur!BL96*Calculateur!BN96*VLOOKUP('Données projet'!$B$11,Paramètres!$A$1:$I$89,3,0)*0.475*44/12</f>
        <v>4.3428354268350322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20.983502605070314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1">
        <f t="shared" si="86"/>
        <v>13.689417486356579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67">
        <f t="shared" si="56"/>
        <v>398.05176878873766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282.62919832217119</v>
      </c>
      <c r="T97" s="59">
        <f t="shared" si="88"/>
        <v>248.89638559192258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-6.3550942286383367E-14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277.73784710957608</v>
      </c>
      <c r="AO97" s="59">
        <f t="shared" si="90"/>
        <v>369.67177565548127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104.69739342929354</v>
      </c>
      <c r="AV97" s="21">
        <f>EXP(-LN(2)/25)*AV96+(1-EXP(-LN(2)/25))/(LN(2)/25)*Calculateur!AQ97*Calculateur!AS97*VLOOKUP('Données projet'!$B$10,Paramètres!$A$1:$I$89,3,0)*0.475*44/12</f>
        <v>19.537707127227161</v>
      </c>
      <c r="AW97" s="21">
        <f>EXP(-LN(2)/2)*AW96+(1-EXP(-LN(2)/2))/(LN(2)/2)*AQ97*AT97*VLOOKUP('Données projet'!$B$10,Paramètres!$A$1:$I$89,3,0)*0.475*44/12</f>
        <v>4.6073321753469636E-5</v>
      </c>
      <c r="AX97" s="21">
        <f t="shared" si="60"/>
        <v>124.23514662984246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195.76439999999985</v>
      </c>
      <c r="BF97" s="13">
        <f t="shared" si="91"/>
        <v>48.812154563023455</v>
      </c>
      <c r="BG97" s="20">
        <f t="shared" si="61"/>
        <v>425.9708325305989</v>
      </c>
      <c r="BH97" s="59">
        <f t="shared" si="62"/>
        <v>719.30416586393221</v>
      </c>
      <c r="BI97" s="59">
        <f ca="1">AVERAGE(OFFSET($BH$3,0,0,'Données projet'!$E$11+1,1))-AVERAGE(OFFSET($H$3,0,0,'Données projet'!$E$11+1,1))</f>
        <v>203.42120484957661</v>
      </c>
      <c r="BJ97" s="59">
        <f t="shared" si="92"/>
        <v>201.8090670543379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16.314353844674859</v>
      </c>
      <c r="BQ97" s="21">
        <f>EXP(-LN(2)/25)*BQ96+(1-EXP(-LN(2)/25))/(LN(2)/25)*Calculateur!BL97*Calculateur!BN97*VLOOKUP('Données projet'!$B$11,Paramètres!$A$1:$I$89,3,0)*0.475*44/12</f>
        <v>4.2240803637084392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20.538434208383297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1">
        <f t="shared" si="86"/>
        <v>13.818018651967211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67">
        <f t="shared" si="56"/>
        <v>399.13613248550951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282.62919832217119</v>
      </c>
      <c r="T98" s="59">
        <f t="shared" si="88"/>
        <v>248.89638559192258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-6.3550942286383367E-14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277.73784710957608</v>
      </c>
      <c r="AO98" s="59">
        <f t="shared" si="90"/>
        <v>369.67177565548127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102.64434140324953</v>
      </c>
      <c r="AV98" s="21">
        <f>EXP(-LN(2)/25)*AV97+(1-EXP(-LN(2)/25))/(LN(2)/25)*Calculateur!AQ98*Calculateur!AS98*VLOOKUP('Données projet'!$B$10,Paramètres!$A$1:$I$89,3,0)*0.475*44/12</f>
        <v>19.003447498389772</v>
      </c>
      <c r="AW98" s="21">
        <f>EXP(-LN(2)/2)*AW97+(1-EXP(-LN(2)/2))/(LN(2)/2)*AQ98*AT98*VLOOKUP('Données projet'!$B$10,Paramètres!$A$1:$I$89,3,0)*0.475*44/12</f>
        <v>3.2578758243668054E-5</v>
      </c>
      <c r="AX98" s="21">
        <f t="shared" si="60"/>
        <v>121.64782148039754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195.76439999999985</v>
      </c>
      <c r="BF98" s="13">
        <f t="shared" si="91"/>
        <v>48.812154563023455</v>
      </c>
      <c r="BG98" s="20">
        <f t="shared" si="61"/>
        <v>425.9708325305989</v>
      </c>
      <c r="BH98" s="59">
        <f t="shared" si="62"/>
        <v>719.30416586393221</v>
      </c>
      <c r="BI98" s="59">
        <f ca="1">AVERAGE(OFFSET($BH$3,0,0,'Données projet'!$E$11+1,1))-AVERAGE(OFFSET($H$3,0,0,'Données projet'!$E$11+1,1))</f>
        <v>203.42120484957661</v>
      </c>
      <c r="BJ98" s="59">
        <f t="shared" si="92"/>
        <v>201.8090670543379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15.994439316554073</v>
      </c>
      <c r="BQ98" s="21">
        <f>EXP(-LN(2)/25)*BQ97+(1-EXP(-LN(2)/25))/(LN(2)/25)*Calculateur!BL98*Calculateur!BN98*VLOOKUP('Données projet'!$B$11,Paramètres!$A$1:$I$89,3,0)*0.475*44/12</f>
        <v>4.1085726640280997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20.103011980582174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1">
        <f t="shared" si="86"/>
        <v>13.946462340725052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67">
        <f t="shared" si="56"/>
        <v>400.22022191009609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282.62919832217119</v>
      </c>
      <c r="T99" s="59">
        <f t="shared" si="88"/>
        <v>248.89638559192258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-6.3550942286383367E-14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277.73784710957608</v>
      </c>
      <c r="AO99" s="59">
        <f t="shared" si="90"/>
        <v>369.67177565548127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100.63154847519814</v>
      </c>
      <c r="AV99" s="21">
        <f>EXP(-LN(2)/25)*AV98+(1-EXP(-LN(2)/25))/(LN(2)/25)*Calculateur!AQ99*Calculateur!AS99*VLOOKUP('Données projet'!$B$10,Paramètres!$A$1:$I$89,3,0)*0.475*44/12</f>
        <v>18.483797227198433</v>
      </c>
      <c r="AW99" s="21">
        <f>EXP(-LN(2)/2)*AW98+(1-EXP(-LN(2)/2))/(LN(2)/2)*AQ99*AT99*VLOOKUP('Données projet'!$B$10,Paramètres!$A$1:$I$89,3,0)*0.475*44/12</f>
        <v>2.3036660876734818E-5</v>
      </c>
      <c r="AX99" s="21">
        <f t="shared" si="60"/>
        <v>119.11536873905746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195.76439999999985</v>
      </c>
      <c r="BF99" s="13">
        <f t="shared" si="91"/>
        <v>48.812154563023455</v>
      </c>
      <c r="BG99" s="20">
        <f t="shared" si="61"/>
        <v>425.9708325305989</v>
      </c>
      <c r="BH99" s="59">
        <f t="shared" si="62"/>
        <v>719.30416586393221</v>
      </c>
      <c r="BI99" s="59">
        <f ca="1">AVERAGE(OFFSET($BH$3,0,0,'Données projet'!$E$11+1,1))-AVERAGE(OFFSET($H$3,0,0,'Données projet'!$E$11+1,1))</f>
        <v>203.42120484957661</v>
      </c>
      <c r="BJ99" s="59">
        <f t="shared" si="92"/>
        <v>201.8090670543379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15.680798117201141</v>
      </c>
      <c r="BQ99" s="21">
        <f>EXP(-LN(2)/25)*BQ98+(1-EXP(-LN(2)/25))/(LN(2)/25)*Calculateur!BL99*Calculateur!BN99*VLOOKUP('Données projet'!$B$11,Paramètres!$A$1:$I$89,3,0)*0.475*44/12</f>
        <v>3.9962235284698053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19.677021645670948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1">
        <f t="shared" si="86"/>
        <v>14.074750382911397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67">
        <f t="shared" si="56"/>
        <v>401.30404025023728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282.62919832217119</v>
      </c>
      <c r="T100" s="59">
        <f t="shared" si="88"/>
        <v>248.89638559192258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-6.3550942286383367E-14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277.73784710957608</v>
      </c>
      <c r="AO100" s="59">
        <f t="shared" si="90"/>
        <v>369.67177565548127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98.658225188783391</v>
      </c>
      <c r="AV100" s="21">
        <f>EXP(-LN(2)/25)*AV99+(1-EXP(-LN(2)/25))/(LN(2)/25)*Calculateur!AQ100*Calculateur!AS100*VLOOKUP('Données projet'!$B$10,Paramètres!$A$1:$I$89,3,0)*0.475*44/12</f>
        <v>17.978356820000041</v>
      </c>
      <c r="AW100" s="21">
        <f>EXP(-LN(2)/2)*AW99+(1-EXP(-LN(2)/2))/(LN(2)/2)*AQ100*AT100*VLOOKUP('Données projet'!$B$10,Paramètres!$A$1:$I$89,3,0)*0.475*44/12</f>
        <v>1.6289379121834027E-5</v>
      </c>
      <c r="AX100" s="21">
        <f t="shared" si="60"/>
        <v>116.63659829816255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195.76439999999985</v>
      </c>
      <c r="BF100" s="13">
        <f t="shared" si="91"/>
        <v>48.812154563023455</v>
      </c>
      <c r="BG100" s="20">
        <f t="shared" si="61"/>
        <v>425.9708325305989</v>
      </c>
      <c r="BH100" s="59">
        <f t="shared" si="62"/>
        <v>719.30416586393221</v>
      </c>
      <c r="BI100" s="59">
        <f ca="1">AVERAGE(OFFSET($BH$3,0,0,'Données projet'!$E$11+1,1))-AVERAGE(OFFSET($H$3,0,0,'Données projet'!$E$11+1,1))</f>
        <v>203.42120484957661</v>
      </c>
      <c r="BJ100" s="59">
        <f t="shared" si="92"/>
        <v>201.8090670543379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15.373307230465278</v>
      </c>
      <c r="BQ100" s="21">
        <f>EXP(-LN(2)/25)*BQ99+(1-EXP(-LN(2)/25))/(LN(2)/25)*Calculateur!BL100*Calculateur!BN100*VLOOKUP('Données projet'!$B$11,Paramètres!$A$1:$I$89,3,0)*0.475*44/12</f>
        <v>3.8869465859315366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19.260253816396816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1">
        <f t="shared" si="86"/>
        <v>14.202884568895271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67">
        <f t="shared" si="56"/>
        <v>402.3875906241592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282.62919832217119</v>
      </c>
      <c r="T101" s="59">
        <f t="shared" si="88"/>
        <v>248.89638559192258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-6.3550942286383367E-14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277.73784710957608</v>
      </c>
      <c r="AO101" s="59">
        <f t="shared" si="90"/>
        <v>369.67177565548127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96.723597568406873</v>
      </c>
      <c r="AV101" s="21">
        <f>EXP(-LN(2)/25)*AV100+(1-EXP(-LN(2)/25))/(LN(2)/25)*Calculateur!AQ101*Calculateur!AS101*VLOOKUP('Données projet'!$B$10,Paramètres!$A$1:$I$89,3,0)*0.475*44/12</f>
        <v>17.486737707316443</v>
      </c>
      <c r="AW101" s="21">
        <f>EXP(-LN(2)/2)*AW100+(1-EXP(-LN(2)/2))/(LN(2)/2)*AQ101*AT101*VLOOKUP('Données projet'!$B$10,Paramètres!$A$1:$I$89,3,0)*0.475*44/12</f>
        <v>1.1518330438367409E-5</v>
      </c>
      <c r="AX101" s="21">
        <f t="shared" si="60"/>
        <v>114.21034679405375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195.76439999999985</v>
      </c>
      <c r="BF101" s="13">
        <f t="shared" si="91"/>
        <v>48.812154563023455</v>
      </c>
      <c r="BG101" s="20">
        <f t="shared" si="61"/>
        <v>425.9708325305989</v>
      </c>
      <c r="BH101" s="59">
        <f t="shared" si="62"/>
        <v>719.30416586393221</v>
      </c>
      <c r="BI101" s="59">
        <f ca="1">AVERAGE(OFFSET($BH$3,0,0,'Données projet'!$E$11+1,1))-AVERAGE(OFFSET($H$3,0,0,'Données projet'!$E$11+1,1))</f>
        <v>203.42120484957661</v>
      </c>
      <c r="BJ101" s="59">
        <f t="shared" si="92"/>
        <v>201.8090670543379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15.071846052467382</v>
      </c>
      <c r="BQ101" s="21">
        <f>EXP(-LN(2)/25)*BQ100+(1-EXP(-LN(2)/25))/(LN(2)/25)*Calculateur!BL101*Calculateur!BN101*VLOOKUP('Données projet'!$B$11,Paramètres!$A$1:$I$89,3,0)*0.475*44/12</f>
        <v>3.7806578271336018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18.852503879600985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1">
        <f t="shared" si="86"/>
        <v>14.330866650402021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67">
        <f t="shared" si="56"/>
        <v>403.47087608278349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282.62919832217119</v>
      </c>
      <c r="T102" s="59">
        <f t="shared" si="88"/>
        <v>248.89638559192258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-6.3550942286383367E-14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277.73784710957608</v>
      </c>
      <c r="AO102" s="59">
        <f t="shared" si="90"/>
        <v>369.67177565548127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94.826906815659598</v>
      </c>
      <c r="AV102" s="21">
        <f>EXP(-LN(2)/25)*AV101+(1-EXP(-LN(2)/25))/(LN(2)/25)*Calculateur!AQ102*Calculateur!AS102*VLOOKUP('Données projet'!$B$10,Paramètres!$A$1:$I$89,3,0)*0.475*44/12</f>
        <v>17.008561945122306</v>
      </c>
      <c r="AW102" s="21">
        <f>EXP(-LN(2)/2)*AW101+(1-EXP(-LN(2)/2))/(LN(2)/2)*AQ102*AT102*VLOOKUP('Données projet'!$B$10,Paramètres!$A$1:$I$89,3,0)*0.475*44/12</f>
        <v>8.1446895609170135E-6</v>
      </c>
      <c r="AX102" s="21">
        <f t="shared" si="60"/>
        <v>111.83547690547147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195.76439999999985</v>
      </c>
      <c r="BF102" s="13">
        <f t="shared" si="91"/>
        <v>48.812154563023455</v>
      </c>
      <c r="BG102" s="20">
        <f t="shared" si="61"/>
        <v>425.9708325305989</v>
      </c>
      <c r="BH102" s="59">
        <f t="shared" si="62"/>
        <v>719.30416586393221</v>
      </c>
      <c r="BI102" s="59">
        <f ca="1">AVERAGE(OFFSET($BH$3,0,0,'Données projet'!$E$11+1,1))-AVERAGE(OFFSET($H$3,0,0,'Données projet'!$E$11+1,1))</f>
        <v>203.42120484957661</v>
      </c>
      <c r="BJ102" s="59">
        <f t="shared" si="92"/>
        <v>201.8090670543379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14.776296344296863</v>
      </c>
      <c r="BQ102" s="21">
        <f>EXP(-LN(2)/25)*BQ101+(1-EXP(-LN(2)/25))/(LN(2)/25)*Calculateur!BL102*Calculateur!BN102*VLOOKUP('Données projet'!$B$11,Paramètres!$A$1:$I$89,3,0)*0.475*44/12</f>
        <v>3.6772755400344792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18.453571884331343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1">
        <f t="shared" si="86"/>
        <v>14.458698341729095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67">
        <f t="shared" si="56"/>
        <v>404.55389961184477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282.62919832217119</v>
      </c>
      <c r="T103" s="59">
        <f t="shared" si="88"/>
        <v>248.89638559192258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-6.3550942286383367E-14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277.73784710957608</v>
      </c>
      <c r="AO103" s="59">
        <f t="shared" si="90"/>
        <v>369.67177565548127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92.967409011706579</v>
      </c>
      <c r="AV103" s="21">
        <f>EXP(-LN(2)/25)*AV102+(1-EXP(-LN(2)/25))/(LN(2)/25)*Calculateur!AQ103*Calculateur!AS103*VLOOKUP('Données projet'!$B$10,Paramètres!$A$1:$I$89,3,0)*0.475*44/12</f>
        <v>16.543461924291538</v>
      </c>
      <c r="AW103" s="21">
        <f>EXP(-LN(2)/2)*AW102+(1-EXP(-LN(2)/2))/(LN(2)/2)*AQ103*AT103*VLOOKUP('Données projet'!$B$10,Paramètres!$A$1:$I$89,3,0)*0.475*44/12</f>
        <v>5.7591652191837045E-6</v>
      </c>
      <c r="AX103" s="21">
        <f t="shared" si="60"/>
        <v>109.51087669516333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195.76439999999985</v>
      </c>
      <c r="BF103" s="13">
        <f t="shared" si="91"/>
        <v>48.812154563023455</v>
      </c>
      <c r="BG103" s="20">
        <f t="shared" si="61"/>
        <v>425.9708325305989</v>
      </c>
      <c r="BH103" s="59">
        <f t="shared" si="62"/>
        <v>719.30416586393221</v>
      </c>
      <c r="BI103" s="59">
        <f ca="1">AVERAGE(OFFSET($BH$3,0,0,'Données projet'!$E$11+1,1))-AVERAGE(OFFSET($H$3,0,0,'Données projet'!$E$11+1,1))</f>
        <v>203.42120484957661</v>
      </c>
      <c r="BJ103" s="59">
        <f t="shared" si="92"/>
        <v>201.8090670543379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14.486542185636047</v>
      </c>
      <c r="BQ103" s="21">
        <f>EXP(-LN(2)/25)*BQ102+(1-EXP(-LN(2)/25))/(LN(2)/25)*Calculateur!BL103*Calculateur!BN103*VLOOKUP('Données projet'!$B$11,Paramètres!$A$1:$I$89,3,0)*0.475*44/12</f>
        <v>3.5767202470127204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18.063262432648767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1">
        <f t="shared" si="86"/>
        <v>14.586381320911869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67">
        <f t="shared" si="56"/>
        <v>405.63666413392144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282.62919832217119</v>
      </c>
      <c r="T104" s="59">
        <f t="shared" si="88"/>
        <v>248.89638559192258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-6.3550942286383367E-14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277.73784710957608</v>
      </c>
      <c r="AO104" s="59">
        <f t="shared" si="90"/>
        <v>369.67177565548127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91.144374825507398</v>
      </c>
      <c r="AV104" s="21">
        <f>EXP(-LN(2)/25)*AV103+(1-EXP(-LN(2)/25))/(LN(2)/25)*Calculateur!AQ104*Calculateur!AS104*VLOOKUP('Données projet'!$B$10,Paramètres!$A$1:$I$89,3,0)*0.475*44/12</f>
        <v>16.091080087988935</v>
      </c>
      <c r="AW104" s="21">
        <f>EXP(-LN(2)/2)*AW103+(1-EXP(-LN(2)/2))/(LN(2)/2)*AQ104*AT104*VLOOKUP('Données projet'!$B$10,Paramètres!$A$1:$I$89,3,0)*0.475*44/12</f>
        <v>4.0723447804585067E-6</v>
      </c>
      <c r="AX104" s="21">
        <f t="shared" si="60"/>
        <v>107.23545898584112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195.76439999999985</v>
      </c>
      <c r="BF104" s="13">
        <f t="shared" si="91"/>
        <v>48.812154563023455</v>
      </c>
      <c r="BG104" s="20">
        <f t="shared" si="61"/>
        <v>425.9708325305989</v>
      </c>
      <c r="BH104" s="59">
        <f t="shared" si="62"/>
        <v>719.30416586393221</v>
      </c>
      <c r="BI104" s="59">
        <f ca="1">AVERAGE(OFFSET($BH$3,0,0,'Données projet'!$E$11+1,1))-AVERAGE(OFFSET($H$3,0,0,'Données projet'!$E$11+1,1))</f>
        <v>203.42120484957661</v>
      </c>
      <c r="BJ104" s="59">
        <f t="shared" si="92"/>
        <v>201.8090670543379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14.202469929293983</v>
      </c>
      <c r="BQ104" s="21">
        <f>EXP(-LN(2)/25)*BQ103+(1-EXP(-LN(2)/25))/(LN(2)/25)*Calculateur!BL104*Calculateur!BN104*VLOOKUP('Données projet'!$B$11,Paramètres!$A$1:$I$89,3,0)*0.475*44/12</f>
        <v>3.4789146437666143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17.681384573060598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1">
        <f t="shared" si="86"/>
        <v>14.713917230841966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67">
        <f t="shared" si="56"/>
        <v>406.71917251038303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282.62919832217119</v>
      </c>
      <c r="T105" s="59">
        <f t="shared" si="88"/>
        <v>248.89638559192258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-6.3550942286383367E-14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277.73784710957608</v>
      </c>
      <c r="AO105" s="59">
        <f t="shared" si="90"/>
        <v>369.67177565548127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89.357089227758536</v>
      </c>
      <c r="AV105" s="21">
        <f>EXP(-LN(2)/25)*AV104+(1-EXP(-LN(2)/25))/(LN(2)/25)*Calculateur!AQ105*Calculateur!AS105*VLOOKUP('Données projet'!$B$10,Paramètres!$A$1:$I$89,3,0)*0.475*44/12</f>
        <v>15.651068656789752</v>
      </c>
      <c r="AW105" s="21">
        <f>EXP(-LN(2)/2)*AW104+(1-EXP(-LN(2)/2))/(LN(2)/2)*AQ105*AT105*VLOOKUP('Données projet'!$B$10,Paramètres!$A$1:$I$89,3,0)*0.475*44/12</f>
        <v>2.8795826095918523E-6</v>
      </c>
      <c r="AX105" s="21">
        <f t="shared" si="60"/>
        <v>105.00816076413089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195.76439999999985</v>
      </c>
      <c r="BF105" s="13">
        <f t="shared" si="91"/>
        <v>48.812154563023455</v>
      </c>
      <c r="BG105" s="20">
        <f t="shared" si="61"/>
        <v>425.9708325305989</v>
      </c>
      <c r="BH105" s="59">
        <f t="shared" si="62"/>
        <v>719.30416586393221</v>
      </c>
      <c r="BI105" s="59">
        <f ca="1">AVERAGE(OFFSET($BH$3,0,0,'Données projet'!$E$11+1,1))-AVERAGE(OFFSET($H$3,0,0,'Données projet'!$E$11+1,1))</f>
        <v>203.42120484957661</v>
      </c>
      <c r="BJ105" s="59">
        <f t="shared" si="92"/>
        <v>201.8090670543379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13.923968156631819</v>
      </c>
      <c r="BQ105" s="21">
        <f>EXP(-LN(2)/25)*BQ104+(1-EXP(-LN(2)/25))/(LN(2)/25)*Calculateur!BL105*Calculateur!BN105*VLOOKUP('Données projet'!$B$11,Paramètres!$A$1:$I$89,3,0)*0.475*44/12</f>
        <v>3.3837835398846461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17.307751696516466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1">
        <f t="shared" si="86"/>
        <v>14.841307680340405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67">
        <f t="shared" si="56"/>
        <v>407.80142754325948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282.62919832217119</v>
      </c>
      <c r="T106" s="59">
        <f t="shared" si="88"/>
        <v>248.89638559192258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-6.3550942286383367E-14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277.73784710957608</v>
      </c>
      <c r="AO106" s="59">
        <f t="shared" si="90"/>
        <v>369.67177565548127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87.604851210444949</v>
      </c>
      <c r="AV106" s="21">
        <f>EXP(-LN(2)/25)*AV105+(1-EXP(-LN(2)/25))/(LN(2)/25)*Calculateur!AQ106*Calculateur!AS106*VLOOKUP('Données projet'!$B$10,Paramètres!$A$1:$I$89,3,0)*0.475*44/12</f>
        <v>15.223089361315907</v>
      </c>
      <c r="AW106" s="21">
        <f>EXP(-LN(2)/2)*AW105+(1-EXP(-LN(2)/2))/(LN(2)/2)*AQ106*AT106*VLOOKUP('Données projet'!$B$10,Paramètres!$A$1:$I$89,3,0)*0.475*44/12</f>
        <v>2.0361723902292534E-6</v>
      </c>
      <c r="AX106" s="21">
        <f t="shared" si="60"/>
        <v>102.82794260793324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195.76439999999985</v>
      </c>
      <c r="BF106" s="13">
        <f t="shared" si="91"/>
        <v>48.812154563023455</v>
      </c>
      <c r="BG106" s="20">
        <f t="shared" si="61"/>
        <v>425.9708325305989</v>
      </c>
      <c r="BH106" s="59">
        <f t="shared" si="62"/>
        <v>719.30416586393221</v>
      </c>
      <c r="BI106" s="59">
        <f ca="1">AVERAGE(OFFSET($BH$3,0,0,'Données projet'!$E$11+1,1))-AVERAGE(OFFSET($H$3,0,0,'Données projet'!$E$11+1,1))</f>
        <v>203.42120484957661</v>
      </c>
      <c r="BJ106" s="59">
        <f t="shared" si="92"/>
        <v>201.8090670543379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13.650927633862253</v>
      </c>
      <c r="BQ106" s="21">
        <f>EXP(-LN(2)/25)*BQ105+(1-EXP(-LN(2)/25))/(LN(2)/25)*Calculateur!BL106*Calculateur!BN106*VLOOKUP('Données projet'!$B$11,Paramètres!$A$1:$I$89,3,0)*0.475*44/12</f>
        <v>3.2912538010410577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16.942181434903311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1">
        <f t="shared" si="86"/>
        <v>14.968554245188011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67">
        <f t="shared" si="56"/>
        <v>408.88343197703574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282.62919832217119</v>
      </c>
      <c r="T107" s="59">
        <f t="shared" si="88"/>
        <v>248.89638559192258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-6.3550942286383367E-14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277.73784710957608</v>
      </c>
      <c r="AO107" s="59">
        <f t="shared" si="90"/>
        <v>369.67177565548127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85.886973511891227</v>
      </c>
      <c r="AV107" s="21">
        <f>EXP(-LN(2)/25)*AV106+(1-EXP(-LN(2)/25))/(LN(2)/25)*Calculateur!AQ107*Calculateur!AS107*VLOOKUP('Données projet'!$B$10,Paramètres!$A$1:$I$89,3,0)*0.475*44/12</f>
        <v>14.806813182183246</v>
      </c>
      <c r="AW107" s="21">
        <f>EXP(-LN(2)/2)*AW106+(1-EXP(-LN(2)/2))/(LN(2)/2)*AQ107*AT107*VLOOKUP('Données projet'!$B$10,Paramètres!$A$1:$I$89,3,0)*0.475*44/12</f>
        <v>1.4397913047959261E-6</v>
      </c>
      <c r="AX107" s="21">
        <f t="shared" si="60"/>
        <v>100.69378813386578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195.76439999999985</v>
      </c>
      <c r="BF107" s="13">
        <f t="shared" si="91"/>
        <v>48.812154563023455</v>
      </c>
      <c r="BG107" s="20">
        <f t="shared" si="61"/>
        <v>425.9708325305989</v>
      </c>
      <c r="BH107" s="59">
        <f t="shared" si="62"/>
        <v>719.30416586393221</v>
      </c>
      <c r="BI107" s="59">
        <f ca="1">AVERAGE(OFFSET($BH$3,0,0,'Données projet'!$E$11+1,1))-AVERAGE(OFFSET($H$3,0,0,'Données projet'!$E$11+1,1))</f>
        <v>203.42120484957661</v>
      </c>
      <c r="BJ107" s="59">
        <f t="shared" si="92"/>
        <v>201.8090670543379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13.383241269205921</v>
      </c>
      <c r="BQ107" s="21">
        <f>EXP(-LN(2)/25)*BQ106+(1-EXP(-LN(2)/25))/(LN(2)/25)*Calculateur!BL107*Calculateur!BN107*VLOOKUP('Données projet'!$B$11,Paramètres!$A$1:$I$89,3,0)*0.475*44/12</f>
        <v>3.2012542927720746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16.584495561977995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1">
        <f t="shared" si="86"/>
        <v>15.095658469114912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67">
        <f t="shared" si="56"/>
        <v>409.96518850037506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282.62919832217119</v>
      </c>
      <c r="T108" s="59">
        <f t="shared" si="88"/>
        <v>248.89638559192258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-6.3550942286383367E-14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277.73784710957608</v>
      </c>
      <c r="AO108" s="59">
        <f t="shared" si="90"/>
        <v>369.67177565548127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84.202782347204206</v>
      </c>
      <c r="AV108" s="21">
        <f>EXP(-LN(2)/25)*AV107+(1-EXP(-LN(2)/25))/(LN(2)/25)*Calculateur!AQ108*Calculateur!AS108*VLOOKUP('Données projet'!$B$10,Paramètres!$A$1:$I$89,3,0)*0.475*44/12</f>
        <v>14.401920097059982</v>
      </c>
      <c r="AW108" s="21">
        <f>EXP(-LN(2)/2)*AW107+(1-EXP(-LN(2)/2))/(LN(2)/2)*AQ108*AT108*VLOOKUP('Données projet'!$B$10,Paramètres!$A$1:$I$89,3,0)*0.475*44/12</f>
        <v>1.0180861951146267E-6</v>
      </c>
      <c r="AX108" s="21">
        <f t="shared" si="60"/>
        <v>98.604703462350386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195.76439999999985</v>
      </c>
      <c r="BF108" s="13">
        <f t="shared" si="91"/>
        <v>48.812154563023455</v>
      </c>
      <c r="BG108" s="20">
        <f t="shared" si="61"/>
        <v>425.9708325305989</v>
      </c>
      <c r="BH108" s="59">
        <f t="shared" si="62"/>
        <v>719.30416586393221</v>
      </c>
      <c r="BI108" s="59">
        <f ca="1">AVERAGE(OFFSET($BH$3,0,0,'Données projet'!$E$11+1,1))-AVERAGE(OFFSET($H$3,0,0,'Données projet'!$E$11+1,1))</f>
        <v>203.42120484957661</v>
      </c>
      <c r="BJ108" s="59">
        <f t="shared" si="92"/>
        <v>201.8090670543379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13.120804070887941</v>
      </c>
      <c r="BQ108" s="21">
        <f>EXP(-LN(2)/25)*BQ107+(1-EXP(-LN(2)/25))/(LN(2)/25)*Calculateur!BL108*Calculateur!BN108*VLOOKUP('Données projet'!$B$11,Paramètres!$A$1:$I$89,3,0)*0.475*44/12</f>
        <v>3.1137158257895754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16.234519896677515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1">
        <f t="shared" si="86"/>
        <v>15.222621864751364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67">
        <f t="shared" si="56"/>
        <v>411.04669974777528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282.62919832217119</v>
      </c>
      <c r="T109" s="59">
        <f t="shared" si="88"/>
        <v>248.89638559192258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-6.3550942286383367E-14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277.73784710957608</v>
      </c>
      <c r="AO109" s="59">
        <f t="shared" si="90"/>
        <v>369.67177565548127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82.551617144001526</v>
      </c>
      <c r="AV109" s="21">
        <f>EXP(-LN(2)/25)*AV108+(1-EXP(-LN(2)/25))/(LN(2)/25)*Calculateur!AQ109*Calculateur!AS109*VLOOKUP('Données projet'!$B$10,Paramètres!$A$1:$I$89,3,0)*0.475*44/12</f>
        <v>14.008098834641816</v>
      </c>
      <c r="AW109" s="21">
        <f>EXP(-LN(2)/2)*AW108+(1-EXP(-LN(2)/2))/(LN(2)/2)*AQ109*AT109*VLOOKUP('Données projet'!$B$10,Paramètres!$A$1:$I$89,3,0)*0.475*44/12</f>
        <v>7.1989565239796306E-7</v>
      </c>
      <c r="AX109" s="21">
        <f t="shared" si="60"/>
        <v>96.559716698538992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195.76439999999985</v>
      </c>
      <c r="BF109" s="13">
        <f t="shared" si="91"/>
        <v>48.812154563023455</v>
      </c>
      <c r="BG109" s="20">
        <f t="shared" si="61"/>
        <v>425.9708325305989</v>
      </c>
      <c r="BH109" s="59">
        <f t="shared" si="62"/>
        <v>719.30416586393221</v>
      </c>
      <c r="BI109" s="59">
        <f ca="1">AVERAGE(OFFSET($BH$3,0,0,'Données projet'!$E$11+1,1))-AVERAGE(OFFSET($H$3,0,0,'Données projet'!$E$11+1,1))</f>
        <v>203.42120484957661</v>
      </c>
      <c r="BJ109" s="59">
        <f t="shared" si="92"/>
        <v>201.8090670543379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12.863513105958091</v>
      </c>
      <c r="BQ109" s="21">
        <f>EXP(-LN(2)/25)*BQ108+(1-EXP(-LN(2)/25))/(LN(2)/25)*Calculateur!BL109*Calculateur!BN109*VLOOKUP('Données projet'!$B$11,Paramètres!$A$1:$I$89,3,0)*0.475*44/12</f>
        <v>3.0285711027901607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15.892084208748251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1">
        <f t="shared" si="86"/>
        <v>15.349445914541667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67">
        <f t="shared" si="56"/>
        <v>412.12796830116002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282.62919832217119</v>
      </c>
      <c r="T110" s="59">
        <f t="shared" si="88"/>
        <v>248.89638559192258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-6.3550942286383367E-14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277.73784710957608</v>
      </c>
      <c r="AO110" s="59">
        <f t="shared" si="90"/>
        <v>369.67177565548127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80.932830283322318</v>
      </c>
      <c r="AV110" s="21">
        <f>EXP(-LN(2)/25)*AV109+(1-EXP(-LN(2)/25))/(LN(2)/25)*Calculateur!AQ110*Calculateur!AS110*VLOOKUP('Données projet'!$B$10,Paramètres!$A$1:$I$89,3,0)*0.475*44/12</f>
        <v>13.625046635354634</v>
      </c>
      <c r="AW110" s="21">
        <f>EXP(-LN(2)/2)*AW109+(1-EXP(-LN(2)/2))/(LN(2)/2)*AQ110*AT110*VLOOKUP('Données projet'!$B$10,Paramètres!$A$1:$I$89,3,0)*0.475*44/12</f>
        <v>5.0904309755731334E-7</v>
      </c>
      <c r="AX110" s="21">
        <f t="shared" si="60"/>
        <v>94.557877427720058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195.76439999999985</v>
      </c>
      <c r="BF110" s="13">
        <f t="shared" si="91"/>
        <v>48.812154563023455</v>
      </c>
      <c r="BG110" s="20">
        <f t="shared" si="61"/>
        <v>425.9708325305989</v>
      </c>
      <c r="BH110" s="59">
        <f t="shared" si="62"/>
        <v>719.30416586393221</v>
      </c>
      <c r="BI110" s="59">
        <f ca="1">AVERAGE(OFFSET($BH$3,0,0,'Données projet'!$E$11+1,1))-AVERAGE(OFFSET($H$3,0,0,'Données projet'!$E$11+1,1))</f>
        <v>203.42120484957661</v>
      </c>
      <c r="BJ110" s="59">
        <f t="shared" si="92"/>
        <v>201.8090670543379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12.611267459918523</v>
      </c>
      <c r="BQ110" s="21">
        <f>EXP(-LN(2)/25)*BQ109+(1-EXP(-LN(2)/25))/(LN(2)/25)*Calculateur!BL110*Calculateur!BN110*VLOOKUP('Données projet'!$B$11,Paramètres!$A$1:$I$89,3,0)*0.475*44/12</f>
        <v>2.9457546667187313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15.557022126637253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1">
        <f t="shared" si="86"/>
        <v>15.476132071622835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67">
        <f t="shared" si="56"/>
        <v>413.20899669140971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282.62919832217119</v>
      </c>
      <c r="T111" s="59">
        <f t="shared" si="88"/>
        <v>248.89638559192258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-6.3550942286383367E-14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277.73784710957608</v>
      </c>
      <c r="AO111" s="59">
        <f t="shared" si="90"/>
        <v>369.67177565548127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79.345786845618534</v>
      </c>
      <c r="AV111" s="21">
        <f>EXP(-LN(2)/25)*AV110+(1-EXP(-LN(2)/25))/(LN(2)/25)*Calculateur!AQ111*Calculateur!AS111*VLOOKUP('Données projet'!$B$10,Paramètres!$A$1:$I$89,3,0)*0.475*44/12</f>
        <v>13.252469018600799</v>
      </c>
      <c r="AW111" s="21">
        <f>EXP(-LN(2)/2)*AW110+(1-EXP(-LN(2)/2))/(LN(2)/2)*AQ111*AT111*VLOOKUP('Données projet'!$B$10,Paramètres!$A$1:$I$89,3,0)*0.475*44/12</f>
        <v>3.5994782619898153E-7</v>
      </c>
      <c r="AX111" s="21">
        <f t="shared" si="60"/>
        <v>92.598256224167159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195.76439999999985</v>
      </c>
      <c r="BF111" s="13">
        <f t="shared" si="91"/>
        <v>48.812154563023455</v>
      </c>
      <c r="BG111" s="20">
        <f t="shared" si="61"/>
        <v>425.9708325305989</v>
      </c>
      <c r="BH111" s="59">
        <f t="shared" si="62"/>
        <v>719.30416586393221</v>
      </c>
      <c r="BI111" s="59">
        <f ca="1">AVERAGE(OFFSET($BH$3,0,0,'Données projet'!$E$11+1,1))-AVERAGE(OFFSET($H$3,0,0,'Données projet'!$E$11+1,1))</f>
        <v>203.42120484957661</v>
      </c>
      <c r="BJ111" s="59">
        <f t="shared" si="92"/>
        <v>201.8090670543379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12.363968197143137</v>
      </c>
      <c r="BQ111" s="21">
        <f>EXP(-LN(2)/25)*BQ110+(1-EXP(-LN(2)/25))/(LN(2)/25)*Calculateur!BL111*Calculateur!BN111*VLOOKUP('Données projet'!$B$11,Paramètres!$A$1:$I$89,3,0)*0.475*44/12</f>
        <v>2.8652028504468023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15.22917104758994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1">
        <f t="shared" si="86"/>
        <v>15.602681760669958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67">
        <f t="shared" si="56"/>
        <v>414.28978739983347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282.62919832217119</v>
      </c>
      <c r="T112" s="59">
        <f t="shared" si="88"/>
        <v>248.89638559192258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-6.3550942286383367E-14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277.73784710957608</v>
      </c>
      <c r="AO112" s="59">
        <f t="shared" si="90"/>
        <v>369.67177565548127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77.789864361727211</v>
      </c>
      <c r="AV112" s="21">
        <f>EXP(-LN(2)/25)*AV111+(1-EXP(-LN(2)/25))/(LN(2)/25)*Calculateur!AQ112*Calculateur!AS112*VLOOKUP('Données projet'!$B$10,Paramètres!$A$1:$I$89,3,0)*0.475*44/12</f>
        <v>12.890079556370104</v>
      </c>
      <c r="AW112" s="21">
        <f>EXP(-LN(2)/2)*AW111+(1-EXP(-LN(2)/2))/(LN(2)/2)*AQ112*AT112*VLOOKUP('Données projet'!$B$10,Paramètres!$A$1:$I$89,3,0)*0.475*44/12</f>
        <v>2.5452154877865667E-7</v>
      </c>
      <c r="AX112" s="21">
        <f t="shared" si="60"/>
        <v>90.67994417261886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195.76439999999985</v>
      </c>
      <c r="BF112" s="13">
        <f t="shared" si="91"/>
        <v>48.812154563023455</v>
      </c>
      <c r="BG112" s="20">
        <f t="shared" si="61"/>
        <v>425.9708325305989</v>
      </c>
      <c r="BH112" s="59">
        <f t="shared" si="62"/>
        <v>719.30416586393221</v>
      </c>
      <c r="BI112" s="59">
        <f ca="1">AVERAGE(OFFSET($BH$3,0,0,'Données projet'!$E$11+1,1))-AVERAGE(OFFSET($H$3,0,0,'Données projet'!$E$11+1,1))</f>
        <v>203.42120484957661</v>
      </c>
      <c r="BJ112" s="59">
        <f t="shared" si="92"/>
        <v>201.8090670543379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12.121518322073122</v>
      </c>
      <c r="BQ112" s="21">
        <f>EXP(-LN(2)/25)*BQ111+(1-EXP(-LN(2)/25))/(LN(2)/25)*Calculateur!BL112*Calculateur!BN112*VLOOKUP('Données projet'!$B$11,Paramètres!$A$1:$I$89,3,0)*0.475*44/12</f>
        <v>2.7868537278268652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14.908372049899988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1">
        <f t="shared" si="86"/>
        <v>15.729096378709464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67">
        <f t="shared" si="56"/>
        <v>415.37034285958561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282.62919832217119</v>
      </c>
      <c r="T113" s="59">
        <f t="shared" si="88"/>
        <v>248.89638559192258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-6.3550942286383367E-14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277.73784710957608</v>
      </c>
      <c r="AO113" s="59">
        <f t="shared" si="90"/>
        <v>369.67177565548127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76.264452568725986</v>
      </c>
      <c r="AV113" s="21">
        <f>EXP(-LN(2)/25)*AV112+(1-EXP(-LN(2)/25))/(LN(2)/25)*Calculateur!AQ113*Calculateur!AS113*VLOOKUP('Données projet'!$B$10,Paramètres!$A$1:$I$89,3,0)*0.475*44/12</f>
        <v>12.53759965304134</v>
      </c>
      <c r="AW113" s="21">
        <f>EXP(-LN(2)/2)*AW112+(1-EXP(-LN(2)/2))/(LN(2)/2)*AQ113*AT113*VLOOKUP('Données projet'!$B$10,Paramètres!$A$1:$I$89,3,0)*0.475*44/12</f>
        <v>1.7997391309949077E-7</v>
      </c>
      <c r="AX113" s="21">
        <f t="shared" si="60"/>
        <v>88.802052401741236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195.76439999999985</v>
      </c>
      <c r="BF113" s="13">
        <f t="shared" si="91"/>
        <v>48.812154563023455</v>
      </c>
      <c r="BG113" s="20">
        <f t="shared" si="61"/>
        <v>425.9708325305989</v>
      </c>
      <c r="BH113" s="59">
        <f t="shared" si="62"/>
        <v>719.30416586393221</v>
      </c>
      <c r="BI113" s="59">
        <f ca="1">AVERAGE(OFFSET($BH$3,0,0,'Données projet'!$E$11+1,1))-AVERAGE(OFFSET($H$3,0,0,'Données projet'!$E$11+1,1))</f>
        <v>203.42120484957661</v>
      </c>
      <c r="BJ113" s="59">
        <f t="shared" si="92"/>
        <v>201.8090670543379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11.883822741173407</v>
      </c>
      <c r="BQ113" s="21">
        <f>EXP(-LN(2)/25)*BQ112+(1-EXP(-LN(2)/25))/(LN(2)/25)*Calculateur!BL113*Calculateur!BN113*VLOOKUP('Données projet'!$B$11,Paramètres!$A$1:$I$89,3,0)*0.475*44/12</f>
        <v>2.7106470660851714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14.594469807258578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1">
        <f t="shared" si="86"/>
        <v>15.85537729590216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67">
        <f t="shared" si="56"/>
        <v>416.45066545702952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282.62919832217119</v>
      </c>
      <c r="T114" s="59">
        <f t="shared" si="88"/>
        <v>248.89638559192258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-6.3550942286383367E-14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277.73784710957608</v>
      </c>
      <c r="AO114" s="59">
        <f t="shared" si="90"/>
        <v>369.67177565548127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74.768953170576196</v>
      </c>
      <c r="AV114" s="21">
        <f>EXP(-LN(2)/25)*AV113+(1-EXP(-LN(2)/25))/(LN(2)/25)*Calculateur!AQ114*Calculateur!AS114*VLOOKUP('Données projet'!$B$10,Paramètres!$A$1:$I$89,3,0)*0.475*44/12</f>
        <v>12.194758331205215</v>
      </c>
      <c r="AW114" s="21">
        <f>EXP(-LN(2)/2)*AW113+(1-EXP(-LN(2)/2))/(LN(2)/2)*AQ114*AT114*VLOOKUP('Données projet'!$B$10,Paramètres!$A$1:$I$89,3,0)*0.475*44/12</f>
        <v>1.2726077438932834E-7</v>
      </c>
      <c r="AX114" s="21">
        <f t="shared" si="60"/>
        <v>86.96371162904218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195.76439999999985</v>
      </c>
      <c r="BF114" s="13">
        <f t="shared" si="91"/>
        <v>48.812154563023455</v>
      </c>
      <c r="BG114" s="20">
        <f t="shared" si="61"/>
        <v>425.9708325305989</v>
      </c>
      <c r="BH114" s="59">
        <f t="shared" si="62"/>
        <v>719.30416586393221</v>
      </c>
      <c r="BI114" s="59">
        <f ca="1">AVERAGE(OFFSET($BH$3,0,0,'Données projet'!$E$11+1,1))-AVERAGE(OFFSET($H$3,0,0,'Données projet'!$E$11+1,1))</f>
        <v>203.42120484957661</v>
      </c>
      <c r="BJ114" s="59">
        <f t="shared" si="92"/>
        <v>201.8090670543379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11.650788225635146</v>
      </c>
      <c r="BQ114" s="21">
        <f>EXP(-LN(2)/25)*BQ113+(1-EXP(-LN(2)/25))/(LN(2)/25)*Calculateur!BL114*Calculateur!BN114*VLOOKUP('Données projet'!$B$11,Paramètres!$A$1:$I$89,3,0)*0.475*44/12</f>
        <v>2.6365242795163386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14.287312505151485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1">
        <f t="shared" si="86"/>
        <v>15.981525856297083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67">
        <f t="shared" si="56"/>
        <v>417.53075753305069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282.62919832217119</v>
      </c>
      <c r="T115" s="59">
        <f t="shared" si="88"/>
        <v>248.89638559192258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-6.3550942286383367E-14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277.73784710957608</v>
      </c>
      <c r="AO115" s="59">
        <f t="shared" si="90"/>
        <v>369.67177565548127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73.302779603459555</v>
      </c>
      <c r="AV115" s="21">
        <f>EXP(-LN(2)/25)*AV114+(1-EXP(-LN(2)/25))/(LN(2)/25)*Calculateur!AQ115*Calculateur!AS115*VLOOKUP('Données projet'!$B$10,Paramètres!$A$1:$I$89,3,0)*0.475*44/12</f>
        <v>11.861292023343939</v>
      </c>
      <c r="AW115" s="21">
        <f>EXP(-LN(2)/2)*AW114+(1-EXP(-LN(2)/2))/(LN(2)/2)*AQ115*AT115*VLOOKUP('Données projet'!$B$10,Paramètres!$A$1:$I$89,3,0)*0.475*44/12</f>
        <v>8.9986956549745383E-8</v>
      </c>
      <c r="AX115" s="21">
        <f t="shared" si="60"/>
        <v>85.164071716790446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195.76439999999985</v>
      </c>
      <c r="BF115" s="13">
        <f t="shared" si="91"/>
        <v>48.812154563023455</v>
      </c>
      <c r="BG115" s="20">
        <f t="shared" si="61"/>
        <v>425.9708325305989</v>
      </c>
      <c r="BH115" s="59">
        <f t="shared" si="62"/>
        <v>719.30416586393221</v>
      </c>
      <c r="BI115" s="59">
        <f ca="1">AVERAGE(OFFSET($BH$3,0,0,'Données projet'!$E$11+1,1))-AVERAGE(OFFSET($H$3,0,0,'Données projet'!$E$11+1,1))</f>
        <v>203.42120484957661</v>
      </c>
      <c r="BJ115" s="59">
        <f t="shared" si="92"/>
        <v>201.8090670543379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11.422323374809572</v>
      </c>
      <c r="BQ115" s="21">
        <f>EXP(-LN(2)/25)*BQ114+(1-EXP(-LN(2)/25))/(LN(2)/25)*Calculateur!BL115*Calculateur!BN115*VLOOKUP('Données projet'!$B$11,Paramètres!$A$1:$I$89,3,0)*0.475*44/12</f>
        <v>2.5644283844441782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13.98675175925375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1">
        <f t="shared" si="86"/>
        <v>16.107543378557729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67">
        <f t="shared" si="56"/>
        <v>418.61062138432129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282.62919832217119</v>
      </c>
      <c r="T116" s="59">
        <f t="shared" si="88"/>
        <v>248.89638559192258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-6.3550942286383367E-14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277.73784710957608</v>
      </c>
      <c r="AO116" s="59">
        <f t="shared" si="90"/>
        <v>369.67177565548127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71.865356805716502</v>
      </c>
      <c r="AV116" s="21">
        <f>EXP(-LN(2)/25)*AV115+(1-EXP(-LN(2)/25))/(LN(2)/25)*Calculateur!AQ116*Calculateur!AS116*VLOOKUP('Données projet'!$B$10,Paramètres!$A$1:$I$89,3,0)*0.475*44/12</f>
        <v>11.536944369207362</v>
      </c>
      <c r="AW116" s="21">
        <f>EXP(-LN(2)/2)*AW115+(1-EXP(-LN(2)/2))/(LN(2)/2)*AQ116*AT116*VLOOKUP('Données projet'!$B$10,Paramètres!$A$1:$I$89,3,0)*0.475*44/12</f>
        <v>6.3630387194664168E-8</v>
      </c>
      <c r="AX116" s="21">
        <f t="shared" si="60"/>
        <v>83.402301238554244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195.76439999999985</v>
      </c>
      <c r="BF116" s="13">
        <f t="shared" si="91"/>
        <v>48.812154563023455</v>
      </c>
      <c r="BG116" s="20">
        <f t="shared" si="61"/>
        <v>425.9708325305989</v>
      </c>
      <c r="BH116" s="59">
        <f t="shared" si="62"/>
        <v>719.30416586393221</v>
      </c>
      <c r="BI116" s="59">
        <f ca="1">AVERAGE(OFFSET($BH$3,0,0,'Données projet'!$E$11+1,1))-AVERAGE(OFFSET($H$3,0,0,'Données projet'!$E$11+1,1))</f>
        <v>203.42120484957661</v>
      </c>
      <c r="BJ116" s="59">
        <f t="shared" si="92"/>
        <v>201.8090670543379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11.198338580358888</v>
      </c>
      <c r="BQ116" s="21">
        <f>EXP(-LN(2)/25)*BQ115+(1-EXP(-LN(2)/25))/(LN(2)/25)*Calculateur!BL116*Calculateur!BN116*VLOOKUP('Données projet'!$B$11,Paramètres!$A$1:$I$89,3,0)*0.475*44/12</f>
        <v>2.4943039554141246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13.692642535773013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1">
        <f t="shared" si="86"/>
        <v>16.233431156661826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67">
        <f t="shared" si="56"/>
        <v>419.69025926451928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282.62919832217119</v>
      </c>
      <c r="T117" s="59">
        <f t="shared" si="88"/>
        <v>248.89638559192258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-6.3550942286383367E-14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277.73784710957608</v>
      </c>
      <c r="AO117" s="59">
        <f t="shared" si="90"/>
        <v>369.67177565548127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70.456120992295851</v>
      </c>
      <c r="AV117" s="21">
        <f>EXP(-LN(2)/25)*AV116+(1-EXP(-LN(2)/25))/(LN(2)/25)*Calculateur!AQ117*Calculateur!AS117*VLOOKUP('Données projet'!$B$10,Paramètres!$A$1:$I$89,3,0)*0.475*44/12</f>
        <v>11.221466018729849</v>
      </c>
      <c r="AW117" s="21">
        <f>EXP(-LN(2)/2)*AW116+(1-EXP(-LN(2)/2))/(LN(2)/2)*AQ117*AT117*VLOOKUP('Données projet'!$B$10,Paramètres!$A$1:$I$89,3,0)*0.475*44/12</f>
        <v>4.4993478274872691E-8</v>
      </c>
      <c r="AX117" s="21">
        <f t="shared" si="60"/>
        <v>81.677587056019192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195.76439999999985</v>
      </c>
      <c r="BF117" s="13">
        <f t="shared" si="91"/>
        <v>48.812154563023455</v>
      </c>
      <c r="BG117" s="20">
        <f t="shared" si="61"/>
        <v>425.9708325305989</v>
      </c>
      <c r="BH117" s="59">
        <f t="shared" si="62"/>
        <v>719.30416586393221</v>
      </c>
      <c r="BI117" s="59">
        <f ca="1">AVERAGE(OFFSET($BH$3,0,0,'Données projet'!$E$11+1,1))-AVERAGE(OFFSET($H$3,0,0,'Données projet'!$E$11+1,1))</f>
        <v>203.42120484957661</v>
      </c>
      <c r="BJ117" s="59">
        <f t="shared" si="92"/>
        <v>201.8090670543379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10.978745991110147</v>
      </c>
      <c r="BQ117" s="21">
        <f>EXP(-LN(2)/25)*BQ116+(1-EXP(-LN(2)/25))/(LN(2)/25)*Calculateur!BL117*Calculateur!BN117*VLOOKUP('Données projet'!$B$11,Paramètres!$A$1:$I$89,3,0)*0.475*44/12</f>
        <v>2.4260970825835813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13.404843073693728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1">
        <f t="shared" si="86"/>
        <v>16.359190460575888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67">
        <f t="shared" si="56"/>
        <v>420.76967338550293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282.62919832217119</v>
      </c>
      <c r="T118" s="59">
        <f t="shared" si="88"/>
        <v>248.89638559192258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-6.3550942286383367E-14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277.73784710957608</v>
      </c>
      <c r="AO118" s="59">
        <f t="shared" si="90"/>
        <v>369.67177565548127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69.074519433627401</v>
      </c>
      <c r="AV118" s="21">
        <f>EXP(-LN(2)/25)*AV117+(1-EXP(-LN(2)/25))/(LN(2)/25)*Calculateur!AQ118*Calculateur!AS118*VLOOKUP('Données projet'!$B$10,Paramètres!$A$1:$I$89,3,0)*0.475*44/12</f>
        <v>10.914614440336431</v>
      </c>
      <c r="AW118" s="21">
        <f>EXP(-LN(2)/2)*AW117+(1-EXP(-LN(2)/2))/(LN(2)/2)*AQ118*AT118*VLOOKUP('Données projet'!$B$10,Paramètres!$A$1:$I$89,3,0)*0.475*44/12</f>
        <v>3.1815193597332084E-8</v>
      </c>
      <c r="AX118" s="21">
        <f t="shared" si="60"/>
        <v>79.989133905779028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195.76439999999985</v>
      </c>
      <c r="BF118" s="13">
        <f t="shared" si="91"/>
        <v>48.812154563023455</v>
      </c>
      <c r="BG118" s="20">
        <f t="shared" si="61"/>
        <v>425.9708325305989</v>
      </c>
      <c r="BH118" s="59">
        <f t="shared" si="62"/>
        <v>719.30416586393221</v>
      </c>
      <c r="BI118" s="59">
        <f ca="1">AVERAGE(OFFSET($BH$3,0,0,'Données projet'!$E$11+1,1))-AVERAGE(OFFSET($H$3,0,0,'Données projet'!$E$11+1,1))</f>
        <v>203.42120484957661</v>
      </c>
      <c r="BJ118" s="59">
        <f t="shared" si="92"/>
        <v>201.8090670543379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10.763459478598319</v>
      </c>
      <c r="BQ118" s="21">
        <f>EXP(-LN(2)/25)*BQ117+(1-EXP(-LN(2)/25))/(LN(2)/25)*Calculateur!BL118*Calculateur!BN118*VLOOKUP('Données projet'!$B$11,Paramètres!$A$1:$I$89,3,0)*0.475*44/12</f>
        <v>2.3597553302774328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13.123214808875751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1">
        <f t="shared" si="86"/>
        <v>16.484822536905565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67">
        <f t="shared" si="56"/>
        <v>421.84886591844383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282.62919832217119</v>
      </c>
      <c r="T119" s="59">
        <f t="shared" si="88"/>
        <v>248.89638559192258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-6.3550942286383367E-14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277.73784710957608</v>
      </c>
      <c r="AO119" s="59">
        <f t="shared" si="90"/>
        <v>369.67177565548127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67.720010238830696</v>
      </c>
      <c r="AV119" s="21">
        <f>EXP(-LN(2)/25)*AV118+(1-EXP(-LN(2)/25))/(LN(2)/25)*Calculateur!AQ119*Calculateur!AS119*VLOOKUP('Données projet'!$B$10,Paramètres!$A$1:$I$89,3,0)*0.475*44/12</f>
        <v>10.616153734490803</v>
      </c>
      <c r="AW119" s="21">
        <f>EXP(-LN(2)/2)*AW118+(1-EXP(-LN(2)/2))/(LN(2)/2)*AQ119*AT119*VLOOKUP('Données projet'!$B$10,Paramètres!$A$1:$I$89,3,0)*0.475*44/12</f>
        <v>2.2496739137436346E-8</v>
      </c>
      <c r="AX119" s="21">
        <f t="shared" si="60"/>
        <v>78.336163995818239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195.76439999999985</v>
      </c>
      <c r="BF119" s="13">
        <f t="shared" si="91"/>
        <v>48.812154563023455</v>
      </c>
      <c r="BG119" s="20">
        <f t="shared" si="61"/>
        <v>425.9708325305989</v>
      </c>
      <c r="BH119" s="59">
        <f t="shared" si="62"/>
        <v>719.30416586393221</v>
      </c>
      <c r="BI119" s="59">
        <f ca="1">AVERAGE(OFFSET($BH$3,0,0,'Données projet'!$E$11+1,1))-AVERAGE(OFFSET($H$3,0,0,'Données projet'!$E$11+1,1))</f>
        <v>203.42120484957661</v>
      </c>
      <c r="BJ119" s="59">
        <f t="shared" si="92"/>
        <v>201.8090670543379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10.552394603285043</v>
      </c>
      <c r="BQ119" s="21">
        <f>EXP(-LN(2)/25)*BQ118+(1-EXP(-LN(2)/25))/(LN(2)/25)*Calculateur!BL119*Calculateur!BN119*VLOOKUP('Données projet'!$B$11,Paramètres!$A$1:$I$89,3,0)*0.475*44/12</f>
        <v>2.2952276966768568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12.8476222999619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1">
        <f t="shared" si="86"/>
        <v>16.610328609522991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67">
        <f t="shared" si="56"/>
        <v>422.92783899491917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282.62919832217119</v>
      </c>
      <c r="T120" s="59">
        <f t="shared" si="88"/>
        <v>248.89638559192258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-6.3550942286383367E-14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277.73784710957608</v>
      </c>
      <c r="AO120" s="59">
        <f t="shared" si="90"/>
        <v>369.67177565548127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66.392062143174925</v>
      </c>
      <c r="AV120" s="21">
        <f>EXP(-LN(2)/25)*AV119+(1-EXP(-LN(2)/25))/(LN(2)/25)*Calculateur!AQ120*Calculateur!AS120*VLOOKUP('Données projet'!$B$10,Paramètres!$A$1:$I$89,3,0)*0.475*44/12</f>
        <v>10.32585445234189</v>
      </c>
      <c r="AW120" s="21">
        <f>EXP(-LN(2)/2)*AW119+(1-EXP(-LN(2)/2))/(LN(2)/2)*AQ120*AT120*VLOOKUP('Données projet'!$B$10,Paramètres!$A$1:$I$89,3,0)*0.475*44/12</f>
        <v>1.5907596798666042E-8</v>
      </c>
      <c r="AX120" s="21">
        <f t="shared" si="60"/>
        <v>76.717916611424414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195.76439999999985</v>
      </c>
      <c r="BF120" s="13">
        <f t="shared" si="91"/>
        <v>48.812154563023455</v>
      </c>
      <c r="BG120" s="20">
        <f t="shared" si="61"/>
        <v>425.9708325305989</v>
      </c>
      <c r="BH120" s="59">
        <f t="shared" si="62"/>
        <v>719.30416586393221</v>
      </c>
      <c r="BI120" s="59">
        <f ca="1">AVERAGE(OFFSET($BH$3,0,0,'Données projet'!$E$11+1,1))-AVERAGE(OFFSET($H$3,0,0,'Données projet'!$E$11+1,1))</f>
        <v>203.42120484957661</v>
      </c>
      <c r="BJ120" s="59">
        <f t="shared" si="92"/>
        <v>201.8090670543379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10.345468581439796</v>
      </c>
      <c r="BQ120" s="21">
        <f>EXP(-LN(2)/25)*BQ119+(1-EXP(-LN(2)/25))/(LN(2)/25)*Calculateur!BL120*Calculateur!BN120*VLOOKUP('Données projet'!$B$11,Paramètres!$A$1:$I$89,3,0)*0.475*44/12</f>
        <v>2.2324645746104492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12.577933156050246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1">
        <f t="shared" si="86"/>
        <v>16.735709880171999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67">
        <f t="shared" si="56"/>
        <v>424.0065947079662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282.62919832217119</v>
      </c>
      <c r="T121" s="59">
        <f t="shared" si="88"/>
        <v>248.89638559192258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-6.3550942286383367E-14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277.73784710957608</v>
      </c>
      <c r="AO121" s="59">
        <f t="shared" si="90"/>
        <v>369.67177565548127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65.090154299706612</v>
      </c>
      <c r="AV121" s="21">
        <f>EXP(-LN(2)/25)*AV120+(1-EXP(-LN(2)/25))/(LN(2)/25)*Calculateur!AQ121*Calculateur!AS121*VLOOKUP('Données projet'!$B$10,Paramètres!$A$1:$I$89,3,0)*0.475*44/12</f>
        <v>10.043493419329515</v>
      </c>
      <c r="AW121" s="21">
        <f>EXP(-LN(2)/2)*AW120+(1-EXP(-LN(2)/2))/(LN(2)/2)*AQ121*AT121*VLOOKUP('Données projet'!$B$10,Paramètres!$A$1:$I$89,3,0)*0.475*44/12</f>
        <v>1.1248369568718173E-8</v>
      </c>
      <c r="AX121" s="21">
        <f t="shared" si="60"/>
        <v>75.133647730284508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195.76439999999985</v>
      </c>
      <c r="BF121" s="13">
        <f t="shared" si="91"/>
        <v>48.812154563023455</v>
      </c>
      <c r="BG121" s="20">
        <f t="shared" si="61"/>
        <v>425.9708325305989</v>
      </c>
      <c r="BH121" s="59">
        <f t="shared" si="62"/>
        <v>719.30416586393221</v>
      </c>
      <c r="BI121" s="59">
        <f ca="1">AVERAGE(OFFSET($BH$3,0,0,'Données projet'!$E$11+1,1))-AVERAGE(OFFSET($H$3,0,0,'Données projet'!$E$11+1,1))</f>
        <v>203.42120484957661</v>
      </c>
      <c r="BJ121" s="59">
        <f t="shared" si="92"/>
        <v>201.8090670543379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10.142600252670524</v>
      </c>
      <c r="BQ121" s="21">
        <f>EXP(-LN(2)/25)*BQ120+(1-EXP(-LN(2)/25))/(LN(2)/25)*Calculateur!BL121*Calculateur!BN121*VLOOKUP('Données projet'!$B$11,Paramètres!$A$1:$I$89,3,0)*0.475*44/12</f>
        <v>2.171417713417517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12.314017966088041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1">
        <f t="shared" si="86"/>
        <v>16.860967529052314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67">
        <f t="shared" si="56"/>
        <v>425.08513511309934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282.62919832217119</v>
      </c>
      <c r="T122" s="59">
        <f t="shared" si="88"/>
        <v>248.89638559192258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-6.3550942286383367E-14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277.73784710957608</v>
      </c>
      <c r="AO122" s="59">
        <f t="shared" si="90"/>
        <v>369.67177565548127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63.813776074963336</v>
      </c>
      <c r="AV122" s="21">
        <f>EXP(-LN(2)/25)*AV121+(1-EXP(-LN(2)/25))/(LN(2)/25)*Calculateur!AQ122*Calculateur!AS122*VLOOKUP('Données projet'!$B$10,Paramètres!$A$1:$I$89,3,0)*0.475*44/12</f>
        <v>9.7688535636135843</v>
      </c>
      <c r="AW122" s="21">
        <f>EXP(-LN(2)/2)*AW121+(1-EXP(-LN(2)/2))/(LN(2)/2)*AQ122*AT122*VLOOKUP('Données projet'!$B$10,Paramètres!$A$1:$I$89,3,0)*0.475*44/12</f>
        <v>7.953798399333021E-9</v>
      </c>
      <c r="AX122" s="21">
        <f t="shared" si="60"/>
        <v>73.582629646530719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195.76439999999985</v>
      </c>
      <c r="BF122" s="13">
        <f t="shared" si="91"/>
        <v>48.812154563023455</v>
      </c>
      <c r="BG122" s="20">
        <f t="shared" si="61"/>
        <v>425.9708325305989</v>
      </c>
      <c r="BH122" s="59">
        <f t="shared" si="62"/>
        <v>719.30416586393221</v>
      </c>
      <c r="BI122" s="59">
        <f ca="1">AVERAGE(OFFSET($BH$3,0,0,'Données projet'!$E$11+1,1))-AVERAGE(OFFSET($H$3,0,0,'Données projet'!$E$11+1,1))</f>
        <v>203.42120484957661</v>
      </c>
      <c r="BJ122" s="59">
        <f t="shared" si="92"/>
        <v>201.8090670543379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9.9437100480909564</v>
      </c>
      <c r="BQ122" s="21">
        <f>EXP(-LN(2)/25)*BQ121+(1-EXP(-LN(2)/25))/(LN(2)/25)*Calculateur!BL122*Calculateur!BN122*VLOOKUP('Données projet'!$B$11,Paramètres!$A$1:$I$89,3,0)*0.475*44/12</f>
        <v>2.1120401818542205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12.055750229945177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1">
        <f t="shared" si="86"/>
        <v>16.986102715383467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67">
        <f t="shared" si="56"/>
        <v>426.1634622292928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282.62919832217119</v>
      </c>
      <c r="T123" s="59">
        <f t="shared" si="88"/>
        <v>248.89638559192258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-6.3550942286383367E-14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277.73784710957608</v>
      </c>
      <c r="AO123" s="59">
        <f t="shared" si="90"/>
        <v>369.67177565548127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62.562426848693427</v>
      </c>
      <c r="AV123" s="21">
        <f>EXP(-LN(2)/25)*AV122+(1-EXP(-LN(2)/25))/(LN(2)/25)*Calculateur!AQ123*Calculateur!AS123*VLOOKUP('Données projet'!$B$10,Paramètres!$A$1:$I$89,3,0)*0.475*44/12</f>
        <v>9.5017237491948894</v>
      </c>
      <c r="AW123" s="21">
        <f>EXP(-LN(2)/2)*AW122+(1-EXP(-LN(2)/2))/(LN(2)/2)*AQ123*AT123*VLOOKUP('Données projet'!$B$10,Paramètres!$A$1:$I$89,3,0)*0.475*44/12</f>
        <v>5.6241847843590864E-9</v>
      </c>
      <c r="AX123" s="21">
        <f t="shared" si="60"/>
        <v>72.064150603512502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195.76439999999985</v>
      </c>
      <c r="BF123" s="13">
        <f t="shared" si="91"/>
        <v>48.812154563023455</v>
      </c>
      <c r="BG123" s="20">
        <f t="shared" si="61"/>
        <v>425.9708325305989</v>
      </c>
      <c r="BH123" s="59">
        <f t="shared" si="62"/>
        <v>719.30416586393221</v>
      </c>
      <c r="BI123" s="59">
        <f ca="1">AVERAGE(OFFSET($BH$3,0,0,'Données projet'!$E$11+1,1))-AVERAGE(OFFSET($H$3,0,0,'Données projet'!$E$11+1,1))</f>
        <v>203.42120484957661</v>
      </c>
      <c r="BJ123" s="59">
        <f t="shared" si="92"/>
        <v>201.8090670543379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9.7487199591121474</v>
      </c>
      <c r="BQ123" s="21">
        <f>EXP(-LN(2)/25)*BQ122+(1-EXP(-LN(2)/25))/(LN(2)/25)*Calculateur!BL123*Calculateur!BN123*VLOOKUP('Données projet'!$B$11,Paramètres!$A$1:$I$89,3,0)*0.475*44/12</f>
        <v>2.0542863320140508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11.803006291126199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1">
        <f t="shared" si="86"/>
        <v>17.111116577949474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67">
        <f t="shared" si="56"/>
        <v>427.24157803992864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282.62919832217119</v>
      </c>
      <c r="T124" s="59">
        <f t="shared" si="88"/>
        <v>248.89638559192258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-6.3550942286383367E-14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277.73784710957608</v>
      </c>
      <c r="AO124" s="59">
        <f t="shared" si="90"/>
        <v>369.67177565548127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61.335615817503005</v>
      </c>
      <c r="AV124" s="21">
        <f>EXP(-LN(2)/25)*AV123+(1-EXP(-LN(2)/25))/(LN(2)/25)*Calculateur!AQ124*Calculateur!AS124*VLOOKUP('Données projet'!$B$10,Paramètres!$A$1:$I$89,3,0)*0.475*44/12</f>
        <v>9.2418986135992203</v>
      </c>
      <c r="AW124" s="21">
        <f>EXP(-LN(2)/2)*AW123+(1-EXP(-LN(2)/2))/(LN(2)/2)*AQ124*AT124*VLOOKUP('Données projet'!$B$10,Paramètres!$A$1:$I$89,3,0)*0.475*44/12</f>
        <v>3.9768991996665105E-9</v>
      </c>
      <c r="AX124" s="21">
        <f t="shared" si="60"/>
        <v>70.577514435079124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195.76439999999985</v>
      </c>
      <c r="BF124" s="13">
        <f t="shared" si="91"/>
        <v>48.812154563023455</v>
      </c>
      <c r="BG124" s="20">
        <f t="shared" si="61"/>
        <v>425.9708325305989</v>
      </c>
      <c r="BH124" s="59">
        <f t="shared" si="62"/>
        <v>719.30416586393221</v>
      </c>
      <c r="BI124" s="59">
        <f ca="1">AVERAGE(OFFSET($BH$3,0,0,'Données projet'!$E$11+1,1))-AVERAGE(OFFSET($H$3,0,0,'Données projet'!$E$11+1,1))</f>
        <v>203.42120484957661</v>
      </c>
      <c r="BJ124" s="59">
        <f t="shared" si="92"/>
        <v>201.8090670543379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9.557553506846002</v>
      </c>
      <c r="BQ124" s="21">
        <f>EXP(-LN(2)/25)*BQ123+(1-EXP(-LN(2)/25))/(LN(2)/25)*Calculateur!BL124*Calculateur!BN124*VLOOKUP('Données projet'!$B$11,Paramètres!$A$1:$I$89,3,0)*0.475*44/12</f>
        <v>1.9981117642349036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11.555665271080905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1">
        <f t="shared" si="86"/>
        <v>17.236010235624839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67">
        <f t="shared" si="56"/>
        <v>428.31948449371316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282.62919832217119</v>
      </c>
      <c r="T125" s="59">
        <f t="shared" si="88"/>
        <v>248.89638559192258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-6.3550942286383367E-14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277.73784710957608</v>
      </c>
      <c r="AO125" s="59">
        <f t="shared" si="90"/>
        <v>369.67177565548127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60.132861802353389</v>
      </c>
      <c r="AV125" s="21">
        <f>EXP(-LN(2)/25)*AV124+(1-EXP(-LN(2)/25))/(LN(2)/25)*Calculateur!AQ125*Calculateur!AS125*VLOOKUP('Données projet'!$B$10,Paramètres!$A$1:$I$89,3,0)*0.475*44/12</f>
        <v>8.989178410000024</v>
      </c>
      <c r="AW125" s="21">
        <f>EXP(-LN(2)/2)*AW124+(1-EXP(-LN(2)/2))/(LN(2)/2)*AQ125*AT125*VLOOKUP('Données projet'!$B$10,Paramètres!$A$1:$I$89,3,0)*0.475*44/12</f>
        <v>2.8120923921795432E-9</v>
      </c>
      <c r="AX125" s="21">
        <f t="shared" si="60"/>
        <v>69.122040215165498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195.76439999999985</v>
      </c>
      <c r="BF125" s="13">
        <f t="shared" si="91"/>
        <v>48.812154563023455</v>
      </c>
      <c r="BG125" s="20">
        <f t="shared" si="61"/>
        <v>425.9708325305989</v>
      </c>
      <c r="BH125" s="59">
        <f t="shared" si="62"/>
        <v>719.30416586393221</v>
      </c>
      <c r="BI125" s="59">
        <f ca="1">AVERAGE(OFFSET($BH$3,0,0,'Données projet'!$E$11+1,1))-AVERAGE(OFFSET($H$3,0,0,'Données projet'!$E$11+1,1))</f>
        <v>203.42120484957661</v>
      </c>
      <c r="BJ125" s="59">
        <f t="shared" si="92"/>
        <v>201.8090670543379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9.3701357121087732</v>
      </c>
      <c r="BQ125" s="21">
        <f>EXP(-LN(2)/25)*BQ124+(1-EXP(-LN(2)/25))/(LN(2)/25)*Calculateur!BL125*Calculateur!BN125*VLOOKUP('Données projet'!$B$11,Paramètres!$A$1:$I$89,3,0)*0.475*44/12</f>
        <v>1.9434732929657692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11.313609005074543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1">
        <f t="shared" si="86"/>
        <v>17.360784787882967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67">
        <f t="shared" si="56"/>
        <v>429.39718350556279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282.62919832217119</v>
      </c>
      <c r="T126" s="59">
        <f t="shared" si="88"/>
        <v>248.89638559192258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-6.3550942286383367E-14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277.73784710957608</v>
      </c>
      <c r="AO126" s="59">
        <f t="shared" si="90"/>
        <v>369.67177565548127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58.953693059833341</v>
      </c>
      <c r="AV126" s="21">
        <f>EXP(-LN(2)/25)*AV125+(1-EXP(-LN(2)/25))/(LN(2)/25)*Calculateur!AQ126*Calculateur!AS126*VLOOKUP('Données projet'!$B$10,Paramètres!$A$1:$I$89,3,0)*0.475*44/12</f>
        <v>8.7433688536582252</v>
      </c>
      <c r="AW126" s="21">
        <f>EXP(-LN(2)/2)*AW125+(1-EXP(-LN(2)/2))/(LN(2)/2)*AQ126*AT126*VLOOKUP('Données projet'!$B$10,Paramètres!$A$1:$I$89,3,0)*0.475*44/12</f>
        <v>1.9884495998332552E-9</v>
      </c>
      <c r="AX126" s="21">
        <f t="shared" si="60"/>
        <v>67.69706191548002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195.76439999999985</v>
      </c>
      <c r="BF126" s="13">
        <f t="shared" si="91"/>
        <v>48.812154563023455</v>
      </c>
      <c r="BG126" s="20">
        <f t="shared" si="61"/>
        <v>425.9708325305989</v>
      </c>
      <c r="BH126" s="59">
        <f t="shared" si="62"/>
        <v>719.30416586393221</v>
      </c>
      <c r="BI126" s="59">
        <f ca="1">AVERAGE(OFFSET($BH$3,0,0,'Données projet'!$E$11+1,1))-AVERAGE(OFFSET($H$3,0,0,'Données projet'!$E$11+1,1))</f>
        <v>203.42120484957661</v>
      </c>
      <c r="BJ126" s="59">
        <f t="shared" si="92"/>
        <v>201.8090670543379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9.1863930660127728</v>
      </c>
      <c r="BQ126" s="21">
        <f>EXP(-LN(2)/25)*BQ125+(1-EXP(-LN(2)/25))/(LN(2)/25)*Calculateur!BL126*Calculateur!BN126*VLOOKUP('Données projet'!$B$11,Paramètres!$A$1:$I$89,3,0)*0.475*44/12</f>
        <v>1.8903289135668015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11.076721979579574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1">
        <f t="shared" si="86"/>
        <v>17.485441315287559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67">
        <f t="shared" si="56"/>
        <v>430.47467695745911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282.62919832217119</v>
      </c>
      <c r="T127" s="59">
        <f t="shared" si="88"/>
        <v>248.89638559192258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-6.3550942286383367E-14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277.73784710957608</v>
      </c>
      <c r="AO127" s="59">
        <f t="shared" si="90"/>
        <v>369.67177565548127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57.797647097132199</v>
      </c>
      <c r="AV127" s="21">
        <f>EXP(-LN(2)/25)*AV126+(1-EXP(-LN(2)/25))/(LN(2)/25)*Calculateur!AQ127*Calculateur!AS127*VLOOKUP('Données projet'!$B$10,Paramètres!$A$1:$I$89,3,0)*0.475*44/12</f>
        <v>8.5042809725611566</v>
      </c>
      <c r="AW127" s="21">
        <f>EXP(-LN(2)/2)*AW126+(1-EXP(-LN(2)/2))/(LN(2)/2)*AQ127*AT127*VLOOKUP('Données projet'!$B$10,Paramètres!$A$1:$I$89,3,0)*0.475*44/12</f>
        <v>1.4060461960897716E-9</v>
      </c>
      <c r="AX127" s="21">
        <f t="shared" si="60"/>
        <v>66.301928071099411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195.76439999999985</v>
      </c>
      <c r="BF127" s="13">
        <f t="shared" si="91"/>
        <v>48.812154563023455</v>
      </c>
      <c r="BG127" s="20">
        <f t="shared" si="61"/>
        <v>425.9708325305989</v>
      </c>
      <c r="BH127" s="59">
        <f t="shared" si="62"/>
        <v>719.30416586393221</v>
      </c>
      <c r="BI127" s="59">
        <f ca="1">AVERAGE(OFFSET($BH$3,0,0,'Données projet'!$E$11+1,1))-AVERAGE(OFFSET($H$3,0,0,'Données projet'!$E$11+1,1))</f>
        <v>203.42120484957661</v>
      </c>
      <c r="BJ127" s="59">
        <f t="shared" si="92"/>
        <v>201.8090670543379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9.0062535011347684</v>
      </c>
      <c r="BQ127" s="21">
        <f>EXP(-LN(2)/25)*BQ126+(1-EXP(-LN(2)/25))/(LN(2)/25)*Calculateur!BL127*Calculateur!BN127*VLOOKUP('Données projet'!$B$11,Paramètres!$A$1:$I$89,3,0)*0.475*44/12</f>
        <v>1.8386377700172403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10.844891271152008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1">
        <f t="shared" si="86"/>
        <v>17.609980879967505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67">
        <f t="shared" si="56"/>
        <v>431.5519666992767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282.62919832217119</v>
      </c>
      <c r="T128" s="59">
        <f t="shared" si="88"/>
        <v>248.89638559192258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-6.3550942286383367E-14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277.73784710957608</v>
      </c>
      <c r="AO128" s="59">
        <f t="shared" si="90"/>
        <v>369.67177565548127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56.664270490641215</v>
      </c>
      <c r="AV128" s="21">
        <f>EXP(-LN(2)/25)*AV127+(1-EXP(-LN(2)/25))/(LN(2)/25)*Calculateur!AQ128*Calculateur!AS128*VLOOKUP('Données projet'!$B$10,Paramètres!$A$1:$I$89,3,0)*0.475*44/12</f>
        <v>8.2717309621457726</v>
      </c>
      <c r="AW128" s="21">
        <f>EXP(-LN(2)/2)*AW127+(1-EXP(-LN(2)/2))/(LN(2)/2)*AQ128*AT128*VLOOKUP('Données projet'!$B$10,Paramètres!$A$1:$I$89,3,0)*0.475*44/12</f>
        <v>9.9422479991662762E-10</v>
      </c>
      <c r="AX128" s="21">
        <f t="shared" si="60"/>
        <v>64.936001453781202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195.76439999999985</v>
      </c>
      <c r="BF128" s="13">
        <f t="shared" si="91"/>
        <v>48.812154563023455</v>
      </c>
      <c r="BG128" s="20">
        <f t="shared" si="61"/>
        <v>425.9708325305989</v>
      </c>
      <c r="BH128" s="59">
        <f t="shared" si="62"/>
        <v>719.30416586393221</v>
      </c>
      <c r="BI128" s="59">
        <f ca="1">AVERAGE(OFFSET($BH$3,0,0,'Données projet'!$E$11+1,1))-AVERAGE(OFFSET($H$3,0,0,'Données projet'!$E$11+1,1))</f>
        <v>203.42120484957661</v>
      </c>
      <c r="BJ128" s="59">
        <f t="shared" si="92"/>
        <v>201.8090670543379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8.8296463632497364</v>
      </c>
      <c r="BQ128" s="21">
        <f>EXP(-LN(2)/25)*BQ127+(1-EXP(-LN(2)/25))/(LN(2)/25)*Calculateur!BL128*Calculateur!BN128*VLOOKUP('Données projet'!$B$11,Paramètres!$A$1:$I$89,3,0)*0.475*44/12</f>
        <v>1.7883601235063609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10.618006486756098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1">
        <f t="shared" si="86"/>
        <v>17.734404526076432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67">
        <f t="shared" si="56"/>
        <v>432.62905454958309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282.62919832217119</v>
      </c>
      <c r="T129" s="59">
        <f t="shared" si="88"/>
        <v>248.89638559192258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-6.3550942286383367E-14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277.73784710957608</v>
      </c>
      <c r="AO129" s="59">
        <f t="shared" si="90"/>
        <v>369.67177565548127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55.553118708112045</v>
      </c>
      <c r="AV129" s="21">
        <f>EXP(-LN(2)/25)*AV128+(1-EXP(-LN(2)/25))/(LN(2)/25)*Calculateur!AQ129*Calculateur!AS129*VLOOKUP('Données projet'!$B$10,Paramètres!$A$1:$I$89,3,0)*0.475*44/12</f>
        <v>8.0455400439944711</v>
      </c>
      <c r="AW129" s="21">
        <f>EXP(-LN(2)/2)*AW128+(1-EXP(-LN(2)/2))/(LN(2)/2)*AQ129*AT129*VLOOKUP('Données projet'!$B$10,Paramètres!$A$1:$I$89,3,0)*0.475*44/12</f>
        <v>7.030230980448858E-10</v>
      </c>
      <c r="AX129" s="21">
        <f t="shared" si="60"/>
        <v>63.598658752809541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195.76439999999985</v>
      </c>
      <c r="BF129" s="13">
        <f t="shared" si="91"/>
        <v>48.812154563023455</v>
      </c>
      <c r="BG129" s="20">
        <f t="shared" si="61"/>
        <v>425.9708325305989</v>
      </c>
      <c r="BH129" s="59">
        <f t="shared" si="62"/>
        <v>719.30416586393221</v>
      </c>
      <c r="BI129" s="59">
        <f ca="1">AVERAGE(OFFSET($BH$3,0,0,'Données projet'!$E$11+1,1))-AVERAGE(OFFSET($H$3,0,0,'Données projet'!$E$11+1,1))</f>
        <v>203.42120484957661</v>
      </c>
      <c r="BJ129" s="59">
        <f t="shared" si="92"/>
        <v>201.8090670543379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8.6565023836189123</v>
      </c>
      <c r="BQ129" s="21">
        <f>EXP(-LN(2)/25)*BQ128+(1-EXP(-LN(2)/25))/(LN(2)/25)*Calculateur!BL129*Calculateur!BN129*VLOOKUP('Données projet'!$B$11,Paramètres!$A$1:$I$89,3,0)*0.475*44/12</f>
        <v>1.7394573218833078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10.39595970550222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1">
        <f t="shared" si="86"/>
        <v>17.858713280237058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67">
        <f t="shared" si="56"/>
        <v>433.70594229641279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282.62919832217119</v>
      </c>
      <c r="T130" s="59">
        <f t="shared" si="88"/>
        <v>248.89638559192258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-6.3550942286383367E-14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277.73784710957608</v>
      </c>
      <c r="AO130" s="59">
        <f t="shared" si="90"/>
        <v>369.67177565548127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54.463755934302604</v>
      </c>
      <c r="AV130" s="21">
        <f>EXP(-LN(2)/25)*AV129+(1-EXP(-LN(2)/25))/(LN(2)/25)*Calculateur!AQ130*Calculateur!AS130*VLOOKUP('Données projet'!$B$10,Paramètres!$A$1:$I$89,3,0)*0.475*44/12</f>
        <v>7.8255343283948795</v>
      </c>
      <c r="AW130" s="21">
        <f>EXP(-LN(2)/2)*AW129+(1-EXP(-LN(2)/2))/(LN(2)/2)*AQ130*AT130*VLOOKUP('Données projet'!$B$10,Paramètres!$A$1:$I$89,3,0)*0.475*44/12</f>
        <v>4.9711239995831381E-10</v>
      </c>
      <c r="AX130" s="21">
        <f t="shared" si="60"/>
        <v>62.289290263194594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195.76439999999985</v>
      </c>
      <c r="BF130" s="13">
        <f t="shared" si="91"/>
        <v>48.812154563023455</v>
      </c>
      <c r="BG130" s="20">
        <f t="shared" si="61"/>
        <v>425.9708325305989</v>
      </c>
      <c r="BH130" s="59">
        <f t="shared" si="62"/>
        <v>719.30416586393221</v>
      </c>
      <c r="BI130" s="59">
        <f ca="1">AVERAGE(OFFSET($BH$3,0,0,'Données projet'!$E$11+1,1))-AVERAGE(OFFSET($H$3,0,0,'Données projet'!$E$11+1,1))</f>
        <v>203.42120484957661</v>
      </c>
      <c r="BJ130" s="59">
        <f t="shared" si="92"/>
        <v>201.8090670543379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8.4867536518212479</v>
      </c>
      <c r="BQ130" s="21">
        <f>EXP(-LN(2)/25)*BQ129+(1-EXP(-LN(2)/25))/(LN(2)/25)*Calculateur!BL130*Calculateur!BN130*VLOOKUP('Données projet'!$B$11,Paramètres!$A$1:$I$89,3,0)*0.475*44/12</f>
        <v>1.6918917699423237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10.178645421763571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1">
        <f t="shared" si="86"/>
        <v>17.982908151971163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67">
        <f t="shared" si="56"/>
        <v>434.78263169801642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282.62919832217119</v>
      </c>
      <c r="T131" s="59">
        <f t="shared" si="88"/>
        <v>248.89638559192258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-6.3550942286383367E-14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277.73784710957608</v>
      </c>
      <c r="AO131" s="59">
        <f t="shared" si="90"/>
        <v>369.67177565548127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53.395754900041887</v>
      </c>
      <c r="AV131" s="21">
        <f>EXP(-LN(2)/25)*AV130+(1-EXP(-LN(2)/25))/(LN(2)/25)*Calculateur!AQ131*Calculateur!AS131*VLOOKUP('Données projet'!$B$10,Paramètres!$A$1:$I$89,3,0)*0.475*44/12</f>
        <v>7.611544680657957</v>
      </c>
      <c r="AW131" s="21">
        <f>EXP(-LN(2)/2)*AW130+(1-EXP(-LN(2)/2))/(LN(2)/2)*AQ131*AT131*VLOOKUP('Données projet'!$B$10,Paramètres!$A$1:$I$89,3,0)*0.475*44/12</f>
        <v>3.515115490224429E-10</v>
      </c>
      <c r="AX131" s="21">
        <f t="shared" si="60"/>
        <v>61.007299581051356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195.76439999999985</v>
      </c>
      <c r="BF131" s="13">
        <f t="shared" si="91"/>
        <v>48.812154563023455</v>
      </c>
      <c r="BG131" s="20">
        <f t="shared" si="61"/>
        <v>425.9708325305989</v>
      </c>
      <c r="BH131" s="59">
        <f t="shared" si="62"/>
        <v>719.30416586393221</v>
      </c>
      <c r="BI131" s="59">
        <f ca="1">AVERAGE(OFFSET($BH$3,0,0,'Données projet'!$E$11+1,1))-AVERAGE(OFFSET($H$3,0,0,'Données projet'!$E$11+1,1))</f>
        <v>203.42120484957661</v>
      </c>
      <c r="BJ131" s="59">
        <f t="shared" si="92"/>
        <v>201.8090670543379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8.3203335891176327</v>
      </c>
      <c r="BQ131" s="21">
        <f>EXP(-LN(2)/25)*BQ130+(1-EXP(-LN(2)/25))/(LN(2)/25)*Calculateur!BL131*Calculateur!BN131*VLOOKUP('Données projet'!$B$11,Paramètres!$A$1:$I$89,3,0)*0.475*44/12</f>
        <v>1.6456269005205295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9.9659604896381619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1">
        <f t="shared" si="86"/>
        <v>18.106990134115833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67">
        <f t="shared" ref="H132:H195" si="110">(B132+E132+F132)*44/12+(C132+D132)*0.475*44/12</f>
        <v>435.85912448358499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282.62919832217119</v>
      </c>
      <c r="T132" s="59">
        <f t="shared" si="88"/>
        <v>248.89638559192258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-6.3550942286383367E-14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277.73784710957608</v>
      </c>
      <c r="AO132" s="59">
        <f t="shared" si="90"/>
        <v>369.67177565548127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52.348696714646714</v>
      </c>
      <c r="AV132" s="21">
        <f>EXP(-LN(2)/25)*AV131+(1-EXP(-LN(2)/25))/(LN(2)/25)*Calculateur!AQ132*Calculateur!AS132*VLOOKUP('Données projet'!$B$10,Paramètres!$A$1:$I$89,3,0)*0.475*44/12</f>
        <v>7.4034065910916267</v>
      </c>
      <c r="AW132" s="21">
        <f>EXP(-LN(2)/2)*AW131+(1-EXP(-LN(2)/2))/(LN(2)/2)*AQ132*AT132*VLOOKUP('Données projet'!$B$10,Paramètres!$A$1:$I$89,3,0)*0.475*44/12</f>
        <v>2.4855619997915691E-10</v>
      </c>
      <c r="AX132" s="21">
        <f t="shared" ref="AX132:AX153" si="114">SUM(AU132:AW132)</f>
        <v>59.752103305986893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195.76439999999985</v>
      </c>
      <c r="BF132" s="13">
        <f t="shared" si="91"/>
        <v>48.812154563023455</v>
      </c>
      <c r="BG132" s="20">
        <f t="shared" ref="BG132:BG153" si="115">(BE132+BF132)*0.475*44/12</f>
        <v>425.9708325305989</v>
      </c>
      <c r="BH132" s="59">
        <f t="shared" ref="BH132:BH195" si="116">BG132+(AY132+AZ132)*44/12</f>
        <v>719.30416586393221</v>
      </c>
      <c r="BI132" s="59">
        <f ca="1">AVERAGE(OFFSET($BH$3,0,0,'Données projet'!$E$11+1,1))-AVERAGE(OFFSET($H$3,0,0,'Données projet'!$E$11+1,1))</f>
        <v>203.42120484957661</v>
      </c>
      <c r="BJ132" s="59">
        <f t="shared" si="92"/>
        <v>201.8090670543379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8.1571769223374204</v>
      </c>
      <c r="BQ132" s="21">
        <f>EXP(-LN(2)/25)*BQ131+(1-EXP(-LN(2)/25))/(LN(2)/25)*Calculateur!BL132*Calculateur!BN132*VLOOKUP('Données projet'!$B$11,Paramètres!$A$1:$I$89,3,0)*0.475*44/12</f>
        <v>1.600627146386038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9.7578040687234591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1">
        <f t="shared" ref="D133:D196" si="140">IFERROR(EXP(-1.0587+0.8836*LN(C133)+0.284),0)</f>
        <v>18.230960203226296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67">
        <f t="shared" si="110"/>
        <v>436.93542235395239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282.62919832217119</v>
      </c>
      <c r="T133" s="59">
        <f t="shared" ref="T133:T196" si="142">$T$3</f>
        <v>248.89638559192258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-6.3550942286383367E-14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277.73784710957608</v>
      </c>
      <c r="AO133" s="59">
        <f t="shared" ref="AO133:AO196" si="144">$AO$3</f>
        <v>369.67177565548127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51.322170701624707</v>
      </c>
      <c r="AV133" s="21">
        <f>EXP(-LN(2)/25)*AV132+(1-EXP(-LN(2)/25))/(LN(2)/25)*Calculateur!AQ133*Calculateur!AS133*VLOOKUP('Données projet'!$B$10,Paramètres!$A$1:$I$89,3,0)*0.475*44/12</f>
        <v>7.2009600485299945</v>
      </c>
      <c r="AW133" s="21">
        <f>EXP(-LN(2)/2)*AW132+(1-EXP(-LN(2)/2))/(LN(2)/2)*AQ133*AT133*VLOOKUP('Données projet'!$B$10,Paramètres!$A$1:$I$89,3,0)*0.475*44/12</f>
        <v>1.7575577451122145E-10</v>
      </c>
      <c r="AX133" s="21">
        <f t="shared" si="114"/>
        <v>58.523130750330452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195.76439999999985</v>
      </c>
      <c r="BF133" s="13">
        <f t="shared" ref="BF133:BF153" si="145">EXP(-1.0587+0.8836*LN(BE133)+0.284)</f>
        <v>48.812154563023455</v>
      </c>
      <c r="BG133" s="20">
        <f t="shared" si="115"/>
        <v>425.9708325305989</v>
      </c>
      <c r="BH133" s="59">
        <f t="shared" si="116"/>
        <v>719.30416586393221</v>
      </c>
      <c r="BI133" s="59">
        <f ca="1">AVERAGE(OFFSET($BH$3,0,0,'Données projet'!$E$11+1,1))-AVERAGE(OFFSET($H$3,0,0,'Données projet'!$E$11+1,1))</f>
        <v>203.42120484957661</v>
      </c>
      <c r="BJ133" s="59">
        <f t="shared" ref="BJ133:BJ196" si="146">$BJ$3</f>
        <v>201.8090670543379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7.9972196582770279</v>
      </c>
      <c r="BQ133" s="21">
        <f>EXP(-LN(2)/25)*BQ132+(1-EXP(-LN(2)/25))/(LN(2)/25)*Calculateur!BL133*Calculateur!BN133*VLOOKUP('Données projet'!$B$11,Paramètres!$A$1:$I$89,3,0)*0.475*44/12</f>
        <v>1.5568579128947884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9.5540775711718169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1">
        <f t="shared" si="140"/>
        <v>18.354819319966147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67">
        <f t="shared" si="110"/>
        <v>438.01152698227429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282.62919832217119</v>
      </c>
      <c r="T134" s="59">
        <f t="shared" si="142"/>
        <v>248.89638559192258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-6.3550942286383367E-14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277.73784710957608</v>
      </c>
      <c r="AO134" s="59">
        <f t="shared" si="144"/>
        <v>369.67177565548127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50.315774237599015</v>
      </c>
      <c r="AV134" s="21">
        <f>EXP(-LN(2)/25)*AV133+(1-EXP(-LN(2)/25))/(LN(2)/25)*Calculateur!AQ134*Calculateur!AS134*VLOOKUP('Données projet'!$B$10,Paramètres!$A$1:$I$89,3,0)*0.475*44/12</f>
        <v>7.0040494173209105</v>
      </c>
      <c r="AW134" s="21">
        <f>EXP(-LN(2)/2)*AW133+(1-EXP(-LN(2)/2))/(LN(2)/2)*AQ134*AT134*VLOOKUP('Données projet'!$B$10,Paramètres!$A$1:$I$89,3,0)*0.475*44/12</f>
        <v>1.2427809998957845E-10</v>
      </c>
      <c r="AX134" s="21">
        <f t="shared" si="114"/>
        <v>57.31982365504421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195.76439999999985</v>
      </c>
      <c r="BF134" s="13">
        <f t="shared" si="145"/>
        <v>48.812154563023455</v>
      </c>
      <c r="BG134" s="20">
        <f t="shared" si="115"/>
        <v>425.9708325305989</v>
      </c>
      <c r="BH134" s="59">
        <f t="shared" si="116"/>
        <v>719.30416586393221</v>
      </c>
      <c r="BI134" s="59">
        <f ca="1">AVERAGE(OFFSET($BH$3,0,0,'Données projet'!$E$11+1,1))-AVERAGE(OFFSET($H$3,0,0,'Données projet'!$E$11+1,1))</f>
        <v>203.42120484957661</v>
      </c>
      <c r="BJ134" s="59">
        <f t="shared" si="146"/>
        <v>201.8090670543379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7.8403990586005623</v>
      </c>
      <c r="BQ134" s="21">
        <f>EXP(-LN(2)/25)*BQ133+(1-EXP(-LN(2)/25))/(LN(2)/25)*Calculateur!BL134*Calculateur!BN134*VLOOKUP('Données projet'!$B$11,Paramètres!$A$1:$I$89,3,0)*0.475*44/12</f>
        <v>1.514285551395081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9.354684609995644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1">
        <f t="shared" si="140"/>
        <v>18.47856842948519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67">
        <f t="shared" si="110"/>
        <v>439.08744001468665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282.62919832217119</v>
      </c>
      <c r="T135" s="59">
        <f t="shared" si="142"/>
        <v>248.89638559192258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-6.3550942286383367E-14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277.73784710957608</v>
      </c>
      <c r="AO135" s="59">
        <f t="shared" si="144"/>
        <v>369.67177565548127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49.329112594391638</v>
      </c>
      <c r="AV135" s="21">
        <f>EXP(-LN(2)/25)*AV134+(1-EXP(-LN(2)/25))/(LN(2)/25)*Calculateur!AQ135*Calculateur!AS135*VLOOKUP('Données projet'!$B$10,Paramètres!$A$1:$I$89,3,0)*0.475*44/12</f>
        <v>6.8125233176773197</v>
      </c>
      <c r="AW135" s="21">
        <f>EXP(-LN(2)/2)*AW134+(1-EXP(-LN(2)/2))/(LN(2)/2)*AQ135*AT135*VLOOKUP('Données projet'!$B$10,Paramètres!$A$1:$I$89,3,0)*0.475*44/12</f>
        <v>8.7877887255610725E-11</v>
      </c>
      <c r="AX135" s="21">
        <f t="shared" si="114"/>
        <v>56.141635912156836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195.76439999999985</v>
      </c>
      <c r="BF135" s="13">
        <f t="shared" si="145"/>
        <v>48.812154563023455</v>
      </c>
      <c r="BG135" s="20">
        <f t="shared" si="115"/>
        <v>425.9708325305989</v>
      </c>
      <c r="BH135" s="59">
        <f t="shared" si="116"/>
        <v>719.30416586393221</v>
      </c>
      <c r="BI135" s="59">
        <f ca="1">AVERAGE(OFFSET($BH$3,0,0,'Données projet'!$E$11+1,1))-AVERAGE(OFFSET($H$3,0,0,'Données projet'!$E$11+1,1))</f>
        <v>203.42120484957661</v>
      </c>
      <c r="BJ135" s="59">
        <f t="shared" si="146"/>
        <v>201.8090670543379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7.6866536152326308</v>
      </c>
      <c r="BQ135" s="21">
        <f>EXP(-LN(2)/25)*BQ134+(1-EXP(-LN(2)/25))/(LN(2)/25)*Calculateur!BL135*Calculateur!BN135*VLOOKUP('Données projet'!$B$11,Paramètres!$A$1:$I$89,3,0)*0.475*44/12</f>
        <v>1.4728773333593663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9.1595309485919962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1">
        <f t="shared" si="140"/>
        <v>18.60220846178558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67">
        <f t="shared" si="110"/>
        <v>440.16316307094314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282.62919832217119</v>
      </c>
      <c r="T136" s="59">
        <f t="shared" si="142"/>
        <v>248.89638559192258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-6.3550942286383367E-14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277.73784710957608</v>
      </c>
      <c r="AO136" s="59">
        <f t="shared" si="144"/>
        <v>369.67177565548127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48.36179878420338</v>
      </c>
      <c r="AV136" s="21">
        <f>EXP(-LN(2)/25)*AV135+(1-EXP(-LN(2)/25))/(LN(2)/25)*Calculateur!AQ136*Calculateur!AS136*VLOOKUP('Données projet'!$B$10,Paramètres!$A$1:$I$89,3,0)*0.475*44/12</f>
        <v>6.626234509300402</v>
      </c>
      <c r="AW136" s="21">
        <f>EXP(-LN(2)/2)*AW135+(1-EXP(-LN(2)/2))/(LN(2)/2)*AQ136*AT136*VLOOKUP('Données projet'!$B$10,Paramètres!$A$1:$I$89,3,0)*0.475*44/12</f>
        <v>6.2139049994789226E-11</v>
      </c>
      <c r="AX136" s="21">
        <f t="shared" si="114"/>
        <v>54.98803329356592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195.76439999999985</v>
      </c>
      <c r="BF136" s="13">
        <f t="shared" si="145"/>
        <v>48.812154563023455</v>
      </c>
      <c r="BG136" s="20">
        <f t="shared" si="115"/>
        <v>425.9708325305989</v>
      </c>
      <c r="BH136" s="59">
        <f t="shared" si="116"/>
        <v>719.30416586393221</v>
      </c>
      <c r="BI136" s="59">
        <f ca="1">AVERAGE(OFFSET($BH$3,0,0,'Données projet'!$E$11+1,1))-AVERAGE(OFFSET($H$3,0,0,'Données projet'!$E$11+1,1))</f>
        <v>203.42120484957661</v>
      </c>
      <c r="BJ136" s="59">
        <f t="shared" si="146"/>
        <v>201.8090670543379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7.5359230262336832</v>
      </c>
      <c r="BQ136" s="21">
        <f>EXP(-LN(2)/25)*BQ135+(1-EXP(-LN(2)/25))/(LN(2)/25)*Calculateur!BL136*Calculateur!BN136*VLOOKUP('Données projet'!$B$11,Paramètres!$A$1:$I$89,3,0)*0.475*44/12</f>
        <v>1.4326014252234018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8.9685244514570854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1">
        <f t="shared" si="140"/>
        <v>18.725740332076615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67">
        <f t="shared" si="110"/>
        <v>441.23869774503339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282.62919832217119</v>
      </c>
      <c r="T137" s="59">
        <f t="shared" si="142"/>
        <v>248.89638559192258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-6.3550942286383367E-14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277.73784710957608</v>
      </c>
      <c r="AO137" s="59">
        <f t="shared" si="144"/>
        <v>369.67177565548127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47.413453407829749</v>
      </c>
      <c r="AV137" s="21">
        <f>EXP(-LN(2)/25)*AV136+(1-EXP(-LN(2)/25))/(LN(2)/25)*Calculateur!AQ137*Calculateur!AS137*VLOOKUP('Données projet'!$B$10,Paramètres!$A$1:$I$89,3,0)*0.475*44/12</f>
        <v>6.4450397781850546</v>
      </c>
      <c r="AW137" s="21">
        <f>EXP(-LN(2)/2)*AW136+(1-EXP(-LN(2)/2))/(LN(2)/2)*AQ137*AT137*VLOOKUP('Données projet'!$B$10,Paramètres!$A$1:$I$89,3,0)*0.475*44/12</f>
        <v>4.3938943627805363E-11</v>
      </c>
      <c r="AX137" s="21">
        <f t="shared" si="114"/>
        <v>53.858493186058745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195.76439999999985</v>
      </c>
      <c r="BF137" s="13">
        <f t="shared" si="145"/>
        <v>48.812154563023455</v>
      </c>
      <c r="BG137" s="20">
        <f t="shared" si="115"/>
        <v>425.9708325305989</v>
      </c>
      <c r="BH137" s="59">
        <f t="shared" si="116"/>
        <v>719.30416586393221</v>
      </c>
      <c r="BI137" s="59">
        <f ca="1">AVERAGE(OFFSET($BH$3,0,0,'Données projet'!$E$11+1,1))-AVERAGE(OFFSET($H$3,0,0,'Données projet'!$E$11+1,1))</f>
        <v>203.42120484957661</v>
      </c>
      <c r="BJ137" s="59">
        <f t="shared" si="146"/>
        <v>201.8090670543379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7.3881481721484237</v>
      </c>
      <c r="BQ137" s="21">
        <f>EXP(-LN(2)/25)*BQ136+(1-EXP(-LN(2)/25))/(LN(2)/25)*Calculateur!BL137*Calculateur!BN137*VLOOKUP('Données projet'!$B$11,Paramètres!$A$1:$I$89,3,0)*0.475*44/12</f>
        <v>1.3934268639134333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8.7815750360618576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1">
        <f t="shared" si="140"/>
        <v>18.849164941118623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67">
        <f t="shared" si="110"/>
        <v>442.31404560578153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282.62919832217119</v>
      </c>
      <c r="T138" s="59">
        <f t="shared" si="142"/>
        <v>248.89638559192258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-6.3550942286383367E-14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277.73784710957608</v>
      </c>
      <c r="AO138" s="59">
        <f t="shared" si="144"/>
        <v>369.67177565548127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46.48370450585324</v>
      </c>
      <c r="AV138" s="21">
        <f>EXP(-LN(2)/25)*AV137+(1-EXP(-LN(2)/25))/(LN(2)/25)*Calculateur!AQ138*Calculateur!AS138*VLOOKUP('Données projet'!$B$10,Paramètres!$A$1:$I$89,3,0)*0.475*44/12</f>
        <v>6.2687998265206728</v>
      </c>
      <c r="AW138" s="21">
        <f>EXP(-LN(2)/2)*AW137+(1-EXP(-LN(2)/2))/(LN(2)/2)*AQ138*AT138*VLOOKUP('Données projet'!$B$10,Paramètres!$A$1:$I$89,3,0)*0.475*44/12</f>
        <v>3.1069524997394613E-11</v>
      </c>
      <c r="AX138" s="21">
        <f t="shared" si="114"/>
        <v>52.752504332404982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195.76439999999985</v>
      </c>
      <c r="BF138" s="13">
        <f t="shared" si="145"/>
        <v>48.812154563023455</v>
      </c>
      <c r="BG138" s="20">
        <f t="shared" si="115"/>
        <v>425.9708325305989</v>
      </c>
      <c r="BH138" s="59">
        <f t="shared" si="116"/>
        <v>719.30416586393221</v>
      </c>
      <c r="BI138" s="59">
        <f ca="1">AVERAGE(OFFSET($BH$3,0,0,'Données projet'!$E$11+1,1))-AVERAGE(OFFSET($H$3,0,0,'Données projet'!$E$11+1,1))</f>
        <v>203.42120484957661</v>
      </c>
      <c r="BJ138" s="59">
        <f t="shared" si="146"/>
        <v>201.8090670543379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7.2432710928180155</v>
      </c>
      <c r="BQ138" s="21">
        <f>EXP(-LN(2)/25)*BQ137+(1-EXP(-LN(2)/25))/(LN(2)/25)*Calculateur!BL138*Calculateur!BN138*VLOOKUP('Données projet'!$B$11,Paramètres!$A$1:$I$89,3,0)*0.475*44/12</f>
        <v>1.3553235330425863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8.5985946258606027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1">
        <f t="shared" si="140"/>
        <v>18.972483175556398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67">
        <f t="shared" si="110"/>
        <v>443.38920819742737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282.62919832217119</v>
      </c>
      <c r="T139" s="59">
        <f t="shared" si="142"/>
        <v>248.89638559192258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-6.3550942286383367E-14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277.73784710957608</v>
      </c>
      <c r="AO139" s="59">
        <f t="shared" si="144"/>
        <v>369.67177565548127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45.572187412753649</v>
      </c>
      <c r="AV139" s="21">
        <f>EXP(-LN(2)/25)*AV138+(1-EXP(-LN(2)/25))/(LN(2)/25)*Calculateur!AQ139*Calculateur!AS139*VLOOKUP('Données projet'!$B$10,Paramètres!$A$1:$I$89,3,0)*0.475*44/12</f>
        <v>6.09737916560261</v>
      </c>
      <c r="AW139" s="21">
        <f>EXP(-LN(2)/2)*AW138+(1-EXP(-LN(2)/2))/(LN(2)/2)*AQ139*AT139*VLOOKUP('Données projet'!$B$10,Paramètres!$A$1:$I$89,3,0)*0.475*44/12</f>
        <v>2.1969471813902681E-11</v>
      </c>
      <c r="AX139" s="21">
        <f t="shared" si="114"/>
        <v>51.66956657837823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195.76439999999985</v>
      </c>
      <c r="BF139" s="13">
        <f t="shared" si="145"/>
        <v>48.812154563023455</v>
      </c>
      <c r="BG139" s="20">
        <f t="shared" si="115"/>
        <v>425.9708325305989</v>
      </c>
      <c r="BH139" s="59">
        <f t="shared" si="116"/>
        <v>719.30416586393221</v>
      </c>
      <c r="BI139" s="59">
        <f ca="1">AVERAGE(OFFSET($BH$3,0,0,'Données projet'!$E$11+1,1))-AVERAGE(OFFSET($H$3,0,0,'Données projet'!$E$11+1,1))</f>
        <v>203.42120484957661</v>
      </c>
      <c r="BJ139" s="59">
        <f t="shared" si="146"/>
        <v>201.8090670543379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7.1012349646469834</v>
      </c>
      <c r="BQ139" s="21">
        <f>EXP(-LN(2)/25)*BQ138+(1-EXP(-LN(2)/25))/(LN(2)/25)*Calculateur!BL139*Calculateur!BN139*VLOOKUP('Données projet'!$B$11,Paramètres!$A$1:$I$89,3,0)*0.475*44/12</f>
        <v>1.3182621397581697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8.4194971044051528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1">
        <f t="shared" si="140"/>
        <v>19.09569590824248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67">
        <f t="shared" si="110"/>
        <v>444.4641870401889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282.62919832217119</v>
      </c>
      <c r="T140" s="59">
        <f t="shared" si="142"/>
        <v>248.89638559192258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-6.3550942286383367E-14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277.73784710957608</v>
      </c>
      <c r="AO140" s="59">
        <f t="shared" si="144"/>
        <v>369.67177565548127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44.678544613879218</v>
      </c>
      <c r="AV140" s="21">
        <f>EXP(-LN(2)/25)*AV139+(1-EXP(-LN(2)/25))/(LN(2)/25)*Calculateur!AQ140*Calculateur!AS140*VLOOKUP('Données projet'!$B$10,Paramètres!$A$1:$I$89,3,0)*0.475*44/12</f>
        <v>5.9306460116719721</v>
      </c>
      <c r="AW140" s="21">
        <f>EXP(-LN(2)/2)*AW139+(1-EXP(-LN(2)/2))/(LN(2)/2)*AQ140*AT140*VLOOKUP('Données projet'!$B$10,Paramètres!$A$1:$I$89,3,0)*0.475*44/12</f>
        <v>1.5534762498697307E-11</v>
      </c>
      <c r="AX140" s="21">
        <f t="shared" si="114"/>
        <v>50.609190625566725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195.76439999999985</v>
      </c>
      <c r="BF140" s="13">
        <f t="shared" si="145"/>
        <v>48.812154563023455</v>
      </c>
      <c r="BG140" s="20">
        <f t="shared" si="115"/>
        <v>425.9708325305989</v>
      </c>
      <c r="BH140" s="59">
        <f t="shared" si="116"/>
        <v>719.30416586393221</v>
      </c>
      <c r="BI140" s="59">
        <f ca="1">AVERAGE(OFFSET($BH$3,0,0,'Données projet'!$E$11+1,1))-AVERAGE(OFFSET($H$3,0,0,'Données projet'!$E$11+1,1))</f>
        <v>203.42120484957661</v>
      </c>
      <c r="BJ140" s="59">
        <f t="shared" si="146"/>
        <v>201.8090670543379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6.9619840783159015</v>
      </c>
      <c r="BQ140" s="21">
        <f>EXP(-LN(2)/25)*BQ139+(1-EXP(-LN(2)/25))/(LN(2)/25)*Calculateur!BL140*Calculateur!BN140*VLOOKUP('Données projet'!$B$11,Paramètres!$A$1:$I$89,3,0)*0.475*44/12</f>
        <v>1.2822141922220895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8.244198270537991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1">
        <f t="shared" si="140"/>
        <v>19.21880399855084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67">
        <f t="shared" si="110"/>
        <v>445.5389836308093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282.62919832217119</v>
      </c>
      <c r="T141" s="59">
        <f t="shared" si="142"/>
        <v>248.89638559192258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-6.3550942286383367E-14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277.73784710957608</v>
      </c>
      <c r="AO141" s="59">
        <f t="shared" si="144"/>
        <v>369.67177565548127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43.802425605222425</v>
      </c>
      <c r="AV141" s="21">
        <f>EXP(-LN(2)/25)*AV140+(1-EXP(-LN(2)/25))/(LN(2)/25)*Calculateur!AQ141*Calculateur!AS141*VLOOKUP('Données projet'!$B$10,Paramètres!$A$1:$I$89,3,0)*0.475*44/12</f>
        <v>5.7684721846036826</v>
      </c>
      <c r="AW141" s="21">
        <f>EXP(-LN(2)/2)*AW140+(1-EXP(-LN(2)/2))/(LN(2)/2)*AQ141*AT141*VLOOKUP('Données projet'!$B$10,Paramètres!$A$1:$I$89,3,0)*0.475*44/12</f>
        <v>1.0984735906951341E-11</v>
      </c>
      <c r="AX141" s="21">
        <f t="shared" si="114"/>
        <v>49.57089778983709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195.76439999999985</v>
      </c>
      <c r="BF141" s="13">
        <f t="shared" si="145"/>
        <v>48.812154563023455</v>
      </c>
      <c r="BG141" s="20">
        <f t="shared" si="115"/>
        <v>425.9708325305989</v>
      </c>
      <c r="BH141" s="59">
        <f t="shared" si="116"/>
        <v>719.30416586393221</v>
      </c>
      <c r="BI141" s="59">
        <f ca="1">AVERAGE(OFFSET($BH$3,0,0,'Données projet'!$E$11+1,1))-AVERAGE(OFFSET($H$3,0,0,'Données projet'!$E$11+1,1))</f>
        <v>203.42120484957661</v>
      </c>
      <c r="BJ141" s="59">
        <f t="shared" si="146"/>
        <v>201.8090670543379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6.8254638169311184</v>
      </c>
      <c r="BQ141" s="21">
        <f>EXP(-LN(2)/25)*BQ140+(1-EXP(-LN(2)/25))/(LN(2)/25)*Calculateur!BL141*Calculateur!BN141*VLOOKUP('Données projet'!$B$11,Paramètres!$A$1:$I$89,3,0)*0.475*44/12</f>
        <v>1.2471519777070628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8.0726157946381818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1">
        <f t="shared" si="140"/>
        <v>19.341808292681065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67">
        <f t="shared" si="110"/>
        <v>446.61359944308612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282.62919832217119</v>
      </c>
      <c r="T142" s="59">
        <f t="shared" si="142"/>
        <v>248.89638559192258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-6.3550942286383367E-14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277.73784710957608</v>
      </c>
      <c r="AO142" s="59">
        <f t="shared" si="144"/>
        <v>369.67177565548127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42.943486755945564</v>
      </c>
      <c r="AV142" s="21">
        <f>EXP(-LN(2)/25)*AV141+(1-EXP(-LN(2)/25))/(LN(2)/25)*Calculateur!AQ142*Calculateur!AS142*VLOOKUP('Données projet'!$B$10,Paramètres!$A$1:$I$89,3,0)*0.475*44/12</f>
        <v>5.6107330093649264</v>
      </c>
      <c r="AW142" s="21">
        <f>EXP(-LN(2)/2)*AW141+(1-EXP(-LN(2)/2))/(LN(2)/2)*AQ142*AT142*VLOOKUP('Données projet'!$B$10,Paramètres!$A$1:$I$89,3,0)*0.475*44/12</f>
        <v>7.7673812493486533E-12</v>
      </c>
      <c r="AX142" s="21">
        <f t="shared" si="114"/>
        <v>48.554219765318258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195.76439999999985</v>
      </c>
      <c r="BF142" s="13">
        <f t="shared" si="145"/>
        <v>48.812154563023455</v>
      </c>
      <c r="BG142" s="20">
        <f t="shared" si="115"/>
        <v>425.9708325305989</v>
      </c>
      <c r="BH142" s="59">
        <f t="shared" si="116"/>
        <v>719.30416586393221</v>
      </c>
      <c r="BI142" s="59">
        <f ca="1">AVERAGE(OFFSET($BH$3,0,0,'Données projet'!$E$11+1,1))-AVERAGE(OFFSET($H$3,0,0,'Données projet'!$E$11+1,1))</f>
        <v>203.42120484957661</v>
      </c>
      <c r="BJ142" s="59">
        <f t="shared" si="146"/>
        <v>201.8090670543379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6.6916206346029536</v>
      </c>
      <c r="BQ142" s="21">
        <f>EXP(-LN(2)/25)*BQ141+(1-EXP(-LN(2)/25))/(LN(2)/25)*Calculateur!BL142*Calculateur!BN142*VLOOKUP('Données projet'!$B$11,Paramètres!$A$1:$I$89,3,0)*0.475*44/12</f>
        <v>1.2130485412917911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7.9046691758947443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1">
        <f t="shared" si="140"/>
        <v>19.464709623953723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67">
        <f t="shared" si="110"/>
        <v>447.68803592838606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282.62919832217119</v>
      </c>
      <c r="T143" s="59">
        <f t="shared" si="142"/>
        <v>248.89638559192258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-6.3550942286383367E-14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277.73784710957608</v>
      </c>
      <c r="AO143" s="59">
        <f t="shared" si="144"/>
        <v>369.67177565548127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42.101391173602053</v>
      </c>
      <c r="AV143" s="21">
        <f>EXP(-LN(2)/25)*AV142+(1-EXP(-LN(2)/25))/(LN(2)/25)*Calculateur!AQ143*Calculateur!AS143*VLOOKUP('Données projet'!$B$10,Paramètres!$A$1:$I$89,3,0)*0.475*44/12</f>
        <v>5.4573072201682171</v>
      </c>
      <c r="AW143" s="21">
        <f>EXP(-LN(2)/2)*AW142+(1-EXP(-LN(2)/2))/(LN(2)/2)*AQ143*AT143*VLOOKUP('Données projet'!$B$10,Paramètres!$A$1:$I$89,3,0)*0.475*44/12</f>
        <v>5.4923679534756703E-12</v>
      </c>
      <c r="AX143" s="21">
        <f t="shared" si="114"/>
        <v>47.558698393775764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195.76439999999985</v>
      </c>
      <c r="BF143" s="13">
        <f t="shared" si="145"/>
        <v>48.812154563023455</v>
      </c>
      <c r="BG143" s="20">
        <f t="shared" si="115"/>
        <v>425.9708325305989</v>
      </c>
      <c r="BH143" s="59">
        <f t="shared" si="116"/>
        <v>719.30416586393221</v>
      </c>
      <c r="BI143" s="59">
        <f ca="1">AVERAGE(OFFSET($BH$3,0,0,'Données projet'!$E$11+1,1))-AVERAGE(OFFSET($H$3,0,0,'Données projet'!$E$11+1,1))</f>
        <v>203.42120484957661</v>
      </c>
      <c r="BJ143" s="59">
        <f t="shared" si="146"/>
        <v>201.8090670543379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6.5604020354439632</v>
      </c>
      <c r="BQ143" s="21">
        <f>EXP(-LN(2)/25)*BQ142+(1-EXP(-LN(2)/25))/(LN(2)/25)*Calculateur!BL143*Calculateur!BN143*VLOOKUP('Données projet'!$B$11,Paramètres!$A$1:$I$89,3,0)*0.475*44/12</f>
        <v>1.1798776651387166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7.74027970058268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1">
        <f t="shared" si="140"/>
        <v>19.587508813096782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67">
        <f t="shared" si="110"/>
        <v>448.76229451614353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282.62919832217119</v>
      </c>
      <c r="T144" s="59">
        <f t="shared" si="142"/>
        <v>248.89638559192258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-6.3550942286383367E-14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277.73784710957608</v>
      </c>
      <c r="AO144" s="59">
        <f t="shared" si="144"/>
        <v>369.67177565548127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41.275808572000713</v>
      </c>
      <c r="AV144" s="21">
        <f>EXP(-LN(2)/25)*AV143+(1-EXP(-LN(2)/25))/(LN(2)/25)*Calculateur!AQ144*Calculateur!AS144*VLOOKUP('Données projet'!$B$10,Paramètres!$A$1:$I$89,3,0)*0.475*44/12</f>
        <v>5.3080768672454033</v>
      </c>
      <c r="AW144" s="21">
        <f>EXP(-LN(2)/2)*AW143+(1-EXP(-LN(2)/2))/(LN(2)/2)*AQ144*AT144*VLOOKUP('Données projet'!$B$10,Paramètres!$A$1:$I$89,3,0)*0.475*44/12</f>
        <v>3.8836906246743267E-12</v>
      </c>
      <c r="AX144" s="21">
        <f t="shared" si="114"/>
        <v>46.583885439250004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195.76439999999985</v>
      </c>
      <c r="BF144" s="13">
        <f t="shared" si="145"/>
        <v>48.812154563023455</v>
      </c>
      <c r="BG144" s="20">
        <f t="shared" si="115"/>
        <v>425.9708325305989</v>
      </c>
      <c r="BH144" s="59">
        <f t="shared" si="116"/>
        <v>719.30416586393221</v>
      </c>
      <c r="BI144" s="59">
        <f ca="1">AVERAGE(OFFSET($BH$3,0,0,'Données projet'!$E$11+1,1))-AVERAGE(OFFSET($H$3,0,0,'Données projet'!$E$11+1,1))</f>
        <v>203.42120484957661</v>
      </c>
      <c r="BJ144" s="59">
        <f t="shared" si="146"/>
        <v>201.8090670543379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6.4317565529790386</v>
      </c>
      <c r="BQ144" s="21">
        <f>EXP(-LN(2)/25)*BQ143+(1-EXP(-LN(2)/25))/(LN(2)/25)*Calculateur!BL144*Calculateur!BN144*VLOOKUP('Données projet'!$B$11,Paramètres!$A$1:$I$89,3,0)*0.475*44/12</f>
        <v>1.1476138483384286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7.5793704013174672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1">
        <f t="shared" si="140"/>
        <v>19.710206668524005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67">
        <f t="shared" si="110"/>
        <v>449.83637661434591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282.62919832217119</v>
      </c>
      <c r="T145" s="59">
        <f t="shared" si="142"/>
        <v>248.89638559192258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-6.3550942286383367E-14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277.73784710957608</v>
      </c>
      <c r="AO145" s="59">
        <f t="shared" si="144"/>
        <v>369.67177565548127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40.466415141661109</v>
      </c>
      <c r="AV145" s="21">
        <f>EXP(-LN(2)/25)*AV144+(1-EXP(-LN(2)/25))/(LN(2)/25)*Calculateur!AQ145*Calculateur!AS145*VLOOKUP('Données projet'!$B$10,Paramètres!$A$1:$I$89,3,0)*0.475*44/12</f>
        <v>5.1629272261709467</v>
      </c>
      <c r="AW145" s="21">
        <f>EXP(-LN(2)/2)*AW144+(1-EXP(-LN(2)/2))/(LN(2)/2)*AQ145*AT145*VLOOKUP('Données projet'!$B$10,Paramètres!$A$1:$I$89,3,0)*0.475*44/12</f>
        <v>2.7461839767378352E-12</v>
      </c>
      <c r="AX145" s="21">
        <f t="shared" si="114"/>
        <v>45.629342367834795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195.76439999999985</v>
      </c>
      <c r="BF145" s="13">
        <f t="shared" si="145"/>
        <v>48.812154563023455</v>
      </c>
      <c r="BG145" s="20">
        <f t="shared" si="115"/>
        <v>425.9708325305989</v>
      </c>
      <c r="BH145" s="59">
        <f t="shared" si="116"/>
        <v>719.30416586393221</v>
      </c>
      <c r="BI145" s="59">
        <f ca="1">AVERAGE(OFFSET($BH$3,0,0,'Données projet'!$E$11+1,1))-AVERAGE(OFFSET($H$3,0,0,'Données projet'!$E$11+1,1))</f>
        <v>203.42120484957661</v>
      </c>
      <c r="BJ145" s="59">
        <f t="shared" si="146"/>
        <v>201.8090670543379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6.3056337299592542</v>
      </c>
      <c r="BQ145" s="21">
        <f>EXP(-LN(2)/25)*BQ144+(1-EXP(-LN(2)/25))/(LN(2)/25)*Calculateur!BL145*Calculateur!BN145*VLOOKUP('Données projet'!$B$11,Paramètres!$A$1:$I$89,3,0)*0.475*44/12</f>
        <v>1.1162322873052248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7.4218660172644793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1">
        <f t="shared" si="140"/>
        <v>19.832803986604944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67">
        <f t="shared" si="110"/>
        <v>450.91028361000355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282.62919832217119</v>
      </c>
      <c r="T146" s="59">
        <f t="shared" si="142"/>
        <v>248.89638559192258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-6.3550942286383367E-14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277.73784710957608</v>
      </c>
      <c r="AO146" s="59">
        <f t="shared" si="144"/>
        <v>369.67177565548127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39.672893422809217</v>
      </c>
      <c r="AV146" s="21">
        <f>EXP(-LN(2)/25)*AV145+(1-EXP(-LN(2)/25))/(LN(2)/25)*Calculateur!AQ146*Calculateur!AS146*VLOOKUP('Données projet'!$B$10,Paramètres!$A$1:$I$89,3,0)*0.475*44/12</f>
        <v>5.0217467096647592</v>
      </c>
      <c r="AW146" s="21">
        <f>EXP(-LN(2)/2)*AW145+(1-EXP(-LN(2)/2))/(LN(2)/2)*AQ146*AT146*VLOOKUP('Données projet'!$B$10,Paramètres!$A$1:$I$89,3,0)*0.475*44/12</f>
        <v>1.9418453123371633E-12</v>
      </c>
      <c r="AX146" s="21">
        <f t="shared" si="114"/>
        <v>44.694640132475918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195.76439999999985</v>
      </c>
      <c r="BF146" s="13">
        <f t="shared" si="145"/>
        <v>48.812154563023455</v>
      </c>
      <c r="BG146" s="20">
        <f t="shared" si="115"/>
        <v>425.9708325305989</v>
      </c>
      <c r="BH146" s="59">
        <f t="shared" si="116"/>
        <v>719.30416586393221</v>
      </c>
      <c r="BI146" s="59">
        <f ca="1">AVERAGE(OFFSET($BH$3,0,0,'Données projet'!$E$11+1,1))-AVERAGE(OFFSET($H$3,0,0,'Données projet'!$E$11+1,1))</f>
        <v>203.42120484957661</v>
      </c>
      <c r="BJ146" s="59">
        <f t="shared" si="146"/>
        <v>201.8090670543379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6.1819840985715615</v>
      </c>
      <c r="BQ146" s="21">
        <f>EXP(-LN(2)/25)*BQ145+(1-EXP(-LN(2)/25))/(LN(2)/25)*Calculateur!BL146*Calculateur!BN146*VLOOKUP('Données projet'!$B$11,Paramètres!$A$1:$I$89,3,0)*0.475*44/12</f>
        <v>1.0857088567087587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7.26769295528032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1">
        <f t="shared" si="140"/>
        <v>19.955301551927469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67">
        <f t="shared" si="110"/>
        <v>451.98401686960693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282.62919832217119</v>
      </c>
      <c r="T147" s="59">
        <f t="shared" si="142"/>
        <v>248.89638559192258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-6.3550942286383367E-14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277.73784710957608</v>
      </c>
      <c r="AO147" s="59">
        <f t="shared" si="144"/>
        <v>369.67177565548127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38.894932180863556</v>
      </c>
      <c r="AV147" s="21">
        <f>EXP(-LN(2)/25)*AV146+(1-EXP(-LN(2)/25))/(LN(2)/25)*Calculateur!AQ147*Calculateur!AS147*VLOOKUP('Données projet'!$B$10,Paramètres!$A$1:$I$89,3,0)*0.475*44/12</f>
        <v>4.8844267818067939</v>
      </c>
      <c r="AW147" s="21">
        <f>EXP(-LN(2)/2)*AW146+(1-EXP(-LN(2)/2))/(LN(2)/2)*AQ147*AT147*VLOOKUP('Données projet'!$B$10,Paramètres!$A$1:$I$89,3,0)*0.475*44/12</f>
        <v>1.3730919883689176E-12</v>
      </c>
      <c r="AX147" s="21">
        <f t="shared" si="114"/>
        <v>43.779358962671722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195.76439999999985</v>
      </c>
      <c r="BF147" s="13">
        <f t="shared" si="145"/>
        <v>48.812154563023455</v>
      </c>
      <c r="BG147" s="20">
        <f t="shared" si="115"/>
        <v>425.9708325305989</v>
      </c>
      <c r="BH147" s="59">
        <f t="shared" si="116"/>
        <v>719.30416586393221</v>
      </c>
      <c r="BI147" s="59">
        <f ca="1">AVERAGE(OFFSET($BH$3,0,0,'Données projet'!$E$11+1,1))-AVERAGE(OFFSET($H$3,0,0,'Données projet'!$E$11+1,1))</f>
        <v>203.42120484957661</v>
      </c>
      <c r="BJ147" s="59">
        <f t="shared" si="146"/>
        <v>201.8090670543379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6.0607591610365539</v>
      </c>
      <c r="BQ147" s="21">
        <f>EXP(-LN(2)/25)*BQ146+(1-EXP(-LN(2)/25))/(LN(2)/25)*Calculateur!BL147*Calculateur!BN147*VLOOKUP('Données projet'!$B$11,Paramètres!$A$1:$I$89,3,0)*0.475*44/12</f>
        <v>1.0560200909271105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7.1167792519636643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1">
        <f t="shared" si="140"/>
        <v>20.077700137552494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67">
        <f t="shared" si="110"/>
        <v>453.05757773957055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282.62919832217119</v>
      </c>
      <c r="T148" s="59">
        <f t="shared" si="142"/>
        <v>248.89638559192258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-6.3550942286383367E-14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277.73784710957608</v>
      </c>
      <c r="AO148" s="59">
        <f t="shared" si="144"/>
        <v>369.67177565548127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38.132226284362943</v>
      </c>
      <c r="AV148" s="21">
        <f>EXP(-LN(2)/25)*AV147+(1-EXP(-LN(2)/25))/(LN(2)/25)*Calculateur!AQ148*Calculateur!AS148*VLOOKUP('Données projet'!$B$10,Paramètres!$A$1:$I$89,3,0)*0.475*44/12</f>
        <v>4.7508618745974465</v>
      </c>
      <c r="AW148" s="21">
        <f>EXP(-LN(2)/2)*AW147+(1-EXP(-LN(2)/2))/(LN(2)/2)*AQ148*AT148*VLOOKUP('Données projet'!$B$10,Paramètres!$A$1:$I$89,3,0)*0.475*44/12</f>
        <v>9.7092265616858166E-13</v>
      </c>
      <c r="AX148" s="21">
        <f t="shared" si="114"/>
        <v>42.883088158961364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195.76439999999985</v>
      </c>
      <c r="BF148" s="13">
        <f t="shared" si="145"/>
        <v>48.812154563023455</v>
      </c>
      <c r="BG148" s="20">
        <f t="shared" si="115"/>
        <v>425.9708325305989</v>
      </c>
      <c r="BH148" s="59">
        <f t="shared" si="116"/>
        <v>719.30416586393221</v>
      </c>
      <c r="BI148" s="59">
        <f ca="1">AVERAGE(OFFSET($BH$3,0,0,'Données projet'!$E$11+1,1))-AVERAGE(OFFSET($H$3,0,0,'Données projet'!$E$11+1,1))</f>
        <v>203.42120484957661</v>
      </c>
      <c r="BJ148" s="59">
        <f t="shared" si="146"/>
        <v>201.8090670543379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5.9419113705866966</v>
      </c>
      <c r="BQ148" s="21">
        <f>EXP(-LN(2)/25)*BQ147+(1-EXP(-LN(2)/25))/(LN(2)/25)*Calculateur!BL148*Calculateur!BN148*VLOOKUP('Données projet'!$B$11,Paramètres!$A$1:$I$89,3,0)*0.475*44/12</f>
        <v>1.0271431660070256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6.9690545365937222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1">
        <f t="shared" si="140"/>
        <v>20.200000505261777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67">
        <f t="shared" si="110"/>
        <v>454.13096754666418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282.62919832217119</v>
      </c>
      <c r="T149" s="59">
        <f t="shared" si="142"/>
        <v>248.89638559192258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-6.3550942286383367E-14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277.73784710957608</v>
      </c>
      <c r="AO149" s="59">
        <f t="shared" si="144"/>
        <v>369.67177565548127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37.384476585288049</v>
      </c>
      <c r="AV149" s="21">
        <f>EXP(-LN(2)/25)*AV148+(1-EXP(-LN(2)/25))/(LN(2)/25)*Calculateur!AQ149*Calculateur!AS149*VLOOKUP('Données projet'!$B$10,Paramètres!$A$1:$I$89,3,0)*0.475*44/12</f>
        <v>4.6209493067996119</v>
      </c>
      <c r="AW149" s="21">
        <f>EXP(-LN(2)/2)*AW148+(1-EXP(-LN(2)/2))/(LN(2)/2)*AQ149*AT149*VLOOKUP('Données projet'!$B$10,Paramètres!$A$1:$I$89,3,0)*0.475*44/12</f>
        <v>6.8654599418445879E-13</v>
      </c>
      <c r="AX149" s="21">
        <f t="shared" si="114"/>
        <v>42.005425892088347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195.76439999999985</v>
      </c>
      <c r="BF149" s="13">
        <f t="shared" si="145"/>
        <v>48.812154563023455</v>
      </c>
      <c r="BG149" s="20">
        <f t="shared" si="115"/>
        <v>425.9708325305989</v>
      </c>
      <c r="BH149" s="59">
        <f t="shared" si="116"/>
        <v>719.30416586393221</v>
      </c>
      <c r="BI149" s="59">
        <f ca="1">AVERAGE(OFFSET($BH$3,0,0,'Données projet'!$E$11+1,1))-AVERAGE(OFFSET($H$3,0,0,'Données projet'!$E$11+1,1))</f>
        <v>203.42120484957661</v>
      </c>
      <c r="BJ149" s="59">
        <f t="shared" si="146"/>
        <v>201.8090670543379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5.825394112817567</v>
      </c>
      <c r="BQ149" s="21">
        <f>EXP(-LN(2)/25)*BQ148+(1-EXP(-LN(2)/25))/(LN(2)/25)*Calculateur!BL149*Calculateur!BN149*VLOOKUP('Données projet'!$B$11,Paramètres!$A$1:$I$89,3,0)*0.475*44/12</f>
        <v>0.999055882117452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6.8244499949350192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1">
        <f t="shared" si="140"/>
        <v>20.322203405798444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67">
        <f t="shared" si="110"/>
        <v>455.20418759843221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282.62919832217119</v>
      </c>
      <c r="T150" s="59">
        <f t="shared" si="142"/>
        <v>248.89638559192258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-6.3550942286383367E-14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277.73784710957608</v>
      </c>
      <c r="AO150" s="59">
        <f t="shared" si="144"/>
        <v>369.67177565548127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36.651389801729728</v>
      </c>
      <c r="AV150" s="21">
        <f>EXP(-LN(2)/25)*AV149+(1-EXP(-LN(2)/25))/(LN(2)/25)*Calculateur!AQ150*Calculateur!AS150*VLOOKUP('Données projet'!$B$10,Paramètres!$A$1:$I$89,3,0)*0.475*44/12</f>
        <v>4.4945892050000138</v>
      </c>
      <c r="AW150" s="21">
        <f>EXP(-LN(2)/2)*AW149+(1-EXP(-LN(2)/2))/(LN(2)/2)*AQ150*AT150*VLOOKUP('Données projet'!$B$10,Paramètres!$A$1:$I$89,3,0)*0.475*44/12</f>
        <v>4.8546132808429083E-13</v>
      </c>
      <c r="AX150" s="21">
        <f t="shared" si="114"/>
        <v>41.145979006730222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195.76439999999985</v>
      </c>
      <c r="BF150" s="13">
        <f t="shared" si="145"/>
        <v>48.812154563023455</v>
      </c>
      <c r="BG150" s="20">
        <f t="shared" si="115"/>
        <v>425.9708325305989</v>
      </c>
      <c r="BH150" s="59">
        <f t="shared" si="116"/>
        <v>719.30416586393221</v>
      </c>
      <c r="BI150" s="59">
        <f ca="1">AVERAGE(OFFSET($BH$3,0,0,'Données projet'!$E$11+1,1))-AVERAGE(OFFSET($H$3,0,0,'Données projet'!$E$11+1,1))</f>
        <v>203.42120484957661</v>
      </c>
      <c r="BJ150" s="59">
        <f t="shared" si="146"/>
        <v>201.8090670543379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5.7111616874047799</v>
      </c>
      <c r="BQ150" s="21">
        <f>EXP(-LN(2)/25)*BQ149+(1-EXP(-LN(2)/25))/(LN(2)/25)*Calculateur!BL150*Calculateur!BN150*VLOOKUP('Données projet'!$B$11,Paramètres!$A$1:$I$89,3,0)*0.475*44/12</f>
        <v>0.97173664648288482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6.6828983338876649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1">
        <f t="shared" si="140"/>
        <v>20.444309579101066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67">
        <f t="shared" si="110"/>
        <v>456.27723918360095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282.62919832217119</v>
      </c>
      <c r="T151" s="59">
        <f t="shared" si="142"/>
        <v>248.89638559192258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-6.3550942286383367E-14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277.73784710957608</v>
      </c>
      <c r="AO151" s="59">
        <f t="shared" si="144"/>
        <v>369.67177565548127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35.932678402858201</v>
      </c>
      <c r="AV151" s="21">
        <f>EXP(-LN(2)/25)*AV150+(1-EXP(-LN(2)/25))/(LN(2)/25)*Calculateur!AQ151*Calculateur!AS151*VLOOKUP('Données projet'!$B$10,Paramètres!$A$1:$I$89,3,0)*0.475*44/12</f>
        <v>4.3716844268291144</v>
      </c>
      <c r="AW151" s="21">
        <f>EXP(-LN(2)/2)*AW150+(1-EXP(-LN(2)/2))/(LN(2)/2)*AQ151*AT151*VLOOKUP('Données projet'!$B$10,Paramètres!$A$1:$I$89,3,0)*0.475*44/12</f>
        <v>3.432729970922294E-13</v>
      </c>
      <c r="AX151" s="21">
        <f t="shared" si="114"/>
        <v>40.304362829687655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195.76439999999985</v>
      </c>
      <c r="BF151" s="13">
        <f t="shared" si="145"/>
        <v>48.812154563023455</v>
      </c>
      <c r="BG151" s="20">
        <f t="shared" si="115"/>
        <v>425.9708325305989</v>
      </c>
      <c r="BH151" s="59">
        <f t="shared" si="116"/>
        <v>719.30416586393221</v>
      </c>
      <c r="BI151" s="59">
        <f ca="1">AVERAGE(OFFSET($BH$3,0,0,'Données projet'!$E$11+1,1))-AVERAGE(OFFSET($H$3,0,0,'Données projet'!$E$11+1,1))</f>
        <v>203.42120484957661</v>
      </c>
      <c r="BJ151" s="59">
        <f t="shared" si="146"/>
        <v>201.8090670543379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5.5991692901794377</v>
      </c>
      <c r="BQ151" s="21">
        <f>EXP(-LN(2)/25)*BQ150+(1-EXP(-LN(2)/25))/(LN(2)/25)*Calculateur!BL151*Calculateur!BN151*VLOOKUP('Données projet'!$B$11,Paramètres!$A$1:$I$89,3,0)*0.475*44/12</f>
        <v>0.945164456783401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6.5443337469628382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1">
        <f t="shared" si="140"/>
        <v>20.566319754530966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67">
        <f t="shared" si="110"/>
        <v>457.35012357247467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282.62919832217119</v>
      </c>
      <c r="T152" s="59">
        <f t="shared" si="142"/>
        <v>248.89638559192258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-6.3550942286383367E-14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277.73784710957608</v>
      </c>
      <c r="AO152" s="59">
        <f t="shared" si="144"/>
        <v>369.67177565548127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35.228060496147876</v>
      </c>
      <c r="AV152" s="21">
        <f>EXP(-LN(2)/25)*AV151+(1-EXP(-LN(2)/25))/(LN(2)/25)*Calculateur!AQ152*Calculateur!AS152*VLOOKUP('Données projet'!$B$10,Paramètres!$A$1:$I$89,3,0)*0.475*44/12</f>
        <v>4.2521404862805801</v>
      </c>
      <c r="AW152" s="21">
        <f>EXP(-LN(2)/2)*AW151+(1-EXP(-LN(2)/2))/(LN(2)/2)*AQ152*AT152*VLOOKUP('Données projet'!$B$10,Paramètres!$A$1:$I$89,3,0)*0.475*44/12</f>
        <v>2.4273066404214542E-13</v>
      </c>
      <c r="AX152" s="21">
        <f t="shared" si="114"/>
        <v>39.480200982428698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195.76439999999985</v>
      </c>
      <c r="BF152" s="13">
        <f t="shared" si="145"/>
        <v>48.812154563023455</v>
      </c>
      <c r="BG152" s="20">
        <f t="shared" si="115"/>
        <v>425.9708325305989</v>
      </c>
      <c r="BH152" s="59">
        <f t="shared" si="116"/>
        <v>719.30416586393221</v>
      </c>
      <c r="BI152" s="59">
        <f ca="1">AVERAGE(OFFSET($BH$3,0,0,'Données projet'!$E$11+1,1))-AVERAGE(OFFSET($H$3,0,0,'Données projet'!$E$11+1,1))</f>
        <v>203.42120484957661</v>
      </c>
      <c r="BJ152" s="59">
        <f t="shared" si="146"/>
        <v>201.8090670543379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5.4893729955550672</v>
      </c>
      <c r="BQ152" s="21">
        <f>EXP(-LN(2)/25)*BQ151+(1-EXP(-LN(2)/25))/(LN(2)/25)*Calculateur!BL152*Calculateur!BN152*VLOOKUP('Données projet'!$B$11,Paramètres!$A$1:$I$89,3,0)*0.475*44/12</f>
        <v>0.91931888500862036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6.4086918805636879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1">
        <f t="shared" si="140"/>
        <v>20.688234651093431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67">
        <f t="shared" si="110"/>
        <v>458.42284201732099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282.62919832217119</v>
      </c>
      <c r="T153" s="59">
        <f t="shared" si="142"/>
        <v>248.89638559192258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-6.3550942286383367E-14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277.73784710957608</v>
      </c>
      <c r="AO153" s="59">
        <f t="shared" si="144"/>
        <v>369.67177565548127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34.537259716813651</v>
      </c>
      <c r="AV153" s="21">
        <f>EXP(-LN(2)/25)*AV152+(1-EXP(-LN(2)/25))/(LN(2)/25)*Calculateur!AQ153*Calculateur!AS153*VLOOKUP('Données projet'!$B$10,Paramètres!$A$1:$I$89,3,0)*0.475*44/12</f>
        <v>4.1358654810728881</v>
      </c>
      <c r="AW153" s="21">
        <f>EXP(-LN(2)/2)*AW152+(1-EXP(-LN(2)/2))/(LN(2)/2)*AQ153*AT153*VLOOKUP('Données projet'!$B$10,Paramètres!$A$1:$I$89,3,0)*0.475*44/12</f>
        <v>1.716364985461147E-13</v>
      </c>
      <c r="AX153" s="21">
        <f t="shared" si="114"/>
        <v>38.673125197886712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195.76439999999985</v>
      </c>
      <c r="BF153" s="13">
        <f t="shared" si="145"/>
        <v>48.812154563023455</v>
      </c>
      <c r="BG153" s="20">
        <f t="shared" si="115"/>
        <v>425.9708325305989</v>
      </c>
      <c r="BH153" s="59">
        <f t="shared" si="116"/>
        <v>719.30416586393221</v>
      </c>
      <c r="BI153" s="59">
        <f ca="1">AVERAGE(OFFSET($BH$3,0,0,'Données projet'!$E$11+1,1))-AVERAGE(OFFSET($H$3,0,0,'Données projet'!$E$11+1,1))</f>
        <v>203.42120484957661</v>
      </c>
      <c r="BJ153" s="59">
        <f t="shared" si="146"/>
        <v>201.8090670543379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5.3817297392991534</v>
      </c>
      <c r="BQ153" s="21">
        <f>EXP(-LN(2)/25)*BQ152+(1-EXP(-LN(2)/25))/(LN(2)/25)*Calculateur!BL153*Calculateur!BN153*VLOOKUP('Données projet'!$B$11,Paramètres!$A$1:$I$89,3,0)*0.475*44/12</f>
        <v>0.89418006175318065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6.2759098010523342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1">
        <f t="shared" si="140"/>
        <v>20.810054977652769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67">
        <f t="shared" si="110"/>
        <v>459.49539575274514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282.62919832217119</v>
      </c>
      <c r="T154" s="59">
        <f t="shared" si="142"/>
        <v>248.89638559192258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-6.3550942286383367E-14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277.73784710957608</v>
      </c>
      <c r="AO154" s="59">
        <f t="shared" si="144"/>
        <v>369.67177565548127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33.860005119415305</v>
      </c>
      <c r="AV154" s="21">
        <f>EXP(-LN(2)/25)*AV153+(1-EXP(-LN(2)/25))/(LN(2)/25)*Calculateur!AQ154*Calculateur!AS154*VLOOKUP('Données projet'!$B$10,Paramètres!$A$1:$I$89,3,0)*0.475*44/12</f>
        <v>4.0227700219972373</v>
      </c>
      <c r="AW154" s="21">
        <f>EXP(-LN(2)/2)*AW153+(1-EXP(-LN(2)/2))/(LN(2)/2)*AQ154*AT154*VLOOKUP('Données projet'!$B$10,Paramètres!$A$1:$I$89,3,0)*0.475*44/12</f>
        <v>1.2136533202107271E-13</v>
      </c>
      <c r="AX154" s="21">
        <f t="shared" ref="AX154:AX203" si="166">SUM(AU154:AW154)</f>
        <v>37.882775141412665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195.76439999999985</v>
      </c>
      <c r="BF154" s="13">
        <f t="shared" ref="BF154:BF203" si="167">EXP(-1.0587+0.8836*LN(BE154)+0.284)</f>
        <v>48.812154563023455</v>
      </c>
      <c r="BG154" s="20">
        <f t="shared" ref="BG154:BG203" si="168">(BE154+BF154)*0.475*44/12</f>
        <v>425.9708325305989</v>
      </c>
      <c r="BH154" s="59">
        <f t="shared" si="116"/>
        <v>719.30416586393221</v>
      </c>
      <c r="BI154" s="59">
        <f ca="1">AVERAGE(OFFSET($BH$3,0,0,'Données projet'!$E$11+1,1))-AVERAGE(OFFSET($H$3,0,0,'Données projet'!$E$11+1,1))</f>
        <v>203.42120484957661</v>
      </c>
      <c r="BJ154" s="59">
        <f t="shared" si="146"/>
        <v>201.8090670543379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5.2761973016425152</v>
      </c>
      <c r="BQ154" s="21">
        <f>EXP(-LN(2)/25)*BQ153+(1-EXP(-LN(2)/25))/(LN(2)/25)*Calculateur!BL154*Calculateur!BN154*VLOOKUP('Données projet'!$B$11,Paramètres!$A$1:$I$89,3,0)*0.475*44/12</f>
        <v>0.86972866094165413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6.1459259625841689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1">
        <f t="shared" si="140"/>
        <v>20.931781433141548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67">
        <f t="shared" si="110"/>
        <v>460.56778599605479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282.62919832217119</v>
      </c>
      <c r="T155" s="59">
        <f t="shared" si="142"/>
        <v>248.89638559192258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-6.3550942286383367E-14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277.73784710957608</v>
      </c>
      <c r="AO155" s="59">
        <f t="shared" si="144"/>
        <v>369.67177565548127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33.19603107158742</v>
      </c>
      <c r="AV155" s="21">
        <f>EXP(-LN(2)/25)*AV154+(1-EXP(-LN(2)/25))/(LN(2)/25)*Calculateur!AQ155*Calculateur!AS155*VLOOKUP('Données projet'!$B$10,Paramètres!$A$1:$I$89,3,0)*0.475*44/12</f>
        <v>3.9127671641974415</v>
      </c>
      <c r="AW155" s="21">
        <f>EXP(-LN(2)/2)*AW154+(1-EXP(-LN(2)/2))/(LN(2)/2)*AQ155*AT155*VLOOKUP('Données projet'!$B$10,Paramètres!$A$1:$I$89,3,0)*0.475*44/12</f>
        <v>8.5818249273057349E-14</v>
      </c>
      <c r="AX155" s="21">
        <f t="shared" si="166"/>
        <v>37.108798235784946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195.76439999999985</v>
      </c>
      <c r="BF155" s="13">
        <f t="shared" si="167"/>
        <v>48.812154563023455</v>
      </c>
      <c r="BG155" s="20">
        <f t="shared" si="168"/>
        <v>425.9708325305989</v>
      </c>
      <c r="BH155" s="59">
        <f t="shared" si="116"/>
        <v>719.30416586393221</v>
      </c>
      <c r="BI155" s="59">
        <f ca="1">AVERAGE(OFFSET($BH$3,0,0,'Données projet'!$E$11+1,1))-AVERAGE(OFFSET($H$3,0,0,'Données projet'!$E$11+1,1))</f>
        <v>203.42120484957661</v>
      </c>
      <c r="BJ155" s="59">
        <f t="shared" si="146"/>
        <v>201.8090670543379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5.1727342907198928</v>
      </c>
      <c r="BQ155" s="21">
        <f>EXP(-LN(2)/25)*BQ154+(1-EXP(-LN(2)/25))/(LN(2)/25)*Calculateur!BL155*Calculateur!BN155*VLOOKUP('Données projet'!$B$11,Paramètres!$A$1:$I$89,3,0)*0.475*44/12</f>
        <v>0.84594588497116208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6.0186801756910544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1">
        <f t="shared" si="140"/>
        <v>21.053414706764119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67">
        <f t="shared" si="110"/>
        <v>461.64001394761408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282.62919832217119</v>
      </c>
      <c r="T156" s="59">
        <f t="shared" si="142"/>
        <v>248.89638559192258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-6.3550942286383367E-14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277.73784710957608</v>
      </c>
      <c r="AO156" s="59">
        <f t="shared" si="144"/>
        <v>369.67177565548127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32.545077149853263</v>
      </c>
      <c r="AV156" s="21">
        <f>EXP(-LN(2)/25)*AV155+(1-EXP(-LN(2)/25))/(LN(2)/25)*Calculateur!AQ156*Calculateur!AS156*VLOOKUP('Données projet'!$B$10,Paramètres!$A$1:$I$89,3,0)*0.475*44/12</f>
        <v>3.8057723403289803</v>
      </c>
      <c r="AW156" s="21">
        <f>EXP(-LN(2)/2)*AW155+(1-EXP(-LN(2)/2))/(LN(2)/2)*AQ156*AT156*VLOOKUP('Données projet'!$B$10,Paramètres!$A$1:$I$89,3,0)*0.475*44/12</f>
        <v>6.0682666010536354E-14</v>
      </c>
      <c r="AX156" s="21">
        <f t="shared" si="166"/>
        <v>36.350849490182306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195.76439999999985</v>
      </c>
      <c r="BF156" s="13">
        <f t="shared" si="167"/>
        <v>48.812154563023455</v>
      </c>
      <c r="BG156" s="20">
        <f t="shared" si="168"/>
        <v>425.9708325305989</v>
      </c>
      <c r="BH156" s="59">
        <f t="shared" si="116"/>
        <v>719.30416586393221</v>
      </c>
      <c r="BI156" s="59">
        <f ca="1">AVERAGE(OFFSET($BH$3,0,0,'Données projet'!$E$11+1,1))-AVERAGE(OFFSET($H$3,0,0,'Données projet'!$E$11+1,1))</f>
        <v>203.42120484957661</v>
      </c>
      <c r="BJ156" s="59">
        <f t="shared" si="146"/>
        <v>201.8090670543379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5.0713001263352568</v>
      </c>
      <c r="BQ156" s="21">
        <f>EXP(-LN(2)/25)*BQ155+(1-EXP(-LN(2)/25))/(LN(2)/25)*Calculateur!BL156*Calculateur!BN156*VLOOKUP('Données projet'!$B$11,Paramètres!$A$1:$I$89,3,0)*0.475*44/12</f>
        <v>0.82281345026026498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5.8941135765955215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1">
        <f t="shared" si="140"/>
        <v>21.174955478194743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67">
        <f t="shared" si="110"/>
        <v>462.71208079118912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282.62919832217119</v>
      </c>
      <c r="T157" s="59">
        <f t="shared" si="142"/>
        <v>248.89638559192258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-6.3550942286383367E-14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277.73784710957608</v>
      </c>
      <c r="AO157" s="59">
        <f t="shared" si="144"/>
        <v>369.67177565548127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31.906888037481625</v>
      </c>
      <c r="AV157" s="21">
        <f>EXP(-LN(2)/25)*AV156+(1-EXP(-LN(2)/25))/(LN(2)/25)*Calculateur!AQ157*Calculateur!AS157*VLOOKUP('Données projet'!$B$10,Paramètres!$A$1:$I$89,3,0)*0.475*44/12</f>
        <v>3.7017032955458151</v>
      </c>
      <c r="AW157" s="21">
        <f>EXP(-LN(2)/2)*AW156+(1-EXP(-LN(2)/2))/(LN(2)/2)*AQ157*AT157*VLOOKUP('Données projet'!$B$10,Paramètres!$A$1:$I$89,3,0)*0.475*44/12</f>
        <v>4.2909124636528675E-14</v>
      </c>
      <c r="AX157" s="21">
        <f t="shared" si="166"/>
        <v>35.608591333027483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195.76439999999985</v>
      </c>
      <c r="BF157" s="13">
        <f t="shared" si="167"/>
        <v>48.812154563023455</v>
      </c>
      <c r="BG157" s="20">
        <f t="shared" si="168"/>
        <v>425.9708325305989</v>
      </c>
      <c r="BH157" s="59">
        <f t="shared" si="116"/>
        <v>719.30416586393221</v>
      </c>
      <c r="BI157" s="59">
        <f ca="1">AVERAGE(OFFSET($BH$3,0,0,'Données projet'!$E$11+1,1))-AVERAGE(OFFSET($H$3,0,0,'Données projet'!$E$11+1,1))</f>
        <v>203.42120484957661</v>
      </c>
      <c r="BJ157" s="59">
        <f t="shared" si="146"/>
        <v>201.8090670543379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4.9718550240454729</v>
      </c>
      <c r="BQ157" s="21">
        <f>EXP(-LN(2)/25)*BQ156+(1-EXP(-LN(2)/25))/(LN(2)/25)*Calculateur!BL157*Calculateur!BN157*VLOOKUP('Données projet'!$B$11,Paramètres!$A$1:$I$89,3,0)*0.475*44/12</f>
        <v>0.80031357319301921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5.7721685972384922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1">
        <f t="shared" si="140"/>
        <v>21.296404417770301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67">
        <f t="shared" si="110"/>
        <v>463.78398769428327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282.62919832217119</v>
      </c>
      <c r="T158" s="59">
        <f t="shared" si="142"/>
        <v>248.89638559192258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-6.3550942286383367E-14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277.73784710957608</v>
      </c>
      <c r="AO158" s="59">
        <f t="shared" si="144"/>
        <v>369.67177565548127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31.281213424346671</v>
      </c>
      <c r="AV158" s="21">
        <f>EXP(-LN(2)/25)*AV157+(1-EXP(-LN(2)/25))/(LN(2)/25)*Calculateur!AQ158*Calculateur!AS158*VLOOKUP('Données projet'!$B$10,Paramètres!$A$1:$I$89,3,0)*0.475*44/12</f>
        <v>3.600480024264999</v>
      </c>
      <c r="AW158" s="21">
        <f>EXP(-LN(2)/2)*AW157+(1-EXP(-LN(2)/2))/(LN(2)/2)*AQ158*AT158*VLOOKUP('Données projet'!$B$10,Paramètres!$A$1:$I$89,3,0)*0.475*44/12</f>
        <v>3.0341333005268177E-14</v>
      </c>
      <c r="AX158" s="21">
        <f t="shared" si="166"/>
        <v>34.881693448611699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195.76439999999985</v>
      </c>
      <c r="BF158" s="13">
        <f t="shared" si="167"/>
        <v>48.812154563023455</v>
      </c>
      <c r="BG158" s="20">
        <f t="shared" si="168"/>
        <v>425.9708325305989</v>
      </c>
      <c r="BH158" s="59">
        <f t="shared" si="116"/>
        <v>719.30416586393221</v>
      </c>
      <c r="BI158" s="59">
        <f ca="1">AVERAGE(OFFSET($BH$3,0,0,'Données projet'!$E$11+1,1))-AVERAGE(OFFSET($H$3,0,0,'Données projet'!$E$11+1,1))</f>
        <v>203.42120484957661</v>
      </c>
      <c r="BJ158" s="59">
        <f t="shared" si="146"/>
        <v>201.8090670543379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4.8743599795560684</v>
      </c>
      <c r="BQ158" s="21">
        <f>EXP(-LN(2)/25)*BQ157+(1-EXP(-LN(2)/25))/(LN(2)/25)*Calculateur!BL158*Calculateur!BN158*VLOOKUP('Données projet'!$B$11,Paramètres!$A$1:$I$89,3,0)*0.475*44/12</f>
        <v>0.7784289564473944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5.6527889360034624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1">
        <f t="shared" si="140"/>
        <v>21.417762186678065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67">
        <f t="shared" si="110"/>
        <v>464.85573580846426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282.62919832217119</v>
      </c>
      <c r="T159" s="59">
        <f t="shared" si="142"/>
        <v>248.89638559192258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-6.3550942286383367E-14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277.73784710957608</v>
      </c>
      <c r="AO159" s="59">
        <f t="shared" si="144"/>
        <v>369.67177565548127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30.667807908751463</v>
      </c>
      <c r="AV159" s="21">
        <f>EXP(-LN(2)/25)*AV158+(1-EXP(-LN(2)/25))/(LN(2)/25)*Calculateur!AQ159*Calculateur!AS159*VLOOKUP('Données projet'!$B$10,Paramètres!$A$1:$I$89,3,0)*0.475*44/12</f>
        <v>3.502024708660457</v>
      </c>
      <c r="AW159" s="21">
        <f>EXP(-LN(2)/2)*AW158+(1-EXP(-LN(2)/2))/(LN(2)/2)*AQ159*AT159*VLOOKUP('Données projet'!$B$10,Paramètres!$A$1:$I$89,3,0)*0.475*44/12</f>
        <v>2.1454562318264337E-14</v>
      </c>
      <c r="AX159" s="21">
        <f t="shared" si="166"/>
        <v>34.169832617411942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195.76439999999985</v>
      </c>
      <c r="BF159" s="13">
        <f t="shared" si="167"/>
        <v>48.812154563023455</v>
      </c>
      <c r="BG159" s="20">
        <f t="shared" si="168"/>
        <v>425.9708325305989</v>
      </c>
      <c r="BH159" s="59">
        <f t="shared" si="116"/>
        <v>719.30416586393221</v>
      </c>
      <c r="BI159" s="59">
        <f ca="1">AVERAGE(OFFSET($BH$3,0,0,'Données projet'!$E$11+1,1))-AVERAGE(OFFSET($H$3,0,0,'Données projet'!$E$11+1,1))</f>
        <v>203.42120484957661</v>
      </c>
      <c r="BJ159" s="59">
        <f t="shared" si="146"/>
        <v>201.8090670543379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4.7787767534229957</v>
      </c>
      <c r="BQ159" s="21">
        <f>EXP(-LN(2)/25)*BQ158+(1-EXP(-LN(2)/25))/(LN(2)/25)*Calculateur!BL159*Calculateur!BN159*VLOOKUP('Données projet'!$B$11,Paramètres!$A$1:$I$89,3,0)*0.475*44/12</f>
        <v>0.75714277569754074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5.5359195291205365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1">
        <f t="shared" si="140"/>
        <v>21.539029437138336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67">
        <f t="shared" si="110"/>
        <v>465.92732626968257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282.62919832217119</v>
      </c>
      <c r="T160" s="59">
        <f t="shared" si="142"/>
        <v>248.89638559192258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-6.3550942286383367E-14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277.73784710957608</v>
      </c>
      <c r="AO160" s="59">
        <f t="shared" si="144"/>
        <v>369.67177565548127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30.066430901176656</v>
      </c>
      <c r="AV160" s="21">
        <f>EXP(-LN(2)/25)*AV159+(1-EXP(-LN(2)/25))/(LN(2)/25)*Calculateur!AQ160*Calculateur!AS160*VLOOKUP('Données projet'!$B$10,Paramètres!$A$1:$I$89,3,0)*0.475*44/12</f>
        <v>3.4062616588386612</v>
      </c>
      <c r="AW160" s="21">
        <f>EXP(-LN(2)/2)*AW159+(1-EXP(-LN(2)/2))/(LN(2)/2)*AQ160*AT160*VLOOKUP('Données projet'!$B$10,Paramètres!$A$1:$I$89,3,0)*0.475*44/12</f>
        <v>1.5170666502634088E-14</v>
      </c>
      <c r="AX160" s="21">
        <f t="shared" si="166"/>
        <v>33.472692560015332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195.76439999999985</v>
      </c>
      <c r="BF160" s="13">
        <f t="shared" si="167"/>
        <v>48.812154563023455</v>
      </c>
      <c r="BG160" s="20">
        <f t="shared" si="168"/>
        <v>425.9708325305989</v>
      </c>
      <c r="BH160" s="59">
        <f t="shared" si="116"/>
        <v>719.30416586393221</v>
      </c>
      <c r="BI160" s="59">
        <f ca="1">AVERAGE(OFFSET($BH$3,0,0,'Données projet'!$E$11+1,1))-AVERAGE(OFFSET($H$3,0,0,'Données projet'!$E$11+1,1))</f>
        <v>203.42120484957661</v>
      </c>
      <c r="BJ160" s="59">
        <f t="shared" si="146"/>
        <v>201.8090670543379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4.6850678560543813</v>
      </c>
      <c r="BQ160" s="21">
        <f>EXP(-LN(2)/25)*BQ159+(1-EXP(-LN(2)/25))/(LN(2)/25)*Calculateur!BL160*Calculateur!BN160*VLOOKUP('Données projet'!$B$11,Paramètres!$A$1:$I$89,3,0)*0.475*44/12</f>
        <v>0.73643866667968338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5.4215065227340649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1">
        <f t="shared" si="140"/>
        <v>21.660206812582402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67">
        <f t="shared" si="110"/>
        <v>466.99876019858095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282.62919832217119</v>
      </c>
      <c r="T161" s="59">
        <f t="shared" si="142"/>
        <v>248.89638559192258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-6.3550942286383367E-14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277.73784710957608</v>
      </c>
      <c r="AO161" s="59">
        <f t="shared" si="144"/>
        <v>369.67177565548127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29.476846529916635</v>
      </c>
      <c r="AV161" s="21">
        <f>EXP(-LN(2)/25)*AV160+(1-EXP(-LN(2)/25))/(LN(2)/25)*Calculateur!AQ161*Calculateur!AS161*VLOOKUP('Données projet'!$B$10,Paramètres!$A$1:$I$89,3,0)*0.475*44/12</f>
        <v>3.3131172546502023</v>
      </c>
      <c r="AW161" s="21">
        <f>EXP(-LN(2)/2)*AW160+(1-EXP(-LN(2)/2))/(LN(2)/2)*AQ161*AT161*VLOOKUP('Données projet'!$B$10,Paramètres!$A$1:$I$89,3,0)*0.475*44/12</f>
        <v>1.0727281159132169E-14</v>
      </c>
      <c r="AX161" s="21">
        <f t="shared" si="166"/>
        <v>32.789963784566851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195.76439999999985</v>
      </c>
      <c r="BF161" s="13">
        <f t="shared" si="167"/>
        <v>48.812154563023455</v>
      </c>
      <c r="BG161" s="20">
        <f t="shared" si="168"/>
        <v>425.9708325305989</v>
      </c>
      <c r="BH161" s="59">
        <f t="shared" si="116"/>
        <v>719.30416586393221</v>
      </c>
      <c r="BI161" s="59">
        <f ca="1">AVERAGE(OFFSET($BH$3,0,0,'Données projet'!$E$11+1,1))-AVERAGE(OFFSET($H$3,0,0,'Données projet'!$E$11+1,1))</f>
        <v>203.42120484957661</v>
      </c>
      <c r="BJ161" s="59">
        <f t="shared" si="146"/>
        <v>201.8090670543379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4.593196533006382</v>
      </c>
      <c r="BQ161" s="21">
        <f>EXP(-LN(2)/25)*BQ160+(1-EXP(-LN(2)/25))/(LN(2)/25)*Calculateur!BL161*Calculateur!BN161*VLOOKUP('Données projet'!$B$11,Paramètres!$A$1:$I$89,3,0)*0.475*44/12</f>
        <v>0.71630071261170114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5.3094972456180827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1">
        <f t="shared" si="140"/>
        <v>21.781294947825838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67">
        <f t="shared" si="110"/>
        <v>468.0700387007966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282.62919832217119</v>
      </c>
      <c r="T162" s="59">
        <f t="shared" si="142"/>
        <v>248.89638559192258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-6.3550942286383367E-14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277.73784710957608</v>
      </c>
      <c r="AO162" s="59">
        <f t="shared" si="144"/>
        <v>369.67177565548127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28.898823548566064</v>
      </c>
      <c r="AV162" s="21">
        <f>EXP(-LN(2)/25)*AV161+(1-EXP(-LN(2)/25))/(LN(2)/25)*Calculateur!AQ162*Calculateur!AS162*VLOOKUP('Données projet'!$B$10,Paramètres!$A$1:$I$89,3,0)*0.475*44/12</f>
        <v>3.2225198890925282</v>
      </c>
      <c r="AW162" s="21">
        <f>EXP(-LN(2)/2)*AW161+(1-EXP(-LN(2)/2))/(LN(2)/2)*AQ162*AT162*VLOOKUP('Données projet'!$B$10,Paramètres!$A$1:$I$89,3,0)*0.475*44/12</f>
        <v>7.5853332513170442E-15</v>
      </c>
      <c r="AX162" s="21">
        <f t="shared" si="166"/>
        <v>32.121343437658602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195.76439999999985</v>
      </c>
      <c r="BF162" s="13">
        <f t="shared" si="167"/>
        <v>48.812154563023455</v>
      </c>
      <c r="BG162" s="20">
        <f t="shared" si="168"/>
        <v>425.9708325305989</v>
      </c>
      <c r="BH162" s="59">
        <f t="shared" si="116"/>
        <v>719.30416586393221</v>
      </c>
      <c r="BI162" s="59">
        <f ca="1">AVERAGE(OFFSET($BH$3,0,0,'Données projet'!$E$11+1,1))-AVERAGE(OFFSET($H$3,0,0,'Données projet'!$E$11+1,1))</f>
        <v>203.42120484957661</v>
      </c>
      <c r="BJ162" s="59">
        <f t="shared" si="146"/>
        <v>201.8090670543379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4.5031267505673798</v>
      </c>
      <c r="BQ162" s="21">
        <f>EXP(-LN(2)/25)*BQ161+(1-EXP(-LN(2)/25))/(LN(2)/25)*Calculateur!BL162*Calculateur!BN162*VLOOKUP('Données projet'!$B$11,Paramètres!$A$1:$I$89,3,0)*0.475*44/12</f>
        <v>0.69671343195671687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5.1998401825240963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1">
        <f t="shared" si="140"/>
        <v>21.902294469237312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67">
        <f t="shared" si="110"/>
        <v>469.14116286725493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282.62919832217119</v>
      </c>
      <c r="T163" s="59">
        <f t="shared" si="142"/>
        <v>248.89638559192258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-6.3550942286383367E-14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277.73784710957608</v>
      </c>
      <c r="AO163" s="59">
        <f t="shared" si="144"/>
        <v>369.67177565548127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28.332135245320572</v>
      </c>
      <c r="AV163" s="21">
        <f>EXP(-LN(2)/25)*AV162+(1-EXP(-LN(2)/25))/(LN(2)/25)*Calculateur!AQ163*Calculateur!AS163*VLOOKUP('Données projet'!$B$10,Paramètres!$A$1:$I$89,3,0)*0.475*44/12</f>
        <v>3.1343999132603373</v>
      </c>
      <c r="AW163" s="21">
        <f>EXP(-LN(2)/2)*AW162+(1-EXP(-LN(2)/2))/(LN(2)/2)*AQ163*AT163*VLOOKUP('Données projet'!$B$10,Paramètres!$A$1:$I$89,3,0)*0.475*44/12</f>
        <v>5.3636405795660843E-15</v>
      </c>
      <c r="AX163" s="21">
        <f t="shared" si="166"/>
        <v>31.466535158580918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195.76439999999985</v>
      </c>
      <c r="BF163" s="13">
        <f t="shared" si="167"/>
        <v>48.812154563023455</v>
      </c>
      <c r="BG163" s="20">
        <f t="shared" si="168"/>
        <v>425.9708325305989</v>
      </c>
      <c r="BH163" s="59">
        <f t="shared" si="116"/>
        <v>719.30416586393221</v>
      </c>
      <c r="BI163" s="59">
        <f ca="1">AVERAGE(OFFSET($BH$3,0,0,'Données projet'!$E$11+1,1))-AVERAGE(OFFSET($H$3,0,0,'Données projet'!$E$11+1,1))</f>
        <v>203.42120484957661</v>
      </c>
      <c r="BJ163" s="59">
        <f t="shared" si="146"/>
        <v>201.8090670543379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4.4148231816248638</v>
      </c>
      <c r="BQ163" s="21">
        <f>EXP(-LN(2)/25)*BQ162+(1-EXP(-LN(2)/25))/(LN(2)/25)*Calculateur!BL163*Calculateur!BN163*VLOOKUP('Données projet'!$B$11,Paramètres!$A$1:$I$89,3,0)*0.475*44/12</f>
        <v>0.6776617665212934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5.0924849481461569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1">
        <f t="shared" si="140"/>
        <v>22.023205994903069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67">
        <f t="shared" si="110"/>
        <v>470.21213377445611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282.62919832217119</v>
      </c>
      <c r="T164" s="59">
        <f t="shared" si="142"/>
        <v>248.89638559192258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-6.3550942286383367E-14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277.73784710957608</v>
      </c>
      <c r="AO164" s="59">
        <f t="shared" si="144"/>
        <v>369.67177565548127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27.776559354055987</v>
      </c>
      <c r="AV164" s="21">
        <f>EXP(-LN(2)/25)*AV163+(1-EXP(-LN(2)/25))/(LN(2)/25)*Calculateur!AQ164*Calculateur!AS164*VLOOKUP('Données projet'!$B$10,Paramètres!$A$1:$I$89,3,0)*0.475*44/12</f>
        <v>3.0486895828013059</v>
      </c>
      <c r="AW164" s="21">
        <f>EXP(-LN(2)/2)*AW163+(1-EXP(-LN(2)/2))/(LN(2)/2)*AQ164*AT164*VLOOKUP('Données projet'!$B$10,Paramètres!$A$1:$I$89,3,0)*0.475*44/12</f>
        <v>3.7926666256585221E-15</v>
      </c>
      <c r="AX164" s="21">
        <f t="shared" si="166"/>
        <v>30.825248936857296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195.76439999999985</v>
      </c>
      <c r="BF164" s="13">
        <f t="shared" si="167"/>
        <v>48.812154563023455</v>
      </c>
      <c r="BG164" s="20">
        <f t="shared" si="168"/>
        <v>425.9708325305989</v>
      </c>
      <c r="BH164" s="59">
        <f t="shared" si="116"/>
        <v>719.30416586393221</v>
      </c>
      <c r="BI164" s="59">
        <f ca="1">AVERAGE(OFFSET($BH$3,0,0,'Données projet'!$E$11+1,1))-AVERAGE(OFFSET($H$3,0,0,'Données projet'!$E$11+1,1))</f>
        <v>203.42120484957661</v>
      </c>
      <c r="BJ164" s="59">
        <f t="shared" si="146"/>
        <v>201.8090670543379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4.3282511918094517</v>
      </c>
      <c r="BQ164" s="21">
        <f>EXP(-LN(2)/25)*BQ163+(1-EXP(-LN(2)/25))/(LN(2)/25)*Calculateur!BL164*Calculateur!BN164*VLOOKUP('Données projet'!$B$11,Paramètres!$A$1:$I$89,3,0)*0.475*44/12</f>
        <v>0.6591310698790851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4.9873822616885368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1">
        <f t="shared" si="140"/>
        <v>22.144030134787155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67">
        <f t="shared" si="110"/>
        <v>471.28295248475422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282.62919832217119</v>
      </c>
      <c r="T165" s="59">
        <f t="shared" si="142"/>
        <v>248.89638559192258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-6.3550942286383367E-14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277.73784710957608</v>
      </c>
      <c r="AO165" s="59">
        <f t="shared" si="144"/>
        <v>369.67177565548127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27.23187796715127</v>
      </c>
      <c r="AV165" s="21">
        <f>EXP(-LN(2)/25)*AV164+(1-EXP(-LN(2)/25))/(LN(2)/25)*Calculateur!AQ165*Calculateur!AS165*VLOOKUP('Données projet'!$B$10,Paramètres!$A$1:$I$89,3,0)*0.475*44/12</f>
        <v>2.965323005835987</v>
      </c>
      <c r="AW165" s="21">
        <f>EXP(-LN(2)/2)*AW164+(1-EXP(-LN(2)/2))/(LN(2)/2)*AQ165*AT165*VLOOKUP('Données projet'!$B$10,Paramètres!$A$1:$I$89,3,0)*0.475*44/12</f>
        <v>2.6818202897830422E-15</v>
      </c>
      <c r="AX165" s="21">
        <f t="shared" si="166"/>
        <v>30.197200972987261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195.76439999999985</v>
      </c>
      <c r="BF165" s="13">
        <f t="shared" si="167"/>
        <v>48.812154563023455</v>
      </c>
      <c r="BG165" s="20">
        <f t="shared" si="168"/>
        <v>425.9708325305989</v>
      </c>
      <c r="BH165" s="59">
        <f t="shared" si="116"/>
        <v>719.30416586393221</v>
      </c>
      <c r="BI165" s="59">
        <f ca="1">AVERAGE(OFFSET($BH$3,0,0,'Données projet'!$E$11+1,1))-AVERAGE(OFFSET($H$3,0,0,'Données projet'!$E$11+1,1))</f>
        <v>203.42120484957661</v>
      </c>
      <c r="BJ165" s="59">
        <f t="shared" si="146"/>
        <v>201.8090670543379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4.2433768259106195</v>
      </c>
      <c r="BQ165" s="21">
        <f>EXP(-LN(2)/25)*BQ164+(1-EXP(-LN(2)/25))/(LN(2)/25)*Calculateur!BL165*Calculateur!BN165*VLOOKUP('Données projet'!$B$11,Paramètres!$A$1:$I$89,3,0)*0.475*44/12</f>
        <v>0.64110709611104499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4.8844839220216647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1">
        <f t="shared" si="140"/>
        <v>22.264767490887625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67">
        <f t="shared" si="110"/>
        <v>472.3536200466292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282.62919832217119</v>
      </c>
      <c r="T166" s="59">
        <f t="shared" si="142"/>
        <v>248.89638559192258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-6.3550942286383367E-14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277.73784710957608</v>
      </c>
      <c r="AO166" s="59">
        <f t="shared" si="144"/>
        <v>369.67177565548127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26.697877450020911</v>
      </c>
      <c r="AV166" s="21">
        <f>EXP(-LN(2)/25)*AV165+(1-EXP(-LN(2)/25))/(LN(2)/25)*Calculateur!AQ166*Calculateur!AS166*VLOOKUP('Données projet'!$B$10,Paramètres!$A$1:$I$89,3,0)*0.475*44/12</f>
        <v>2.8842360923018422</v>
      </c>
      <c r="AW166" s="21">
        <f>EXP(-LN(2)/2)*AW165+(1-EXP(-LN(2)/2))/(LN(2)/2)*AQ166*AT166*VLOOKUP('Données projet'!$B$10,Paramètres!$A$1:$I$89,3,0)*0.475*44/12</f>
        <v>1.8963333128292611E-15</v>
      </c>
      <c r="AX166" s="21">
        <f t="shared" si="166"/>
        <v>29.582113542322755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195.76439999999985</v>
      </c>
      <c r="BF166" s="13">
        <f t="shared" si="167"/>
        <v>48.812154563023455</v>
      </c>
      <c r="BG166" s="20">
        <f t="shared" si="168"/>
        <v>425.9708325305989</v>
      </c>
      <c r="BH166" s="59">
        <f t="shared" si="116"/>
        <v>719.30416586393221</v>
      </c>
      <c r="BI166" s="59">
        <f ca="1">AVERAGE(OFFSET($BH$3,0,0,'Données projet'!$E$11+1,1))-AVERAGE(OFFSET($H$3,0,0,'Données projet'!$E$11+1,1))</f>
        <v>203.42120484957661</v>
      </c>
      <c r="BJ166" s="59">
        <f t="shared" si="146"/>
        <v>201.8090670543379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4.1601667945588119</v>
      </c>
      <c r="BQ166" s="21">
        <f>EXP(-LN(2)/25)*BQ165+(1-EXP(-LN(2)/25))/(LN(2)/25)*Calculateur!BL166*Calculateur!BN166*VLOOKUP('Données projet'!$B$11,Paramètres!$A$1:$I$89,3,0)*0.475*44/12</f>
        <v>0.6235759888535316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4.7837427834123432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1">
        <f t="shared" si="140"/>
        <v>22.385418657388872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67">
        <f t="shared" si="110"/>
        <v>473.42413749495222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282.62919832217119</v>
      </c>
      <c r="T167" s="59">
        <f t="shared" si="142"/>
        <v>248.89638559192258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-6.3550942286383367E-14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277.73784710957608</v>
      </c>
      <c r="AO167" s="59">
        <f t="shared" si="144"/>
        <v>369.67177565548127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26.174348357323325</v>
      </c>
      <c r="AV167" s="21">
        <f>EXP(-LN(2)/25)*AV166+(1-EXP(-LN(2)/25))/(LN(2)/25)*Calculateur!AQ167*Calculateur!AS167*VLOOKUP('Données projet'!$B$10,Paramètres!$A$1:$I$89,3,0)*0.475*44/12</f>
        <v>2.8053665046824641</v>
      </c>
      <c r="AW167" s="21">
        <f>EXP(-LN(2)/2)*AW166+(1-EXP(-LN(2)/2))/(LN(2)/2)*AQ167*AT167*VLOOKUP('Données projet'!$B$10,Paramètres!$A$1:$I$89,3,0)*0.475*44/12</f>
        <v>1.3409101448915211E-15</v>
      </c>
      <c r="AX167" s="21">
        <f t="shared" si="166"/>
        <v>28.979714862005789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195.76439999999985</v>
      </c>
      <c r="BF167" s="13">
        <f t="shared" si="167"/>
        <v>48.812154563023455</v>
      </c>
      <c r="BG167" s="20">
        <f t="shared" si="168"/>
        <v>425.9708325305989</v>
      </c>
      <c r="BH167" s="59">
        <f t="shared" si="116"/>
        <v>719.30416586393221</v>
      </c>
      <c r="BI167" s="59">
        <f ca="1">AVERAGE(OFFSET($BH$3,0,0,'Données projet'!$E$11+1,1))-AVERAGE(OFFSET($H$3,0,0,'Données projet'!$E$11+1,1))</f>
        <v>203.42120484957661</v>
      </c>
      <c r="BJ167" s="59">
        <f t="shared" si="146"/>
        <v>201.8090670543379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4.0785884611687058</v>
      </c>
      <c r="BQ167" s="21">
        <f>EXP(-LN(2)/25)*BQ166+(1-EXP(-LN(2)/25))/(LN(2)/25)*Calculateur!BL167*Calculateur!BN167*VLOOKUP('Données projet'!$B$11,Paramètres!$A$1:$I$89,3,0)*0.475*44/12</f>
        <v>0.60652427064589576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4.685112731814602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1">
        <f t="shared" si="140"/>
        <v>22.505984220809903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67">
        <f t="shared" si="110"/>
        <v>474.49450585124384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282.62919832217119</v>
      </c>
      <c r="T168" s="59">
        <f t="shared" si="142"/>
        <v>248.89638559192258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-6.3550942286383367E-14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277.73784710957608</v>
      </c>
      <c r="AO168" s="59">
        <f t="shared" si="144"/>
        <v>369.67177565548127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25.661085350812321</v>
      </c>
      <c r="AV168" s="21">
        <f>EXP(-LN(2)/25)*AV167+(1-EXP(-LN(2)/25))/(LN(2)/25)*Calculateur!AQ168*Calculateur!AS168*VLOOKUP('Données projet'!$B$10,Paramètres!$A$1:$I$89,3,0)*0.475*44/12</f>
        <v>2.7286536100841094</v>
      </c>
      <c r="AW168" s="21">
        <f>EXP(-LN(2)/2)*AW167+(1-EXP(-LN(2)/2))/(LN(2)/2)*AQ168*AT168*VLOOKUP('Données projet'!$B$10,Paramètres!$A$1:$I$89,3,0)*0.475*44/12</f>
        <v>9.4816665641463053E-16</v>
      </c>
      <c r="AX168" s="21">
        <f t="shared" si="166"/>
        <v>28.38973896089643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195.76439999999985</v>
      </c>
      <c r="BF168" s="13">
        <f t="shared" si="167"/>
        <v>48.812154563023455</v>
      </c>
      <c r="BG168" s="20">
        <f t="shared" si="168"/>
        <v>425.9708325305989</v>
      </c>
      <c r="BH168" s="59">
        <f t="shared" si="116"/>
        <v>719.30416586393221</v>
      </c>
      <c r="BI168" s="59">
        <f ca="1">AVERAGE(OFFSET($BH$3,0,0,'Données projet'!$E$11+1,1))-AVERAGE(OFFSET($H$3,0,0,'Données projet'!$E$11+1,1))</f>
        <v>203.42120484957661</v>
      </c>
      <c r="BJ168" s="59">
        <f t="shared" si="146"/>
        <v>201.8090670543379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3.9986098291385095</v>
      </c>
      <c r="BQ168" s="21">
        <f>EXP(-LN(2)/25)*BQ167+(1-EXP(-LN(2)/25))/(LN(2)/25)*Calculateur!BL168*Calculateur!BN168*VLOOKUP('Données projet'!$B$11,Paramètres!$A$1:$I$89,3,0)*0.475*44/12</f>
        <v>0.58993883256935853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4.5885486617078683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1">
        <f t="shared" si="140"/>
        <v>22.626464760149261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67">
        <f t="shared" si="110"/>
        <v>475.56472612392656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282.62919832217119</v>
      </c>
      <c r="T169" s="59">
        <f t="shared" si="142"/>
        <v>248.89638559192258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-6.3550942286383367E-14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277.73784710957608</v>
      </c>
      <c r="AO169" s="59">
        <f t="shared" si="144"/>
        <v>369.67177565548127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25.157887118799476</v>
      </c>
      <c r="AV169" s="21">
        <f>EXP(-LN(2)/25)*AV168+(1-EXP(-LN(2)/25))/(LN(2)/25)*Calculateur!AQ169*Calculateur!AS169*VLOOKUP('Données projet'!$B$10,Paramètres!$A$1:$I$89,3,0)*0.475*44/12</f>
        <v>2.6540384336227025</v>
      </c>
      <c r="AW169" s="21">
        <f>EXP(-LN(2)/2)*AW168+(1-EXP(-LN(2)/2))/(LN(2)/2)*AQ169*AT169*VLOOKUP('Données projet'!$B$10,Paramètres!$A$1:$I$89,3,0)*0.475*44/12</f>
        <v>6.7045507244576054E-16</v>
      </c>
      <c r="AX169" s="21">
        <f t="shared" si="166"/>
        <v>27.811925552422178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195.76439999999985</v>
      </c>
      <c r="BF169" s="13">
        <f t="shared" si="167"/>
        <v>48.812154563023455</v>
      </c>
      <c r="BG169" s="20">
        <f t="shared" si="168"/>
        <v>425.9708325305989</v>
      </c>
      <c r="BH169" s="59">
        <f t="shared" si="116"/>
        <v>719.30416586393221</v>
      </c>
      <c r="BI169" s="59">
        <f ca="1">AVERAGE(OFFSET($BH$3,0,0,'Données projet'!$E$11+1,1))-AVERAGE(OFFSET($H$3,0,0,'Données projet'!$E$11+1,1))</f>
        <v>203.42120484957661</v>
      </c>
      <c r="BJ169" s="59">
        <f t="shared" si="146"/>
        <v>201.8090670543379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3.9201995293002767</v>
      </c>
      <c r="BQ169" s="21">
        <f>EXP(-LN(2)/25)*BQ168+(1-EXP(-LN(2)/25))/(LN(2)/25)*Calculateur!BL169*Calculateur!BN169*VLOOKUP('Données projet'!$B$11,Paramètres!$A$1:$I$89,3,0)*0.475*44/12</f>
        <v>0.57380692416921453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4.494006453469491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1">
        <f t="shared" si="140"/>
        <v>22.746860847025957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67">
        <f t="shared" si="110"/>
        <v>476.63479930857011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282.62919832217119</v>
      </c>
      <c r="T170" s="59">
        <f t="shared" si="142"/>
        <v>248.89638559192258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-6.3550942286383367E-14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277.73784710957608</v>
      </c>
      <c r="AO170" s="59">
        <f t="shared" si="144"/>
        <v>369.67177565548127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24.664556297195787</v>
      </c>
      <c r="AV170" s="21">
        <f>EXP(-LN(2)/25)*AV169+(1-EXP(-LN(2)/25))/(LN(2)/25)*Calculateur!AQ170*Calculateur!AS170*VLOOKUP('Données projet'!$B$10,Paramètres!$A$1:$I$89,3,0)*0.475*44/12</f>
        <v>2.5814636130854742</v>
      </c>
      <c r="AW170" s="21">
        <f>EXP(-LN(2)/2)*AW169+(1-EXP(-LN(2)/2))/(LN(2)/2)*AQ170*AT170*VLOOKUP('Données projet'!$B$10,Paramètres!$A$1:$I$89,3,0)*0.475*44/12</f>
        <v>4.7408332820731527E-16</v>
      </c>
      <c r="AX170" s="21">
        <f t="shared" si="166"/>
        <v>27.246019910281262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195.76439999999985</v>
      </c>
      <c r="BF170" s="13">
        <f t="shared" si="167"/>
        <v>48.812154563023455</v>
      </c>
      <c r="BG170" s="20">
        <f t="shared" si="168"/>
        <v>425.9708325305989</v>
      </c>
      <c r="BH170" s="59">
        <f t="shared" si="116"/>
        <v>719.30416586393221</v>
      </c>
      <c r="BI170" s="59">
        <f ca="1">AVERAGE(OFFSET($BH$3,0,0,'Données projet'!$E$11+1,1))-AVERAGE(OFFSET($H$3,0,0,'Données projet'!$E$11+1,1))</f>
        <v>203.42120484957661</v>
      </c>
      <c r="BJ170" s="59">
        <f t="shared" si="146"/>
        <v>201.8090670543379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3.843326807616311</v>
      </c>
      <c r="BQ170" s="21">
        <f>EXP(-LN(2)/25)*BQ169+(1-EXP(-LN(2)/25))/(LN(2)/25)*Calculateur!BL170*Calculateur!BN170*VLOOKUP('Données projet'!$B$11,Paramètres!$A$1:$I$89,3,0)*0.475*44/12</f>
        <v>0.55811614365261264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4.4014429512689235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1">
        <f t="shared" si="140"/>
        <v>22.867173045817303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67">
        <f t="shared" si="110"/>
        <v>477.70472638813175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282.62919832217119</v>
      </c>
      <c r="T171" s="59">
        <f t="shared" si="142"/>
        <v>248.89638559192258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-6.3550942286383367E-14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277.73784710957608</v>
      </c>
      <c r="AO171" s="59">
        <f t="shared" si="144"/>
        <v>369.67177565548127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24.180899392101658</v>
      </c>
      <c r="AV171" s="21">
        <f>EXP(-LN(2)/25)*AV170+(1-EXP(-LN(2)/25))/(LN(2)/25)*Calculateur!AQ171*Calculateur!AS171*VLOOKUP('Données projet'!$B$10,Paramètres!$A$1:$I$89,3,0)*0.475*44/12</f>
        <v>2.5108733548323805</v>
      </c>
      <c r="AW171" s="21">
        <f>EXP(-LN(2)/2)*AW170+(1-EXP(-LN(2)/2))/(LN(2)/2)*AQ171*AT171*VLOOKUP('Données projet'!$B$10,Paramètres!$A$1:$I$89,3,0)*0.475*44/12</f>
        <v>3.3522753622288027E-16</v>
      </c>
      <c r="AX171" s="21">
        <f t="shared" si="166"/>
        <v>26.691772746934038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195.76439999999985</v>
      </c>
      <c r="BF171" s="13">
        <f t="shared" si="167"/>
        <v>48.812154563023455</v>
      </c>
      <c r="BG171" s="20">
        <f t="shared" si="168"/>
        <v>425.9708325305989</v>
      </c>
      <c r="BH171" s="59">
        <f t="shared" si="116"/>
        <v>719.30416586393221</v>
      </c>
      <c r="BI171" s="59">
        <f ca="1">AVERAGE(OFFSET($BH$3,0,0,'Données projet'!$E$11+1,1))-AVERAGE(OFFSET($H$3,0,0,'Données projet'!$E$11+1,1))</f>
        <v>203.42120484957661</v>
      </c>
      <c r="BJ171" s="59">
        <f t="shared" si="146"/>
        <v>201.8090670543379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3.7679615131168376</v>
      </c>
      <c r="BQ171" s="21">
        <f>EXP(-LN(2)/25)*BQ170+(1-EXP(-LN(2)/25))/(LN(2)/25)*Calculateur!BL171*Calculateur!BN171*VLOOKUP('Données projet'!$B$11,Paramètres!$A$1:$I$89,3,0)*0.475*44/12</f>
        <v>0.54285442835437958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4.3108159414712173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1">
        <f t="shared" si="140"/>
        <v>22.987401913793153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67">
        <f t="shared" si="110"/>
        <v>478.77450833318966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282.62919832217119</v>
      </c>
      <c r="T172" s="59">
        <f t="shared" si="142"/>
        <v>248.89638559192258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-6.3550942286383367E-14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277.73784710957608</v>
      </c>
      <c r="AO172" s="59">
        <f t="shared" si="144"/>
        <v>369.67177565548127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23.706726703914843</v>
      </c>
      <c r="AV172" s="21">
        <f>EXP(-LN(2)/25)*AV171+(1-EXP(-LN(2)/25))/(LN(2)/25)*Calculateur!AQ172*Calculateur!AS172*VLOOKUP('Données projet'!$B$10,Paramètres!$A$1:$I$89,3,0)*0.475*44/12</f>
        <v>2.4422133909033978</v>
      </c>
      <c r="AW172" s="21">
        <f>EXP(-LN(2)/2)*AW171+(1-EXP(-LN(2)/2))/(LN(2)/2)*AQ172*AT172*VLOOKUP('Données projet'!$B$10,Paramètres!$A$1:$I$89,3,0)*0.475*44/12</f>
        <v>2.3704166410365763E-16</v>
      </c>
      <c r="AX172" s="21">
        <f t="shared" si="166"/>
        <v>26.14894009481824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195.76439999999985</v>
      </c>
      <c r="BF172" s="13">
        <f t="shared" si="167"/>
        <v>48.812154563023455</v>
      </c>
      <c r="BG172" s="20">
        <f t="shared" si="168"/>
        <v>425.9708325305989</v>
      </c>
      <c r="BH172" s="59">
        <f t="shared" si="116"/>
        <v>719.30416586393221</v>
      </c>
      <c r="BI172" s="59">
        <f ca="1">AVERAGE(OFFSET($BH$3,0,0,'Données projet'!$E$11+1,1))-AVERAGE(OFFSET($H$3,0,0,'Données projet'!$E$11+1,1))</f>
        <v>203.42120484957661</v>
      </c>
      <c r="BJ172" s="59">
        <f t="shared" si="146"/>
        <v>201.8090670543379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3.6940740860742083</v>
      </c>
      <c r="BQ172" s="21">
        <f>EXP(-LN(2)/25)*BQ171+(1-EXP(-LN(2)/25))/(LN(2)/25)*Calculateur!BL172*Calculateur!BN172*VLOOKUP('Données projet'!$B$11,Paramètres!$A$1:$I$89,3,0)*0.475*44/12</f>
        <v>0.52801004546355534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4.2220841315377635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1">
        <f t="shared" si="140"/>
        <v>23.10754800124684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67">
        <f t="shared" si="110"/>
        <v>479.84414610217152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282.62919832217119</v>
      </c>
      <c r="T173" s="59">
        <f t="shared" si="142"/>
        <v>248.89638559192258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-6.3550942286383367E-14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277.73784710957608</v>
      </c>
      <c r="AO173" s="59">
        <f t="shared" si="144"/>
        <v>369.67177565548127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23.241852252926588</v>
      </c>
      <c r="AV173" s="21">
        <f>EXP(-LN(2)/25)*AV172+(1-EXP(-LN(2)/25))/(LN(2)/25)*Calculateur!AQ173*Calculateur!AS173*VLOOKUP('Données projet'!$B$10,Paramètres!$A$1:$I$89,3,0)*0.475*44/12</f>
        <v>2.3754309372987241</v>
      </c>
      <c r="AW173" s="21">
        <f>EXP(-LN(2)/2)*AW172+(1-EXP(-LN(2)/2))/(LN(2)/2)*AQ173*AT173*VLOOKUP('Données projet'!$B$10,Paramètres!$A$1:$I$89,3,0)*0.475*44/12</f>
        <v>1.6761376811144013E-16</v>
      </c>
      <c r="AX173" s="21">
        <f t="shared" si="166"/>
        <v>25.617283190225312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195.76439999999985</v>
      </c>
      <c r="BF173" s="13">
        <f t="shared" si="167"/>
        <v>48.812154563023455</v>
      </c>
      <c r="BG173" s="20">
        <f t="shared" si="168"/>
        <v>425.9708325305989</v>
      </c>
      <c r="BH173" s="59">
        <f t="shared" si="116"/>
        <v>719.30416586393221</v>
      </c>
      <c r="BI173" s="59">
        <f ca="1">AVERAGE(OFFSET($BH$3,0,0,'Données projet'!$E$11+1,1))-AVERAGE(OFFSET($H$3,0,0,'Données projet'!$E$11+1,1))</f>
        <v>203.42120484957661</v>
      </c>
      <c r="BJ173" s="59">
        <f t="shared" si="146"/>
        <v>201.8090670543379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3.6216355464090042</v>
      </c>
      <c r="BQ173" s="21">
        <f>EXP(-LN(2)/25)*BQ172+(1-EXP(-LN(2)/25))/(LN(2)/25)*Calculateur!BL173*Calculateur!BN173*VLOOKUP('Données projet'!$B$11,Paramètres!$A$1:$I$89,3,0)*0.475*44/12</f>
        <v>0.51357158300351291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4.1352071294125174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1">
        <f t="shared" si="140"/>
        <v>23.22761185162317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67">
        <f t="shared" si="110"/>
        <v>480.91364064157693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282.62919832217119</v>
      </c>
      <c r="T174" s="59">
        <f t="shared" si="142"/>
        <v>248.89638559192258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-6.3550942286383367E-14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277.73784710957608</v>
      </c>
      <c r="AO174" s="59">
        <f t="shared" si="144"/>
        <v>369.67177565548127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22.786093706376796</v>
      </c>
      <c r="AV174" s="21">
        <f>EXP(-LN(2)/25)*AV173+(1-EXP(-LN(2)/25))/(LN(2)/25)*Calculateur!AQ174*Calculateur!AS174*VLOOKUP('Données projet'!$B$10,Paramètres!$A$1:$I$89,3,0)*0.475*44/12</f>
        <v>2.3104746533998068</v>
      </c>
      <c r="AW174" s="21">
        <f>EXP(-LN(2)/2)*AW173+(1-EXP(-LN(2)/2))/(LN(2)/2)*AQ174*AT174*VLOOKUP('Données projet'!$B$10,Paramètres!$A$1:$I$89,3,0)*0.475*44/12</f>
        <v>1.1852083205182882E-16</v>
      </c>
      <c r="AX174" s="21">
        <f t="shared" si="166"/>
        <v>25.096568359776604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195.76439999999985</v>
      </c>
      <c r="BF174" s="13">
        <f t="shared" si="167"/>
        <v>48.812154563023455</v>
      </c>
      <c r="BG174" s="20">
        <f t="shared" si="168"/>
        <v>425.9708325305989</v>
      </c>
      <c r="BH174" s="59">
        <f t="shared" si="116"/>
        <v>719.30416586393221</v>
      </c>
      <c r="BI174" s="59">
        <f ca="1">AVERAGE(OFFSET($BH$3,0,0,'Données projet'!$E$11+1,1))-AVERAGE(OFFSET($H$3,0,0,'Données projet'!$E$11+1,1))</f>
        <v>203.42120484957661</v>
      </c>
      <c r="BJ174" s="59">
        <f t="shared" si="146"/>
        <v>201.8090670543379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3.5506174823234882</v>
      </c>
      <c r="BQ174" s="21">
        <f>EXP(-LN(2)/25)*BQ173+(1-EXP(-LN(2)/25))/(LN(2)/25)*Calculateur!BL174*Calculateur!BN174*VLOOKUP('Données projet'!$B$11,Paramètres!$A$1:$I$89,3,0)*0.475*44/12</f>
        <v>0.49952794105872611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4.0501454233822143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1">
        <f t="shared" si="140"/>
        <v>23.347594001643046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67">
        <f t="shared" si="110"/>
        <v>481.98299288619489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282.62919832217119</v>
      </c>
      <c r="T175" s="59">
        <f t="shared" si="142"/>
        <v>248.89638559192258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-6.3550942286383367E-14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277.73784710957608</v>
      </c>
      <c r="AO175" s="59">
        <f t="shared" si="144"/>
        <v>369.67177565548127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22.339272306939581</v>
      </c>
      <c r="AV175" s="21">
        <f>EXP(-LN(2)/25)*AV174+(1-EXP(-LN(2)/25))/(LN(2)/25)*Calculateur!AQ175*Calculateur!AS175*VLOOKUP('Données projet'!$B$10,Paramètres!$A$1:$I$89,3,0)*0.475*44/12</f>
        <v>2.2472946025000078</v>
      </c>
      <c r="AW175" s="21">
        <f>EXP(-LN(2)/2)*AW174+(1-EXP(-LN(2)/2))/(LN(2)/2)*AQ175*AT175*VLOOKUP('Données projet'!$B$10,Paramètres!$A$1:$I$89,3,0)*0.475*44/12</f>
        <v>8.3806884055720067E-17</v>
      </c>
      <c r="AX175" s="21">
        <f t="shared" si="166"/>
        <v>24.58656690943959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195.76439999999985</v>
      </c>
      <c r="BF175" s="13">
        <f t="shared" si="167"/>
        <v>48.812154563023455</v>
      </c>
      <c r="BG175" s="20">
        <f t="shared" si="168"/>
        <v>425.9708325305989</v>
      </c>
      <c r="BH175" s="59">
        <f t="shared" si="116"/>
        <v>719.30416586393221</v>
      </c>
      <c r="BI175" s="59">
        <f ca="1">AVERAGE(OFFSET($BH$3,0,0,'Données projet'!$E$11+1,1))-AVERAGE(OFFSET($H$3,0,0,'Données projet'!$E$11+1,1))</f>
        <v>203.42120484957661</v>
      </c>
      <c r="BJ175" s="59">
        <f t="shared" si="146"/>
        <v>201.8090670543379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3.4809920391579472</v>
      </c>
      <c r="BQ175" s="21">
        <f>EXP(-LN(2)/25)*BQ174+(1-EXP(-LN(2)/25))/(LN(2)/25)*Calculateur!BL175*Calculateur!BN175*VLOOKUP('Données projet'!$B$11,Paramètres!$A$1:$I$89,3,0)*0.475*44/12</f>
        <v>0.48586832324144252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3.9668603623993897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1">
        <f t="shared" si="140"/>
        <v>23.467494981425435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67">
        <f t="shared" si="110"/>
        <v>483.05220375931589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282.62919832217119</v>
      </c>
      <c r="T176" s="59">
        <f t="shared" si="142"/>
        <v>248.89638559192258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-6.3550942286383367E-14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277.73784710957608</v>
      </c>
      <c r="AO176" s="59">
        <f t="shared" si="144"/>
        <v>369.67177565548127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21.901212802611184</v>
      </c>
      <c r="AV176" s="21">
        <f>EXP(-LN(2)/25)*AV175+(1-EXP(-LN(2)/25))/(LN(2)/25)*Calculateur!AQ176*Calculateur!AS176*VLOOKUP('Données projet'!$B$10,Paramètres!$A$1:$I$89,3,0)*0.475*44/12</f>
        <v>2.1858422134145581</v>
      </c>
      <c r="AW176" s="21">
        <f>EXP(-LN(2)/2)*AW175+(1-EXP(-LN(2)/2))/(LN(2)/2)*AQ176*AT176*VLOOKUP('Données projet'!$B$10,Paramètres!$A$1:$I$89,3,0)*0.475*44/12</f>
        <v>5.9260416025914408E-17</v>
      </c>
      <c r="AX176" s="21">
        <f t="shared" si="166"/>
        <v>24.087055016025744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195.76439999999985</v>
      </c>
      <c r="BF176" s="13">
        <f t="shared" si="167"/>
        <v>48.812154563023455</v>
      </c>
      <c r="BG176" s="20">
        <f t="shared" si="168"/>
        <v>425.9708325305989</v>
      </c>
      <c r="BH176" s="59">
        <f t="shared" si="116"/>
        <v>719.30416586393221</v>
      </c>
      <c r="BI176" s="59">
        <f ca="1">AVERAGE(OFFSET($BH$3,0,0,'Données projet'!$E$11+1,1))-AVERAGE(OFFSET($H$3,0,0,'Données projet'!$E$11+1,1))</f>
        <v>203.42120484957661</v>
      </c>
      <c r="BJ176" s="59">
        <f t="shared" si="146"/>
        <v>201.8090670543379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3.4127319084655556</v>
      </c>
      <c r="BQ176" s="21">
        <f>EXP(-LN(2)/25)*BQ175+(1-EXP(-LN(2)/25))/(LN(2)/25)*Calculateur!BL176*Calculateur!BN176*VLOOKUP('Données projet'!$B$11,Paramètres!$A$1:$I$89,3,0)*0.475*44/12</f>
        <v>0.47258222839170061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3.8853141368572564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1">
        <f t="shared" si="140"/>
        <v>23.587315314606048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67">
        <f t="shared" si="110"/>
        <v>484.1212741729388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282.62919832217119</v>
      </c>
      <c r="T177" s="59">
        <f t="shared" si="142"/>
        <v>248.89638559192258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-6.3550942286383367E-14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277.73784710957608</v>
      </c>
      <c r="AO177" s="59">
        <f t="shared" si="144"/>
        <v>369.67177565548127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21.471743377972754</v>
      </c>
      <c r="AV177" s="21">
        <f>EXP(-LN(2)/25)*AV176+(1-EXP(-LN(2)/25))/(LN(2)/25)*Calculateur!AQ177*Calculateur!AS177*VLOOKUP('Données projet'!$B$10,Paramètres!$A$1:$I$89,3,0)*0.475*44/12</f>
        <v>2.1260702431402909</v>
      </c>
      <c r="AW177" s="21">
        <f>EXP(-LN(2)/2)*AW176+(1-EXP(-LN(2)/2))/(LN(2)/2)*AQ177*AT177*VLOOKUP('Données projet'!$B$10,Paramètres!$A$1:$I$89,3,0)*0.475*44/12</f>
        <v>4.1903442027860034E-17</v>
      </c>
      <c r="AX177" s="21">
        <f t="shared" si="166"/>
        <v>23.597813621113044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195.76439999999985</v>
      </c>
      <c r="BF177" s="13">
        <f t="shared" si="167"/>
        <v>48.812154563023455</v>
      </c>
      <c r="BG177" s="20">
        <f t="shared" si="168"/>
        <v>425.9708325305989</v>
      </c>
      <c r="BH177" s="59">
        <f t="shared" si="116"/>
        <v>719.30416586393221</v>
      </c>
      <c r="BI177" s="59">
        <f ca="1">AVERAGE(OFFSET($BH$3,0,0,'Données projet'!$E$11+1,1))-AVERAGE(OFFSET($H$3,0,0,'Données projet'!$E$11+1,1))</f>
        <v>203.42120484957661</v>
      </c>
      <c r="BJ177" s="59">
        <f t="shared" si="146"/>
        <v>201.8090670543379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3.3458103173014733</v>
      </c>
      <c r="BQ177" s="21">
        <f>EXP(-LN(2)/25)*BQ176+(1-EXP(-LN(2)/25))/(LN(2)/25)*Calculateur!BL177*Calculateur!BN177*VLOOKUP('Données projet'!$B$11,Paramètres!$A$1:$I$89,3,0)*0.475*44/12</f>
        <v>0.45965944250431029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3.8054697598057836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1">
        <f t="shared" si="140"/>
        <v>23.707055518453593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67">
        <f t="shared" si="110"/>
        <v>485.19020502797326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282.62919832217119</v>
      </c>
      <c r="T178" s="59">
        <f t="shared" si="142"/>
        <v>248.89638559192258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-6.3550942286383367E-14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277.73784710957608</v>
      </c>
      <c r="AO178" s="59">
        <f t="shared" si="144"/>
        <v>369.67177565548127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21.050695586800998</v>
      </c>
      <c r="AV178" s="21">
        <f>EXP(-LN(2)/25)*AV177+(1-EXP(-LN(2)/25))/(LN(2)/25)*Calculateur!AQ178*Calculateur!AS178*VLOOKUP('Données projet'!$B$10,Paramètres!$A$1:$I$89,3,0)*0.475*44/12</f>
        <v>2.0679327405364449</v>
      </c>
      <c r="AW178" s="21">
        <f>EXP(-LN(2)/2)*AW177+(1-EXP(-LN(2)/2))/(LN(2)/2)*AQ178*AT178*VLOOKUP('Données projet'!$B$10,Paramètres!$A$1:$I$89,3,0)*0.475*44/12</f>
        <v>2.9630208012957204E-17</v>
      </c>
      <c r="AX178" s="21">
        <f t="shared" si="166"/>
        <v>23.118628327337444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195.76439999999985</v>
      </c>
      <c r="BF178" s="13">
        <f t="shared" si="167"/>
        <v>48.812154563023455</v>
      </c>
      <c r="BG178" s="20">
        <f t="shared" si="168"/>
        <v>425.9708325305989</v>
      </c>
      <c r="BH178" s="59">
        <f t="shared" si="116"/>
        <v>719.30416586393221</v>
      </c>
      <c r="BI178" s="59">
        <f ca="1">AVERAGE(OFFSET($BH$3,0,0,'Données projet'!$E$11+1,1))-AVERAGE(OFFSET($H$3,0,0,'Données projet'!$E$11+1,1))</f>
        <v>203.42120484957661</v>
      </c>
      <c r="BJ178" s="59">
        <f t="shared" si="146"/>
        <v>201.8090670543379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3.2802010177219785</v>
      </c>
      <c r="BQ178" s="21">
        <f>EXP(-LN(2)/25)*BQ177+(1-EXP(-LN(2)/25))/(LN(2)/25)*Calculateur!BL178*Calculateur!BN178*VLOOKUP('Données projet'!$B$11,Paramètres!$A$1:$I$89,3,0)*0.475*44/12</f>
        <v>0.44709003087659038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3.7272910485985689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1">
        <f t="shared" si="140"/>
        <v>23.82671610398301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67">
        <f t="shared" si="110"/>
        <v>486.25899721443699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282.62919832217119</v>
      </c>
      <c r="T179" s="59">
        <f t="shared" si="142"/>
        <v>248.89638559192258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-6.3550942286383367E-14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277.73784710957608</v>
      </c>
      <c r="AO179" s="59">
        <f t="shared" si="144"/>
        <v>369.67177565548127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20.637904286000328</v>
      </c>
      <c r="AV179" s="21">
        <f>EXP(-LN(2)/25)*AV178+(1-EXP(-LN(2)/25))/(LN(2)/25)*Calculateur!AQ179*Calculateur!AS179*VLOOKUP('Données projet'!$B$10,Paramètres!$A$1:$I$89,3,0)*0.475*44/12</f>
        <v>2.0113850109986195</v>
      </c>
      <c r="AW179" s="21">
        <f>EXP(-LN(2)/2)*AW178+(1-EXP(-LN(2)/2))/(LN(2)/2)*AQ179*AT179*VLOOKUP('Données projet'!$B$10,Paramètres!$A$1:$I$89,3,0)*0.475*44/12</f>
        <v>2.0951721013930017E-17</v>
      </c>
      <c r="AX179" s="21">
        <f t="shared" si="166"/>
        <v>22.649289296998948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195.76439999999985</v>
      </c>
      <c r="BF179" s="13">
        <f t="shared" si="167"/>
        <v>48.812154563023455</v>
      </c>
      <c r="BG179" s="20">
        <f t="shared" si="168"/>
        <v>425.9708325305989</v>
      </c>
      <c r="BH179" s="59">
        <f t="shared" si="116"/>
        <v>719.30416586393221</v>
      </c>
      <c r="BI179" s="59">
        <f ca="1">AVERAGE(OFFSET($BH$3,0,0,'Données projet'!$E$11+1,1))-AVERAGE(OFFSET($H$3,0,0,'Données projet'!$E$11+1,1))</f>
        <v>203.42120484957661</v>
      </c>
      <c r="BJ179" s="59">
        <f t="shared" si="146"/>
        <v>201.8090670543379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3.2158782764895162</v>
      </c>
      <c r="BQ179" s="21">
        <f>EXP(-LN(2)/25)*BQ178+(1-EXP(-LN(2)/25))/(LN(2)/25)*Calculateur!BL179*Calculateur!BN179*VLOOKUP('Données projet'!$B$11,Paramètres!$A$1:$I$89,3,0)*0.475*44/12</f>
        <v>0.43486433047082712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3.6507426069603435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1">
        <f t="shared" si="140"/>
        <v>23.946297576066275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67">
        <f t="shared" si="110"/>
        <v>487.32765161164866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282.62919832217119</v>
      </c>
      <c r="T180" s="59">
        <f t="shared" si="142"/>
        <v>248.89638559192258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-6.3550942286383367E-14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277.73784710957608</v>
      </c>
      <c r="AO180" s="59">
        <f t="shared" si="144"/>
        <v>369.67177565548127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20.233207570830526</v>
      </c>
      <c r="AV180" s="21">
        <f>EXP(-LN(2)/25)*AV179+(1-EXP(-LN(2)/25))/(LN(2)/25)*Calculateur!AQ180*Calculateur!AS180*VLOOKUP('Données projet'!$B$10,Paramètres!$A$1:$I$89,3,0)*0.475*44/12</f>
        <v>1.9563835820987217</v>
      </c>
      <c r="AW180" s="21">
        <f>EXP(-LN(2)/2)*AW179+(1-EXP(-LN(2)/2))/(LN(2)/2)*AQ180*AT180*VLOOKUP('Données projet'!$B$10,Paramètres!$A$1:$I$89,3,0)*0.475*44/12</f>
        <v>1.4815104006478602E-17</v>
      </c>
      <c r="AX180" s="21">
        <f t="shared" si="166"/>
        <v>22.189591152929246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195.76439999999985</v>
      </c>
      <c r="BF180" s="13">
        <f t="shared" si="167"/>
        <v>48.812154563023455</v>
      </c>
      <c r="BG180" s="20">
        <f t="shared" si="168"/>
        <v>425.9708325305989</v>
      </c>
      <c r="BH180" s="59">
        <f t="shared" si="116"/>
        <v>719.30416586393221</v>
      </c>
      <c r="BI180" s="59">
        <f ca="1">AVERAGE(OFFSET($BH$3,0,0,'Données projet'!$E$11+1,1))-AVERAGE(OFFSET($H$3,0,0,'Données projet'!$E$11+1,1))</f>
        <v>203.42120484957661</v>
      </c>
      <c r="BJ180" s="59">
        <f t="shared" si="146"/>
        <v>201.8090670543379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3.152816864979624</v>
      </c>
      <c r="BQ180" s="21">
        <f>EXP(-LN(2)/25)*BQ179+(1-EXP(-LN(2)/25))/(LN(2)/25)*Calculateur!BL180*Calculateur!BN180*VLOOKUP('Données projet'!$B$11,Paramètres!$A$1:$I$89,3,0)*0.475*44/12</f>
        <v>0.42297294248558109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3.5757898074652053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1">
        <f t="shared" si="140"/>
        <v>24.065800433540435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67">
        <f t="shared" si="110"/>
        <v>488.39616908841617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282.62919832217119</v>
      </c>
      <c r="T181" s="59">
        <f t="shared" si="142"/>
        <v>248.89638559192258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-6.3550942286383367E-14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277.73784710957608</v>
      </c>
      <c r="AO181" s="59">
        <f t="shared" si="144"/>
        <v>369.67177565548127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19.83644671140458</v>
      </c>
      <c r="AV181" s="21">
        <f>EXP(-LN(2)/25)*AV180+(1-EXP(-LN(2)/25))/(LN(2)/25)*Calculateur!AQ181*Calculateur!AS181*VLOOKUP('Données projet'!$B$10,Paramètres!$A$1:$I$89,3,0)*0.475*44/12</f>
        <v>1.9028861701644908</v>
      </c>
      <c r="AW181" s="21">
        <f>EXP(-LN(2)/2)*AW180+(1-EXP(-LN(2)/2))/(LN(2)/2)*AQ181*AT181*VLOOKUP('Données projet'!$B$10,Paramètres!$A$1:$I$89,3,0)*0.475*44/12</f>
        <v>1.0475860506965008E-17</v>
      </c>
      <c r="AX181" s="21">
        <f t="shared" si="166"/>
        <v>21.739332881569069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195.76439999999985</v>
      </c>
      <c r="BF181" s="13">
        <f t="shared" si="167"/>
        <v>48.812154563023455</v>
      </c>
      <c r="BG181" s="20">
        <f t="shared" si="168"/>
        <v>425.9708325305989</v>
      </c>
      <c r="BH181" s="59">
        <f t="shared" si="116"/>
        <v>719.30416586393221</v>
      </c>
      <c r="BI181" s="59">
        <f ca="1">AVERAGE(OFFSET($BH$3,0,0,'Données projet'!$E$11+1,1))-AVERAGE(OFFSET($H$3,0,0,'Données projet'!$E$11+1,1))</f>
        <v>203.42120484957661</v>
      </c>
      <c r="BJ181" s="59">
        <f t="shared" si="146"/>
        <v>201.8090670543379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3.0909920492857781</v>
      </c>
      <c r="BQ181" s="21">
        <f>EXP(-LN(2)/25)*BQ180+(1-EXP(-LN(2)/25))/(LN(2)/25)*Calculateur!BL181*Calculateur!BN181*VLOOKUP('Données projet'!$B$11,Paramètres!$A$1:$I$89,3,0)*0.475*44/12</f>
        <v>0.41140672513013254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3.5023987744159104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1">
        <f t="shared" si="140"/>
        <v>24.185225169313263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67">
        <f t="shared" si="110"/>
        <v>489.46455050322049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282.62919832217119</v>
      </c>
      <c r="T182" s="59">
        <f t="shared" si="142"/>
        <v>248.89638559192258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-6.3550942286383367E-14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277.73784710957608</v>
      </c>
      <c r="AO182" s="59">
        <f t="shared" si="144"/>
        <v>369.67177565548127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19.44746609043175</v>
      </c>
      <c r="AV182" s="21">
        <f>EXP(-LN(2)/25)*AV181+(1-EXP(-LN(2)/25))/(LN(2)/25)*Calculateur!AQ182*Calculateur!AS182*VLOOKUP('Données projet'!$B$10,Paramètres!$A$1:$I$89,3,0)*0.475*44/12</f>
        <v>1.8508516477729082</v>
      </c>
      <c r="AW182" s="21">
        <f>EXP(-LN(2)/2)*AW181+(1-EXP(-LN(2)/2))/(LN(2)/2)*AQ182*AT182*VLOOKUP('Données projet'!$B$10,Paramètres!$A$1:$I$89,3,0)*0.475*44/12</f>
        <v>7.407552003239301E-18</v>
      </c>
      <c r="AX182" s="21">
        <f t="shared" si="166"/>
        <v>21.298317738204659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195.76439999999985</v>
      </c>
      <c r="BF182" s="13">
        <f t="shared" si="167"/>
        <v>48.812154563023455</v>
      </c>
      <c r="BG182" s="20">
        <f t="shared" si="168"/>
        <v>425.9708325305989</v>
      </c>
      <c r="BH182" s="59">
        <f t="shared" si="116"/>
        <v>719.30416586393221</v>
      </c>
      <c r="BI182" s="59">
        <f ca="1">AVERAGE(OFFSET($BH$3,0,0,'Données projet'!$E$11+1,1))-AVERAGE(OFFSET($H$3,0,0,'Données projet'!$E$11+1,1))</f>
        <v>203.42120484957661</v>
      </c>
      <c r="BJ182" s="59">
        <f t="shared" si="146"/>
        <v>201.8090670543379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3.0303795805182743</v>
      </c>
      <c r="BQ182" s="21">
        <f>EXP(-LN(2)/25)*BQ181+(1-EXP(-LN(2)/25))/(LN(2)/25)*Calculateur!BL182*Calculateur!BN182*VLOOKUP('Données projet'!$B$11,Paramètres!$A$1:$I$89,3,0)*0.475*44/12</f>
        <v>0.40015678659650966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3.4305363671147839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1">
        <f t="shared" si="140"/>
        <v>24.30457227046648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67">
        <f t="shared" si="110"/>
        <v>490.53279670439571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282.62919832217119</v>
      </c>
      <c r="T183" s="59">
        <f t="shared" si="142"/>
        <v>248.89638559192258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-6.3550942286383367E-14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277.73784710957608</v>
      </c>
      <c r="AO183" s="59">
        <f t="shared" si="144"/>
        <v>369.67177565548127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19.066113142181443</v>
      </c>
      <c r="AV183" s="21">
        <f>EXP(-LN(2)/25)*AV182+(1-EXP(-LN(2)/25))/(LN(2)/25)*Calculateur!AQ183*Calculateur!AS183*VLOOKUP('Données projet'!$B$10,Paramètres!$A$1:$I$89,3,0)*0.475*44/12</f>
        <v>1.8002400121325002</v>
      </c>
      <c r="AW183" s="21">
        <f>EXP(-LN(2)/2)*AW182+(1-EXP(-LN(2)/2))/(LN(2)/2)*AQ183*AT183*VLOOKUP('Données projet'!$B$10,Paramètres!$A$1:$I$89,3,0)*0.475*44/12</f>
        <v>5.2379302534825042E-18</v>
      </c>
      <c r="AX183" s="21">
        <f t="shared" si="166"/>
        <v>20.866353154313945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195.76439999999985</v>
      </c>
      <c r="BF183" s="13">
        <f t="shared" si="167"/>
        <v>48.812154563023455</v>
      </c>
      <c r="BG183" s="20">
        <f t="shared" si="168"/>
        <v>425.9708325305989</v>
      </c>
      <c r="BH183" s="59">
        <f t="shared" si="116"/>
        <v>719.30416586393221</v>
      </c>
      <c r="BI183" s="59">
        <f ca="1">AVERAGE(OFFSET($BH$3,0,0,'Données projet'!$E$11+1,1))-AVERAGE(OFFSET($H$3,0,0,'Données projet'!$E$11+1,1))</f>
        <v>203.42120484957661</v>
      </c>
      <c r="BJ183" s="59">
        <f t="shared" si="146"/>
        <v>201.8090670543379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2.9709556852933456</v>
      </c>
      <c r="BQ183" s="21">
        <f>EXP(-LN(2)/25)*BQ182+(1-EXP(-LN(2)/25))/(LN(2)/25)*Calculateur!BL183*Calculateur!BN183*VLOOKUP('Données projet'!$B$11,Paramètres!$A$1:$I$89,3,0)*0.475*44/12</f>
        <v>0.38921447822369726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3.3601701635170427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1">
        <f t="shared" si="140"/>
        <v>24.42384221835654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67">
        <f t="shared" si="110"/>
        <v>491.6009085303042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282.62919832217119</v>
      </c>
      <c r="T184" s="59">
        <f t="shared" si="142"/>
        <v>248.89638559192258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-6.3550942286383367E-14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277.73784710957608</v>
      </c>
      <c r="AO184" s="59">
        <f t="shared" si="144"/>
        <v>369.67177565548127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18.692238292643996</v>
      </c>
      <c r="AV184" s="21">
        <f>EXP(-LN(2)/25)*AV183+(1-EXP(-LN(2)/25))/(LN(2)/25)*Calculateur!AQ184*Calculateur!AS184*VLOOKUP('Données projet'!$B$10,Paramètres!$A$1:$I$89,3,0)*0.475*44/12</f>
        <v>1.7510123543302292</v>
      </c>
      <c r="AW184" s="21">
        <f>EXP(-LN(2)/2)*AW183+(1-EXP(-LN(2)/2))/(LN(2)/2)*AQ184*AT184*VLOOKUP('Données projet'!$B$10,Paramètres!$A$1:$I$89,3,0)*0.475*44/12</f>
        <v>3.7037760016196505E-18</v>
      </c>
      <c r="AX184" s="21">
        <f t="shared" si="166"/>
        <v>20.443250646974224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195.76439999999985</v>
      </c>
      <c r="BF184" s="13">
        <f t="shared" si="167"/>
        <v>48.812154563023455</v>
      </c>
      <c r="BG184" s="20">
        <f t="shared" si="168"/>
        <v>425.9708325305989</v>
      </c>
      <c r="BH184" s="59">
        <f t="shared" si="116"/>
        <v>719.30416586393221</v>
      </c>
      <c r="BI184" s="59">
        <f ca="1">AVERAGE(OFFSET($BH$3,0,0,'Données projet'!$E$11+1,1))-AVERAGE(OFFSET($H$3,0,0,'Données projet'!$E$11+1,1))</f>
        <v>203.42120484957661</v>
      </c>
      <c r="BJ184" s="59">
        <f t="shared" si="146"/>
        <v>201.8090670543379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2.9126970564087808</v>
      </c>
      <c r="BQ184" s="21">
        <f>EXP(-LN(2)/25)*BQ183+(1-EXP(-LN(2)/25))/(LN(2)/25)*Calculateur!BL184*Calculateur!BN184*VLOOKUP('Données projet'!$B$11,Paramètres!$A$1:$I$89,3,0)*0.475*44/12</f>
        <v>0.37857138784877042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3.2912684442575513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1">
        <f t="shared" si="140"/>
        <v>24.543035488713222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67">
        <f t="shared" si="110"/>
        <v>492.66888680950876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282.62919832217119</v>
      </c>
      <c r="T185" s="59">
        <f t="shared" si="142"/>
        <v>248.89638559192258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-6.3550942286383367E-14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277.73784710957608</v>
      </c>
      <c r="AO185" s="59">
        <f t="shared" si="144"/>
        <v>369.67177565548127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18.325694900864836</v>
      </c>
      <c r="AV185" s="21">
        <f>EXP(-LN(2)/25)*AV184+(1-EXP(-LN(2)/25))/(LN(2)/25)*Calculateur!AQ185*Calculateur!AS185*VLOOKUP('Données projet'!$B$10,Paramètres!$A$1:$I$89,3,0)*0.475*44/12</f>
        <v>1.7031308294193312</v>
      </c>
      <c r="AW185" s="21">
        <f>EXP(-LN(2)/2)*AW184+(1-EXP(-LN(2)/2))/(LN(2)/2)*AQ185*AT185*VLOOKUP('Données projet'!$B$10,Paramètres!$A$1:$I$89,3,0)*0.475*44/12</f>
        <v>2.6189651267412521E-18</v>
      </c>
      <c r="AX185" s="21">
        <f t="shared" si="166"/>
        <v>20.028825730284169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195.76439999999985</v>
      </c>
      <c r="BF185" s="13">
        <f t="shared" si="167"/>
        <v>48.812154563023455</v>
      </c>
      <c r="BG185" s="20">
        <f t="shared" si="168"/>
        <v>425.9708325305989</v>
      </c>
      <c r="BH185" s="59">
        <f t="shared" si="116"/>
        <v>719.30416586393221</v>
      </c>
      <c r="BI185" s="59">
        <f ca="1">AVERAGE(OFFSET($BH$3,0,0,'Données projet'!$E$11+1,1))-AVERAGE(OFFSET($H$3,0,0,'Données projet'!$E$11+1,1))</f>
        <v>203.42120484957661</v>
      </c>
      <c r="BJ185" s="59">
        <f t="shared" si="146"/>
        <v>201.8090670543379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2.8555808437023873</v>
      </c>
      <c r="BQ185" s="21">
        <f>EXP(-LN(2)/25)*BQ184+(1-EXP(-LN(2)/25))/(LN(2)/25)*Calculateur!BL185*Calculateur!BN185*VLOOKUP('Données projet'!$B$11,Paramètres!$A$1:$I$89,3,0)*0.475*44/12</f>
        <v>0.36821933333984175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3.2238001770422291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1">
        <f t="shared" si="140"/>
        <v>24.662152551735971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67">
        <f t="shared" si="110"/>
        <v>493.7367323609401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282.62919832217119</v>
      </c>
      <c r="T186" s="59">
        <f t="shared" si="142"/>
        <v>248.89638559192258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-6.3550942286383367E-14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277.73784710957608</v>
      </c>
      <c r="AO186" s="59">
        <f t="shared" si="144"/>
        <v>369.67177565548127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17.966339201429072</v>
      </c>
      <c r="AV186" s="21">
        <f>EXP(-LN(2)/25)*AV185+(1-EXP(-LN(2)/25))/(LN(2)/25)*Calculateur!AQ186*Calculateur!AS186*VLOOKUP('Données projet'!$B$10,Paramètres!$A$1:$I$89,3,0)*0.475*44/12</f>
        <v>1.6565586273251018</v>
      </c>
      <c r="AW186" s="21">
        <f>EXP(-LN(2)/2)*AW185+(1-EXP(-LN(2)/2))/(LN(2)/2)*AQ186*AT186*VLOOKUP('Données projet'!$B$10,Paramètres!$A$1:$I$89,3,0)*0.475*44/12</f>
        <v>1.8518880008098253E-18</v>
      </c>
      <c r="AX186" s="21">
        <f t="shared" si="166"/>
        <v>19.622897828754173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195.76439999999985</v>
      </c>
      <c r="BF186" s="13">
        <f t="shared" si="167"/>
        <v>48.812154563023455</v>
      </c>
      <c r="BG186" s="20">
        <f t="shared" si="168"/>
        <v>425.9708325305989</v>
      </c>
      <c r="BH186" s="59">
        <f t="shared" si="116"/>
        <v>719.30416586393221</v>
      </c>
      <c r="BI186" s="59">
        <f ca="1">AVERAGE(OFFSET($BH$3,0,0,'Données projet'!$E$11+1,1))-AVERAGE(OFFSET($H$3,0,0,'Données projet'!$E$11+1,1))</f>
        <v>203.42120484957661</v>
      </c>
      <c r="BJ186" s="59">
        <f t="shared" si="146"/>
        <v>201.8090670543379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2.7995846450897162</v>
      </c>
      <c r="BQ186" s="21">
        <f>EXP(-LN(2)/25)*BQ185+(1-EXP(-LN(2)/25))/(LN(2)/25)*Calculateur!BL186*Calculateur!BN186*VLOOKUP('Données projet'!$B$11,Paramètres!$A$1:$I$89,3,0)*0.475*44/12</f>
        <v>0.35815035630585063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3.157735001395567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1">
        <f t="shared" si="140"/>
        <v>24.781193872187952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67">
        <f t="shared" si="110"/>
        <v>494.80444599406064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282.62919832217119</v>
      </c>
      <c r="T187" s="59">
        <f t="shared" si="142"/>
        <v>248.89638559192258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-6.3550942286383367E-14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277.73784710957608</v>
      </c>
      <c r="AO187" s="59">
        <f t="shared" si="144"/>
        <v>369.67177565548127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17.614030248073909</v>
      </c>
      <c r="AV187" s="21">
        <f>EXP(-LN(2)/25)*AV186+(1-EXP(-LN(2)/25))/(LN(2)/25)*Calculateur!AQ187*Calculateur!AS187*VLOOKUP('Données projet'!$B$10,Paramètres!$A$1:$I$89,3,0)*0.475*44/12</f>
        <v>1.6112599445462648</v>
      </c>
      <c r="AW187" s="21">
        <f>EXP(-LN(2)/2)*AW186+(1-EXP(-LN(2)/2))/(LN(2)/2)*AQ187*AT187*VLOOKUP('Données projet'!$B$10,Paramètres!$A$1:$I$89,3,0)*0.475*44/12</f>
        <v>1.3094825633706261E-18</v>
      </c>
      <c r="AX187" s="21">
        <f t="shared" si="166"/>
        <v>19.225290192620175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195.76439999999985</v>
      </c>
      <c r="BF187" s="13">
        <f t="shared" si="167"/>
        <v>48.812154563023455</v>
      </c>
      <c r="BG187" s="20">
        <f t="shared" si="168"/>
        <v>425.9708325305989</v>
      </c>
      <c r="BH187" s="59">
        <f t="shared" si="116"/>
        <v>719.30416586393221</v>
      </c>
      <c r="BI187" s="59">
        <f ca="1">AVERAGE(OFFSET($BH$3,0,0,'Données projet'!$E$11+1,1))-AVERAGE(OFFSET($H$3,0,0,'Données projet'!$E$11+1,1))</f>
        <v>203.42120484957661</v>
      </c>
      <c r="BJ187" s="59">
        <f t="shared" si="146"/>
        <v>201.8090670543379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2.7446864977775309</v>
      </c>
      <c r="BQ187" s="21">
        <f>EXP(-LN(2)/25)*BQ186+(1-EXP(-LN(2)/25))/(LN(2)/25)*Calculateur!BL187*Calculateur!BN187*VLOOKUP('Données projet'!$B$11,Paramètres!$A$1:$I$89,3,0)*0.475*44/12</f>
        <v>0.34835671597835849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3.0930432137558892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1">
        <f t="shared" si="140"/>
        <v>24.900159909488185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67">
        <f t="shared" si="110"/>
        <v>495.8720285090252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282.62919832217119</v>
      </c>
      <c r="T188" s="59">
        <f t="shared" si="142"/>
        <v>248.89638559192258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-6.3550942286383367E-14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277.73784710957608</v>
      </c>
      <c r="AO188" s="59">
        <f t="shared" si="144"/>
        <v>369.67177565548127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17.268629858406801</v>
      </c>
      <c r="AV188" s="21">
        <f>EXP(-LN(2)/25)*AV187+(1-EXP(-LN(2)/25))/(LN(2)/25)*Calculateur!AQ188*Calculateur!AS188*VLOOKUP('Données projet'!$B$10,Paramètres!$A$1:$I$89,3,0)*0.475*44/12</f>
        <v>1.5671999566301693</v>
      </c>
      <c r="AW188" s="21">
        <f>EXP(-LN(2)/2)*AW187+(1-EXP(-LN(2)/2))/(LN(2)/2)*AQ188*AT188*VLOOKUP('Données projet'!$B$10,Paramètres!$A$1:$I$89,3,0)*0.475*44/12</f>
        <v>9.2594400040491263E-19</v>
      </c>
      <c r="AX188" s="21">
        <f t="shared" si="166"/>
        <v>18.83582981503697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195.76439999999985</v>
      </c>
      <c r="BF188" s="13">
        <f t="shared" si="167"/>
        <v>48.812154563023455</v>
      </c>
      <c r="BG188" s="20">
        <f t="shared" si="168"/>
        <v>425.9708325305989</v>
      </c>
      <c r="BH188" s="59">
        <f t="shared" si="116"/>
        <v>719.30416586393221</v>
      </c>
      <c r="BI188" s="59">
        <f ca="1">AVERAGE(OFFSET($BH$3,0,0,'Données projet'!$E$11+1,1))-AVERAGE(OFFSET($H$3,0,0,'Données projet'!$E$11+1,1))</f>
        <v>203.42120484957661</v>
      </c>
      <c r="BJ188" s="59">
        <f t="shared" si="146"/>
        <v>201.8090670543379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2.6908648696495741</v>
      </c>
      <c r="BQ188" s="21">
        <f>EXP(-LN(2)/25)*BQ187+(1-EXP(-LN(2)/25))/(LN(2)/25)*Calculateur!BL188*Calculateur!BN188*VLOOKUP('Données projet'!$B$11,Paramètres!$A$1:$I$89,3,0)*0.475*44/12</f>
        <v>0.33883088326064675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3.0296957529102206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1">
        <f t="shared" si="140"/>
        <v>25.019051117801563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67">
        <f t="shared" si="110"/>
        <v>496.93948069683768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282.62919832217119</v>
      </c>
      <c r="T189" s="59">
        <f t="shared" si="142"/>
        <v>248.89638559192258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-6.3550942286383367E-14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277.73784710957608</v>
      </c>
      <c r="AO189" s="59">
        <f t="shared" si="144"/>
        <v>369.67177565548127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16.930002559707628</v>
      </c>
      <c r="AV189" s="21">
        <f>EXP(-LN(2)/25)*AV188+(1-EXP(-LN(2)/25))/(LN(2)/25)*Calculateur!AQ189*Calculateur!AS189*VLOOKUP('Données projet'!$B$10,Paramètres!$A$1:$I$89,3,0)*0.475*44/12</f>
        <v>1.5243447914006536</v>
      </c>
      <c r="AW189" s="21">
        <f>EXP(-LN(2)/2)*AW188+(1-EXP(-LN(2)/2))/(LN(2)/2)*AQ189*AT189*VLOOKUP('Données projet'!$B$10,Paramètres!$A$1:$I$89,3,0)*0.475*44/12</f>
        <v>6.5474128168531303E-19</v>
      </c>
      <c r="AX189" s="21">
        <f t="shared" si="166"/>
        <v>18.454347351108282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195.76439999999985</v>
      </c>
      <c r="BF189" s="13">
        <f t="shared" si="167"/>
        <v>48.812154563023455</v>
      </c>
      <c r="BG189" s="20">
        <f t="shared" si="168"/>
        <v>425.9708325305989</v>
      </c>
      <c r="BH189" s="59">
        <f t="shared" si="116"/>
        <v>719.30416586393221</v>
      </c>
      <c r="BI189" s="59">
        <f ca="1">AVERAGE(OFFSET($BH$3,0,0,'Données projet'!$E$11+1,1))-AVERAGE(OFFSET($H$3,0,0,'Données projet'!$E$11+1,1))</f>
        <v>203.42120484957661</v>
      </c>
      <c r="BJ189" s="59">
        <f t="shared" si="146"/>
        <v>201.8090670543379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2.6380986508212549</v>
      </c>
      <c r="BQ189" s="21">
        <f>EXP(-LN(2)/25)*BQ188+(1-EXP(-LN(2)/25))/(LN(2)/25)*Calculateur!BL189*Calculateur!BN189*VLOOKUP('Données projet'!$B$11,Paramètres!$A$1:$I$89,3,0)*0.475*44/12</f>
        <v>0.3295655349395426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2.9676641857607975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1">
        <f t="shared" si="140"/>
        <v>25.137867946126693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67">
        <f t="shared" si="110"/>
        <v>498.0068033395039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282.62919832217119</v>
      </c>
      <c r="T190" s="59">
        <f t="shared" si="142"/>
        <v>248.89638559192258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-6.3550942286383367E-14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277.73784710957608</v>
      </c>
      <c r="AO190" s="59">
        <f t="shared" si="144"/>
        <v>369.67177565548127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16.598015535793689</v>
      </c>
      <c r="AV190" s="21">
        <f>EXP(-LN(2)/25)*AV189+(1-EXP(-LN(2)/25))/(LN(2)/25)*Calculateur!AQ190*Calculateur!AS190*VLOOKUP('Données projet'!$B$10,Paramètres!$A$1:$I$89,3,0)*0.475*44/12</f>
        <v>1.4826615029179941</v>
      </c>
      <c r="AW190" s="21">
        <f>EXP(-LN(2)/2)*AW189+(1-EXP(-LN(2)/2))/(LN(2)/2)*AQ190*AT190*VLOOKUP('Données projet'!$B$10,Paramètres!$A$1:$I$89,3,0)*0.475*44/12</f>
        <v>4.6297200020245631E-19</v>
      </c>
      <c r="AX190" s="21">
        <f t="shared" si="166"/>
        <v>18.080677038711684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195.76439999999985</v>
      </c>
      <c r="BF190" s="13">
        <f t="shared" si="167"/>
        <v>48.812154563023455</v>
      </c>
      <c r="BG190" s="20">
        <f t="shared" si="168"/>
        <v>425.9708325305989</v>
      </c>
      <c r="BH190" s="59">
        <f t="shared" si="116"/>
        <v>719.30416586393221</v>
      </c>
      <c r="BI190" s="59">
        <f ca="1">AVERAGE(OFFSET($BH$3,0,0,'Données projet'!$E$11+1,1))-AVERAGE(OFFSET($H$3,0,0,'Données projet'!$E$11+1,1))</f>
        <v>203.42120484957661</v>
      </c>
      <c r="BJ190" s="59">
        <f t="shared" si="146"/>
        <v>201.8090670543379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2.5863671453599437</v>
      </c>
      <c r="BQ190" s="21">
        <f>EXP(-LN(2)/25)*BQ189+(1-EXP(-LN(2)/25))/(LN(2)/25)*Calculateur!BL190*Calculateur!BN190*VLOOKUP('Données projet'!$B$11,Paramètres!$A$1:$I$89,3,0)*0.475*44/12</f>
        <v>0.32055354805552255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2.9069206934154663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1">
        <f t="shared" si="140"/>
        <v>25.256610838382159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67">
        <f t="shared" si="110"/>
        <v>499.0739972101822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282.62919832217119</v>
      </c>
      <c r="T191" s="59">
        <f t="shared" si="142"/>
        <v>248.89638559192258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-6.3550942286383367E-14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277.73784710957608</v>
      </c>
      <c r="AO191" s="59">
        <f t="shared" si="144"/>
        <v>369.67177565548127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16.27253857492661</v>
      </c>
      <c r="AV191" s="21">
        <f>EXP(-LN(2)/25)*AV190+(1-EXP(-LN(2)/25))/(LN(2)/25)*Calculateur!AQ191*Calculateur!AS191*VLOOKUP('Données projet'!$B$10,Paramètres!$A$1:$I$89,3,0)*0.475*44/12</f>
        <v>1.4421180461509218</v>
      </c>
      <c r="AW191" s="21">
        <f>EXP(-LN(2)/2)*AW190+(1-EXP(-LN(2)/2))/(LN(2)/2)*AQ191*AT191*VLOOKUP('Données projet'!$B$10,Paramètres!$A$1:$I$89,3,0)*0.475*44/12</f>
        <v>3.2737064084265651E-19</v>
      </c>
      <c r="AX191" s="21">
        <f t="shared" si="166"/>
        <v>17.71465662107753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195.76439999999985</v>
      </c>
      <c r="BF191" s="13">
        <f t="shared" si="167"/>
        <v>48.812154563023455</v>
      </c>
      <c r="BG191" s="20">
        <f t="shared" si="168"/>
        <v>425.9708325305989</v>
      </c>
      <c r="BH191" s="59">
        <f t="shared" si="116"/>
        <v>719.30416586393221</v>
      </c>
      <c r="BI191" s="59">
        <f ca="1">AVERAGE(OFFSET($BH$3,0,0,'Données projet'!$E$11+1,1))-AVERAGE(OFFSET($H$3,0,0,'Données projet'!$E$11+1,1))</f>
        <v>203.42120484957661</v>
      </c>
      <c r="BJ191" s="59">
        <f t="shared" si="146"/>
        <v>201.8090670543379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2.5356500631676258</v>
      </c>
      <c r="BQ191" s="21">
        <f>EXP(-LN(2)/25)*BQ190+(1-EXP(-LN(2)/25))/(LN(2)/25)*Calculateur!BL191*Calculateur!BN191*VLOOKUP('Données projet'!$B$11,Paramètres!$A$1:$I$89,3,0)*0.475*44/12</f>
        <v>0.31178799442676586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2.8474380575943918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1">
        <f t="shared" si="140"/>
        <v>25.375280233490678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67">
        <f t="shared" si="110"/>
        <v>500.14106307332952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282.62919832217119</v>
      </c>
      <c r="T192" s="59">
        <f t="shared" si="142"/>
        <v>248.89638559192258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-6.3550942286383367E-14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277.73784710957608</v>
      </c>
      <c r="AO192" s="59">
        <f t="shared" si="144"/>
        <v>369.67177565548127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15.953444018740791</v>
      </c>
      <c r="AV192" s="21">
        <f>EXP(-LN(2)/25)*AV191+(1-EXP(-LN(2)/25))/(LN(2)/25)*Calculateur!AQ192*Calculateur!AS192*VLOOKUP('Données projet'!$B$10,Paramètres!$A$1:$I$89,3,0)*0.475*44/12</f>
        <v>1.4026832523412327</v>
      </c>
      <c r="AW192" s="21">
        <f>EXP(-LN(2)/2)*AW191+(1-EXP(-LN(2)/2))/(LN(2)/2)*AQ192*AT192*VLOOKUP('Données projet'!$B$10,Paramètres!$A$1:$I$89,3,0)*0.475*44/12</f>
        <v>2.3148600010122816E-19</v>
      </c>
      <c r="AX192" s="21">
        <f t="shared" si="166"/>
        <v>17.356127271082023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195.76439999999985</v>
      </c>
      <c r="BF192" s="13">
        <f t="shared" si="167"/>
        <v>48.812154563023455</v>
      </c>
      <c r="BG192" s="20">
        <f t="shared" si="168"/>
        <v>425.9708325305989</v>
      </c>
      <c r="BH192" s="59">
        <f t="shared" si="116"/>
        <v>719.30416586393221</v>
      </c>
      <c r="BI192" s="59">
        <f ca="1">AVERAGE(OFFSET($BH$3,0,0,'Données projet'!$E$11+1,1))-AVERAGE(OFFSET($H$3,0,0,'Données projet'!$E$11+1,1))</f>
        <v>203.42120484957661</v>
      </c>
      <c r="BJ192" s="59">
        <f t="shared" si="146"/>
        <v>201.8090670543379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2.4859275120227338</v>
      </c>
      <c r="BQ192" s="21">
        <f>EXP(-LN(2)/25)*BQ191+(1-EXP(-LN(2)/25))/(LN(2)/25)*Calculateur!BL192*Calculateur!BN192*VLOOKUP('Données projet'!$B$11,Paramètres!$A$1:$I$89,3,0)*0.475*44/12</f>
        <v>0.30326213532294793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2.7891896473456819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1">
        <f t="shared" si="140"/>
        <v>25.493876565461285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67">
        <f t="shared" si="110"/>
        <v>501.20800168484499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282.62919832217119</v>
      </c>
      <c r="T193" s="59">
        <f t="shared" si="142"/>
        <v>248.89638559192258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-6.3550942286383367E-14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277.73784710957608</v>
      </c>
      <c r="AO193" s="59">
        <f t="shared" si="144"/>
        <v>369.67177565548127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15.640606712173314</v>
      </c>
      <c r="AV193" s="21">
        <f>EXP(-LN(2)/25)*AV192+(1-EXP(-LN(2)/25))/(LN(2)/25)*Calculateur!AQ193*Calculateur!AS193*VLOOKUP('Données projet'!$B$10,Paramètres!$A$1:$I$89,3,0)*0.475*44/12</f>
        <v>1.3643268050420554</v>
      </c>
      <c r="AW193" s="21">
        <f>EXP(-LN(2)/2)*AW192+(1-EXP(-LN(2)/2))/(LN(2)/2)*AQ193*AT193*VLOOKUP('Données projet'!$B$10,Paramètres!$A$1:$I$89,3,0)*0.475*44/12</f>
        <v>1.6368532042132826E-19</v>
      </c>
      <c r="AX193" s="21">
        <f t="shared" si="166"/>
        <v>17.00493351721537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195.76439999999985</v>
      </c>
      <c r="BF193" s="13">
        <f t="shared" si="167"/>
        <v>48.812154563023455</v>
      </c>
      <c r="BG193" s="20">
        <f t="shared" si="168"/>
        <v>425.9708325305989</v>
      </c>
      <c r="BH193" s="59">
        <f t="shared" si="116"/>
        <v>719.30416586393221</v>
      </c>
      <c r="BI193" s="59">
        <f ca="1">AVERAGE(OFFSET($BH$3,0,0,'Données projet'!$E$11+1,1))-AVERAGE(OFFSET($H$3,0,0,'Données projet'!$E$11+1,1))</f>
        <v>203.42120484957661</v>
      </c>
      <c r="BJ193" s="59">
        <f t="shared" si="146"/>
        <v>201.8090670543379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2.4371799897780315</v>
      </c>
      <c r="BQ193" s="21">
        <f>EXP(-LN(2)/25)*BQ192+(1-EXP(-LN(2)/25))/(LN(2)/25)*Calculateur!BL193*Calculateur!BN193*VLOOKUP('Données projet'!$B$11,Paramètres!$A$1:$I$89,3,0)*0.475*44/12</f>
        <v>0.29496941628467932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2.7321494060627107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1">
        <f t="shared" si="140"/>
        <v>25.612400263470157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67">
        <f t="shared" si="110"/>
        <v>502.27481379221047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282.62919832217119</v>
      </c>
      <c r="T194" s="59">
        <f t="shared" si="142"/>
        <v>248.89638559192258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-6.3550942286383367E-14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277.73784710957608</v>
      </c>
      <c r="AO194" s="59">
        <f t="shared" si="144"/>
        <v>369.67177565548127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15.33390395437571</v>
      </c>
      <c r="AV194" s="21">
        <f>EXP(-LN(2)/25)*AV193+(1-EXP(-LN(2)/25))/(LN(2)/25)*Calculateur!AQ194*Calculateur!AS194*VLOOKUP('Données projet'!$B$10,Paramètres!$A$1:$I$89,3,0)*0.475*44/12</f>
        <v>1.3270192168113519</v>
      </c>
      <c r="AW194" s="21">
        <f>EXP(-LN(2)/2)*AW193+(1-EXP(-LN(2)/2))/(LN(2)/2)*AQ194*AT194*VLOOKUP('Données projet'!$B$10,Paramètres!$A$1:$I$89,3,0)*0.475*44/12</f>
        <v>1.1574300005061408E-19</v>
      </c>
      <c r="AX194" s="21">
        <f t="shared" si="166"/>
        <v>16.660923171187061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195.76439999999985</v>
      </c>
      <c r="BF194" s="13">
        <f t="shared" si="167"/>
        <v>48.812154563023455</v>
      </c>
      <c r="BG194" s="20">
        <f t="shared" si="168"/>
        <v>425.9708325305989</v>
      </c>
      <c r="BH194" s="59">
        <f t="shared" si="116"/>
        <v>719.30416586393221</v>
      </c>
      <c r="BI194" s="59">
        <f ca="1">AVERAGE(OFFSET($BH$3,0,0,'Données projet'!$E$11+1,1))-AVERAGE(OFFSET($H$3,0,0,'Données projet'!$E$11+1,1))</f>
        <v>203.42120484957661</v>
      </c>
      <c r="BJ194" s="59">
        <f t="shared" si="146"/>
        <v>201.8090670543379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2.3893883767114952</v>
      </c>
      <c r="BQ194" s="21">
        <f>EXP(-LN(2)/25)*BQ193+(1-EXP(-LN(2)/25))/(LN(2)/25)*Calculateur!BL194*Calculateur!BN194*VLOOKUP('Données projet'!$B$11,Paramètres!$A$1:$I$89,3,0)*0.475*44/12</f>
        <v>0.28690346208460732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2.6762918387961023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1">
        <f t="shared" si="140"/>
        <v>25.730851751939202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67">
        <f t="shared" si="110"/>
        <v>503.34150013462738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282.62919832217119</v>
      </c>
      <c r="T195" s="59">
        <f t="shared" si="142"/>
        <v>248.89638559192258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-6.3550942286383367E-14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277.73784710957608</v>
      </c>
      <c r="AO195" s="59">
        <f t="shared" si="144"/>
        <v>369.67177565548127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15.033215450588306</v>
      </c>
      <c r="AV195" s="21">
        <f>EXP(-LN(2)/25)*AV194+(1-EXP(-LN(2)/25))/(LN(2)/25)*Calculateur!AQ195*Calculateur!AS195*VLOOKUP('Données projet'!$B$10,Paramètres!$A$1:$I$89,3,0)*0.475*44/12</f>
        <v>1.2907318065427378</v>
      </c>
      <c r="AW195" s="21">
        <f>EXP(-LN(2)/2)*AW194+(1-EXP(-LN(2)/2))/(LN(2)/2)*AQ195*AT195*VLOOKUP('Données projet'!$B$10,Paramètres!$A$1:$I$89,3,0)*0.475*44/12</f>
        <v>8.1842660210664128E-20</v>
      </c>
      <c r="AX195" s="21">
        <f t="shared" si="166"/>
        <v>16.323947257131046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195.76439999999985</v>
      </c>
      <c r="BF195" s="13">
        <f t="shared" si="167"/>
        <v>48.812154563023455</v>
      </c>
      <c r="BG195" s="20">
        <f t="shared" si="168"/>
        <v>425.9708325305989</v>
      </c>
      <c r="BH195" s="59">
        <f t="shared" si="116"/>
        <v>719.30416586393221</v>
      </c>
      <c r="BI195" s="59">
        <f ca="1">AVERAGE(OFFSET($BH$3,0,0,'Données projet'!$E$11+1,1))-AVERAGE(OFFSET($H$3,0,0,'Données projet'!$E$11+1,1))</f>
        <v>203.42120484957661</v>
      </c>
      <c r="BJ195" s="59">
        <f t="shared" si="146"/>
        <v>201.8090670543379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2.342533928027188</v>
      </c>
      <c r="BQ195" s="21">
        <f>EXP(-LN(2)/25)*BQ194+(1-EXP(-LN(2)/25))/(LN(2)/25)*Calculateur!BL195*Calculateur!BN195*VLOOKUP('Données projet'!$B$11,Paramètres!$A$1:$I$89,3,0)*0.475*44/12</f>
        <v>0.27905807182630638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2.6215919998534942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1">
        <f t="shared" si="140"/>
        <v>25.849231450613374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67">
        <f t="shared" ref="H196:H203" si="192">(B196+E196+F196)*44/12+(C196+D196)*0.475*44/12</f>
        <v>504.40806144315155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282.62919832217119</v>
      </c>
      <c r="T196" s="59">
        <f t="shared" si="142"/>
        <v>248.89638559192258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-6.3550942286383367E-14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277.73784710957608</v>
      </c>
      <c r="AO196" s="59">
        <f t="shared" si="144"/>
        <v>369.67177565548127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14.738423264958296</v>
      </c>
      <c r="AV196" s="21">
        <f>EXP(-LN(2)/25)*AV195+(1-EXP(-LN(2)/25))/(LN(2)/25)*Calculateur!AQ196*Calculateur!AS196*VLOOKUP('Données projet'!$B$10,Paramètres!$A$1:$I$89,3,0)*0.475*44/12</f>
        <v>1.2554366774161909</v>
      </c>
      <c r="AW196" s="21">
        <f>EXP(-LN(2)/2)*AW195+(1-EXP(-LN(2)/2))/(LN(2)/2)*AQ196*AT196*VLOOKUP('Données projet'!$B$10,Paramètres!$A$1:$I$89,3,0)*0.475*44/12</f>
        <v>5.7871500025307039E-20</v>
      </c>
      <c r="AX196" s="21">
        <f t="shared" si="166"/>
        <v>15.993859942374486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195.76439999999985</v>
      </c>
      <c r="BF196" s="13">
        <f t="shared" si="167"/>
        <v>48.812154563023455</v>
      </c>
      <c r="BG196" s="20">
        <f t="shared" si="168"/>
        <v>425.9708325305989</v>
      </c>
      <c r="BH196" s="59">
        <f t="shared" ref="BH196:BH203" si="194">BG196+(AY196+AZ196)*44/12</f>
        <v>719.30416586393221</v>
      </c>
      <c r="BI196" s="59">
        <f ca="1">AVERAGE(OFFSET($BH$3,0,0,'Données projet'!$E$11+1,1))-AVERAGE(OFFSET($H$3,0,0,'Données projet'!$E$11+1,1))</f>
        <v>203.42120484957661</v>
      </c>
      <c r="BJ196" s="59">
        <f t="shared" si="146"/>
        <v>201.8090670543379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2.2965982665031883</v>
      </c>
      <c r="BQ196" s="21">
        <f>EXP(-LN(2)/25)*BQ195+(1-EXP(-LN(2)/25))/(LN(2)/25)*Calculateur!BL196*Calculateur!BN196*VLOOKUP('Données projet'!$B$11,Paramètres!$A$1:$I$89,3,0)*0.475*44/12</f>
        <v>0.27142721417718985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2.5680254806803782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1">
        <f t="shared" ref="D197:D203" si="202">IFERROR(EXP(-1.0587+0.8836*LN(C197)+0.284),0)</f>
        <v>25.967539774636116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67">
        <f t="shared" si="192"/>
        <v>505.4744984408245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282.62919832217119</v>
      </c>
      <c r="T197" s="59">
        <f t="shared" ref="T197:T203" si="204">$T$3</f>
        <v>248.89638559192258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-6.3550942286383367E-14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277.73784710957608</v>
      </c>
      <c r="AO197" s="59">
        <f t="shared" ref="AO197:AO203" si="205">$AO$3</f>
        <v>369.67177565548127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14.449411774283011</v>
      </c>
      <c r="AV197" s="21">
        <f>EXP(-LN(2)/25)*AV196+(1-EXP(-LN(2)/25))/(LN(2)/25)*Calculateur!AQ197*Calculateur!AS197*VLOOKUP('Données projet'!$B$10,Paramètres!$A$1:$I$89,3,0)*0.475*44/12</f>
        <v>1.2211066954516996</v>
      </c>
      <c r="AW197" s="21">
        <f>EXP(-LN(2)/2)*AW196+(1-EXP(-LN(2)/2))/(LN(2)/2)*AQ197*AT197*VLOOKUP('Données projet'!$B$10,Paramètres!$A$1:$I$89,3,0)*0.475*44/12</f>
        <v>4.0921330105332064E-20</v>
      </c>
      <c r="AX197" s="21">
        <f t="shared" si="166"/>
        <v>15.670518469734709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195.76439999999985</v>
      </c>
      <c r="BF197" s="13">
        <f t="shared" si="167"/>
        <v>48.812154563023455</v>
      </c>
      <c r="BG197" s="20">
        <f t="shared" si="168"/>
        <v>425.9708325305989</v>
      </c>
      <c r="BH197" s="59">
        <f t="shared" si="194"/>
        <v>719.30416586393221</v>
      </c>
      <c r="BI197" s="59">
        <f ca="1">AVERAGE(OFFSET($BH$3,0,0,'Données projet'!$E$11+1,1))-AVERAGE(OFFSET($H$3,0,0,'Données projet'!$E$11+1,1))</f>
        <v>203.42120484957661</v>
      </c>
      <c r="BJ197" s="59">
        <f t="shared" ref="BJ197:BJ203" si="206">$BJ$3</f>
        <v>201.8090670543379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2.2515633752836872</v>
      </c>
      <c r="BQ197" s="21">
        <f>EXP(-LN(2)/25)*BQ196+(1-EXP(-LN(2)/25))/(LN(2)/25)*Calculateur!BL197*Calculateur!BN197*VLOOKUP('Données projet'!$B$11,Paramètres!$A$1:$I$89,3,0)*0.475*44/12</f>
        <v>0.26400502273177773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2.5155683980154651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1">
        <f t="shared" si="202"/>
        <v>26.08577713462325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67">
        <f t="shared" si="192"/>
        <v>506.5408118428021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282.62919832217119</v>
      </c>
      <c r="T198" s="59">
        <f t="shared" si="204"/>
        <v>248.89638559192258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-6.3550942286383367E-14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277.73784710957608</v>
      </c>
      <c r="AO198" s="59">
        <f t="shared" si="205"/>
        <v>369.67177565548127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14.166067622660265</v>
      </c>
      <c r="AV198" s="21">
        <f>EXP(-LN(2)/25)*AV197+(1-EXP(-LN(2)/25))/(LN(2)/25)*Calculateur!AQ198*Calculateur!AS198*VLOOKUP('Données projet'!$B$10,Paramètres!$A$1:$I$89,3,0)*0.475*44/12</f>
        <v>1.1877154686493627</v>
      </c>
      <c r="AW198" s="21">
        <f>EXP(-LN(2)/2)*AW197+(1-EXP(-LN(2)/2))/(LN(2)/2)*AQ198*AT198*VLOOKUP('Données projet'!$B$10,Paramètres!$A$1:$I$89,3,0)*0.475*44/12</f>
        <v>2.893575001265352E-20</v>
      </c>
      <c r="AX198" s="21">
        <f t="shared" si="166"/>
        <v>15.353783091309626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195.76439999999985</v>
      </c>
      <c r="BF198" s="13">
        <f t="shared" si="167"/>
        <v>48.812154563023455</v>
      </c>
      <c r="BG198" s="20">
        <f t="shared" si="168"/>
        <v>425.9708325305989</v>
      </c>
      <c r="BH198" s="59">
        <f t="shared" si="194"/>
        <v>719.30416586393221</v>
      </c>
      <c r="BI198" s="59">
        <f ca="1">AVERAGE(OFFSET($BH$3,0,0,'Données projet'!$E$11+1,1))-AVERAGE(OFFSET($H$3,0,0,'Données projet'!$E$11+1,1))</f>
        <v>203.42120484957661</v>
      </c>
      <c r="BJ198" s="59">
        <f t="shared" si="206"/>
        <v>201.8090670543379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2.2074115908124292</v>
      </c>
      <c r="BQ198" s="21">
        <f>EXP(-LN(2)/25)*BQ197+(1-EXP(-LN(2)/25))/(LN(2)/25)*Calculateur!BL198*Calculateur!BN198*VLOOKUP('Données projet'!$B$11,Paramètres!$A$1:$I$89,3,0)*0.475*44/12</f>
        <v>0.25678579150175651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2.4641973823141856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1">
        <f t="shared" si="202"/>
        <v>26.203943936735264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67">
        <f t="shared" si="192"/>
        <v>507.60700235648051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282.62919832217119</v>
      </c>
      <c r="T199" s="59">
        <f t="shared" si="204"/>
        <v>248.89638559192258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-6.3550942286383367E-14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277.73784710957608</v>
      </c>
      <c r="AO199" s="59">
        <f t="shared" si="205"/>
        <v>369.67177565548127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13.888279677027974</v>
      </c>
      <c r="AV199" s="21">
        <f>EXP(-LN(2)/25)*AV198+(1-EXP(-LN(2)/25))/(LN(2)/25)*Calculateur!AQ199*Calculateur!AS199*VLOOKUP('Données projet'!$B$10,Paramètres!$A$1:$I$89,3,0)*0.475*44/12</f>
        <v>1.1552373266999039</v>
      </c>
      <c r="AW199" s="21">
        <f>EXP(-LN(2)/2)*AW198+(1-EXP(-LN(2)/2))/(LN(2)/2)*AQ199*AT199*VLOOKUP('Données projet'!$B$10,Paramètres!$A$1:$I$89,3,0)*0.475*44/12</f>
        <v>2.0460665052666032E-20</v>
      </c>
      <c r="AX199" s="21">
        <f t="shared" si="166"/>
        <v>15.043517003727878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195.76439999999985</v>
      </c>
      <c r="BF199" s="13">
        <f t="shared" si="167"/>
        <v>48.812154563023455</v>
      </c>
      <c r="BG199" s="20">
        <f t="shared" si="168"/>
        <v>425.9708325305989</v>
      </c>
      <c r="BH199" s="59">
        <f t="shared" si="194"/>
        <v>719.30416586393221</v>
      </c>
      <c r="BI199" s="59">
        <f ca="1">AVERAGE(OFFSET($BH$3,0,0,'Données projet'!$E$11+1,1))-AVERAGE(OFFSET($H$3,0,0,'Données projet'!$E$11+1,1))</f>
        <v>203.42120484957661</v>
      </c>
      <c r="BJ199" s="59">
        <f t="shared" si="206"/>
        <v>201.8090670543379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2.1641255959047232</v>
      </c>
      <c r="BQ199" s="21">
        <f>EXP(-LN(2)/25)*BQ198+(1-EXP(-LN(2)/25))/(LN(2)/25)*Calculateur!BL199*Calculateur!BN199*VLOOKUP('Données projet'!$B$11,Paramètres!$A$1:$I$89,3,0)*0.475*44/12</f>
        <v>0.24976397052936308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2.4138895664340865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1">
        <f t="shared" si="202"/>
        <v>26.32204058274829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67">
        <f t="shared" si="192"/>
        <v>508.67307068161983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282.62919832217119</v>
      </c>
      <c r="T200" s="59">
        <f t="shared" si="204"/>
        <v>248.89638559192258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-6.3550942286383367E-14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277.73784710957608</v>
      </c>
      <c r="AO200" s="59">
        <f t="shared" si="205"/>
        <v>369.67177565548127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13.615938983575615</v>
      </c>
      <c r="AV200" s="21">
        <f>EXP(-LN(2)/25)*AV199+(1-EXP(-LN(2)/25))/(LN(2)/25)*Calculateur!AQ200*Calculateur!AS200*VLOOKUP('Données projet'!$B$10,Paramètres!$A$1:$I$89,3,0)*0.475*44/12</f>
        <v>1.1236473012500043</v>
      </c>
      <c r="AW200" s="21">
        <f>EXP(-LN(2)/2)*AW199+(1-EXP(-LN(2)/2))/(LN(2)/2)*AQ200*AT200*VLOOKUP('Données projet'!$B$10,Paramètres!$A$1:$I$89,3,0)*0.475*44/12</f>
        <v>1.446787500632676E-20</v>
      </c>
      <c r="AX200" s="21">
        <f t="shared" si="166"/>
        <v>14.73958628482562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195.76439999999985</v>
      </c>
      <c r="BF200" s="13">
        <f t="shared" si="167"/>
        <v>48.812154563023455</v>
      </c>
      <c r="BG200" s="20">
        <f t="shared" si="168"/>
        <v>425.9708325305989</v>
      </c>
      <c r="BH200" s="59">
        <f t="shared" si="194"/>
        <v>719.30416586393221</v>
      </c>
      <c r="BI200" s="59">
        <f ca="1">AVERAGE(OFFSET($BH$3,0,0,'Données projet'!$E$11+1,1))-AVERAGE(OFFSET($H$3,0,0,'Données projet'!$E$11+1,1))</f>
        <v>203.42120484957661</v>
      </c>
      <c r="BJ200" s="59">
        <f t="shared" si="206"/>
        <v>201.8090670543379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2.1216884129553071</v>
      </c>
      <c r="BQ200" s="21">
        <f>EXP(-LN(2)/25)*BQ199+(1-EXP(-LN(2)/25))/(LN(2)/25)*Calculateur!BL200*Calculateur!BN200*VLOOKUP('Données projet'!$B$11,Paramètres!$A$1:$I$89,3,0)*0.475*44/12</f>
        <v>0.24293416162072129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2.3646225745760283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1">
        <f t="shared" si="202"/>
        <v>26.44006747012326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67">
        <f t="shared" si="192"/>
        <v>509.73901751046458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282.62919832217119</v>
      </c>
      <c r="T201" s="59">
        <f t="shared" si="204"/>
        <v>248.89638559192258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-6.3550942286383367E-14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277.73784710957608</v>
      </c>
      <c r="AO201" s="59">
        <f t="shared" si="205"/>
        <v>369.67177565548127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13.348938725010436</v>
      </c>
      <c r="AV201" s="21">
        <f>EXP(-LN(2)/25)*AV200+(1-EXP(-LN(2)/25))/(LN(2)/25)*Calculateur!AQ201*Calculateur!AS201*VLOOKUP('Données projet'!$B$10,Paramètres!$A$1:$I$89,3,0)*0.475*44/12</f>
        <v>1.0929211067072795</v>
      </c>
      <c r="AW201" s="21">
        <f>EXP(-LN(2)/2)*AW200+(1-EXP(-LN(2)/2))/(LN(2)/2)*AQ201*AT201*VLOOKUP('Données projet'!$B$10,Paramètres!$A$1:$I$89,3,0)*0.475*44/12</f>
        <v>1.0230332526333016E-20</v>
      </c>
      <c r="AX201" s="21">
        <f t="shared" si="166"/>
        <v>14.441859831717716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195.76439999999985</v>
      </c>
      <c r="BF201" s="13">
        <f t="shared" si="167"/>
        <v>48.812154563023455</v>
      </c>
      <c r="BG201" s="20">
        <f t="shared" si="168"/>
        <v>425.9708325305989</v>
      </c>
      <c r="BH201" s="59">
        <f t="shared" si="194"/>
        <v>719.30416586393221</v>
      </c>
      <c r="BI201" s="59">
        <f ca="1">AVERAGE(OFFSET($BH$3,0,0,'Données projet'!$E$11+1,1))-AVERAGE(OFFSET($H$3,0,0,'Données projet'!$E$11+1,1))</f>
        <v>203.42120484957661</v>
      </c>
      <c r="BJ201" s="59">
        <f t="shared" si="206"/>
        <v>201.8090670543379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2.0800833972794033</v>
      </c>
      <c r="BQ201" s="21">
        <f>EXP(-LN(2)/25)*BQ200+(1-EXP(-LN(2)/25))/(LN(2)/25)*Calculateur!BL201*Calculateur!BN201*VLOOKUP('Données projet'!$B$11,Paramètres!$A$1:$I$89,3,0)*0.475*44/12</f>
        <v>0.23629111419585033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2.3163745114752534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1">
        <f t="shared" si="202"/>
        <v>26.558024992073921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67">
        <f t="shared" si="192"/>
        <v>510.80484352786198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282.62919832217119</v>
      </c>
      <c r="T202" s="59">
        <f t="shared" si="204"/>
        <v>248.89638559192258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-6.3550942286383367E-14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277.73784710957608</v>
      </c>
      <c r="AO202" s="59">
        <f t="shared" si="205"/>
        <v>369.67177565548127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13.087174178661643</v>
      </c>
      <c r="AV202" s="21">
        <f>EXP(-LN(2)/25)*AV201+(1-EXP(-LN(2)/25))/(LN(2)/25)*Calculateur!AQ202*Calculateur!AS202*VLOOKUP('Données projet'!$B$10,Paramètres!$A$1:$I$89,3,0)*0.475*44/12</f>
        <v>1.0630351215701459</v>
      </c>
      <c r="AW202" s="21">
        <f>EXP(-LN(2)/2)*AW201+(1-EXP(-LN(2)/2))/(LN(2)/2)*AQ202*AT202*VLOOKUP('Données projet'!$B$10,Paramètres!$A$1:$I$89,3,0)*0.475*44/12</f>
        <v>7.2339375031633799E-21</v>
      </c>
      <c r="AX202" s="21">
        <f t="shared" si="166"/>
        <v>14.150209300231788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195.76439999999985</v>
      </c>
      <c r="BF202" s="13">
        <f t="shared" si="167"/>
        <v>48.812154563023455</v>
      </c>
      <c r="BG202" s="20">
        <f t="shared" si="168"/>
        <v>425.9708325305989</v>
      </c>
      <c r="BH202" s="59">
        <f t="shared" si="194"/>
        <v>719.30416586393221</v>
      </c>
      <c r="BI202" s="59">
        <f ca="1">AVERAGE(OFFSET($BH$3,0,0,'Données projet'!$E$11+1,1))-AVERAGE(OFFSET($H$3,0,0,'Données projet'!$E$11+1,1))</f>
        <v>203.42120484957661</v>
      </c>
      <c r="BJ202" s="59">
        <f t="shared" si="206"/>
        <v>201.8090670543379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2.0392942305843502</v>
      </c>
      <c r="BQ202" s="21">
        <f>EXP(-LN(2)/25)*BQ201+(1-EXP(-LN(2)/25))/(LN(2)/25)*Calculateur!BL202*Calculateur!BN202*VLOOKUP('Données projet'!$B$11,Paramètres!$A$1:$I$89,3,0)*0.475*44/12</f>
        <v>0.22982972125215517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2.2691239518365052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1">
        <f t="shared" si="202"/>
        <v>26.675913537633271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67">
        <f t="shared" si="192"/>
        <v>511.87054941137785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282.62919832217119</v>
      </c>
      <c r="T203" s="59">
        <f t="shared" si="204"/>
        <v>248.89638559192258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-6.3550942286383367E-14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277.73784710957608</v>
      </c>
      <c r="AO203" s="59">
        <f t="shared" si="205"/>
        <v>369.67177565548127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12.830542675406141</v>
      </c>
      <c r="AV203" s="21">
        <f>EXP(-LN(2)/25)*AV202+(1-EXP(-LN(2)/25))/(LN(2)/25)*Calculateur!AQ203*Calculateur!AS203*VLOOKUP('Données projet'!$B$10,Paramètres!$A$1:$I$89,3,0)*0.475*44/12</f>
        <v>1.0339663702682229</v>
      </c>
      <c r="AW203" s="21">
        <f>EXP(-LN(2)/2)*AW202+(1-EXP(-LN(2)/2))/(LN(2)/2)*AQ203*AT203*VLOOKUP('Données projet'!$B$10,Paramètres!$A$1:$I$89,3,0)*0.475*44/12</f>
        <v>5.115166263166508E-21</v>
      </c>
      <c r="AX203" s="21">
        <f t="shared" si="166"/>
        <v>13.864509045674364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195.76439999999985</v>
      </c>
      <c r="BF203" s="13">
        <f t="shared" si="167"/>
        <v>48.812154563023455</v>
      </c>
      <c r="BG203" s="20">
        <f t="shared" si="168"/>
        <v>425.9708325305989</v>
      </c>
      <c r="BH203" s="59">
        <f t="shared" si="194"/>
        <v>719.30416586393221</v>
      </c>
      <c r="BI203" s="59">
        <f ca="1">AVERAGE(OFFSET($BH$3,0,0,'Données projet'!$E$11+1,1))-AVERAGE(OFFSET($H$3,0,0,'Données projet'!$E$11+1,1))</f>
        <v>203.42120484957661</v>
      </c>
      <c r="BJ203" s="59">
        <f t="shared" si="206"/>
        <v>201.8090670543379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1.9993049145692521</v>
      </c>
      <c r="BQ203" s="21">
        <f>EXP(-LN(2)/25)*BQ202+(1-EXP(-LN(2)/25))/(LN(2)/25)*Calculateur!BL203*Calculateur!BN203*VLOOKUP('Données projet'!$B$11,Paramètres!$A$1:$I$89,3,0)*0.475*44/12</f>
        <v>0.22354501543829522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2.2228499300075475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1.3356034260773062</v>
      </c>
      <c r="BA205" s="82">
        <f>EXP(LN('Données projet'!B88)/'Données projet'!A88)</f>
        <v>1.2721747796233518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defaultColWidth="11.42578125" defaultRowHeight="14.4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4.1" thickBot="1">
      <c r="A1" s="111" t="s">
        <v>101</v>
      </c>
      <c r="B1" s="112" t="s">
        <v>102</v>
      </c>
      <c r="C1" s="113" t="s">
        <v>103</v>
      </c>
      <c r="D1" s="112" t="s">
        <v>104</v>
      </c>
      <c r="E1" s="113" t="s">
        <v>105</v>
      </c>
      <c r="F1" s="113" t="s">
        <v>104</v>
      </c>
      <c r="G1" s="113" t="s">
        <v>106</v>
      </c>
      <c r="H1" s="113" t="s">
        <v>104</v>
      </c>
      <c r="I1" s="114" t="s">
        <v>107</v>
      </c>
      <c r="J1" s="78"/>
      <c r="K1" s="78"/>
      <c r="L1" s="78"/>
      <c r="M1" s="78"/>
      <c r="N1" s="78"/>
    </row>
    <row r="2" spans="1:16">
      <c r="A2" s="115" t="s">
        <v>108</v>
      </c>
      <c r="B2" s="116" t="s">
        <v>109</v>
      </c>
      <c r="C2" s="117">
        <v>0.62</v>
      </c>
      <c r="D2" s="117" t="s">
        <v>110</v>
      </c>
      <c r="E2" s="117">
        <v>1.56</v>
      </c>
      <c r="F2" s="117" t="s">
        <v>111</v>
      </c>
      <c r="G2" s="118">
        <v>0.43</v>
      </c>
      <c r="H2" s="119" t="s">
        <v>112</v>
      </c>
      <c r="I2" s="120">
        <v>0.25</v>
      </c>
      <c r="J2" s="78"/>
      <c r="K2" s="78"/>
      <c r="L2" s="78"/>
      <c r="M2" s="78"/>
      <c r="N2" s="78"/>
      <c r="O2" s="281" t="s">
        <v>113</v>
      </c>
      <c r="P2" s="121">
        <v>0</v>
      </c>
    </row>
    <row r="3" spans="1:16" ht="15" thickBot="1">
      <c r="A3" s="122" t="s">
        <v>114</v>
      </c>
      <c r="B3" s="123" t="s">
        <v>115</v>
      </c>
      <c r="C3" s="124">
        <v>0.64</v>
      </c>
      <c r="D3" s="124" t="s">
        <v>110</v>
      </c>
      <c r="E3" s="124">
        <v>1.56</v>
      </c>
      <c r="F3" s="125" t="s">
        <v>111</v>
      </c>
      <c r="G3" s="126">
        <v>0.43</v>
      </c>
      <c r="H3" s="124" t="s">
        <v>112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>
      <c r="A4" s="122" t="s">
        <v>116</v>
      </c>
      <c r="B4" s="123" t="s">
        <v>117</v>
      </c>
      <c r="C4" s="124">
        <v>0.42</v>
      </c>
      <c r="D4" s="124" t="s">
        <v>110</v>
      </c>
      <c r="E4" s="124">
        <v>1.56</v>
      </c>
      <c r="F4" s="125" t="s">
        <v>111</v>
      </c>
      <c r="G4" s="126">
        <v>0.43</v>
      </c>
      <c r="H4" s="124" t="s">
        <v>112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118</v>
      </c>
      <c r="B5" s="123" t="s">
        <v>119</v>
      </c>
      <c r="C5" s="124">
        <v>0.42</v>
      </c>
      <c r="D5" s="124" t="s">
        <v>110</v>
      </c>
      <c r="E5" s="124">
        <v>1.56</v>
      </c>
      <c r="F5" s="125" t="s">
        <v>111</v>
      </c>
      <c r="G5" s="126">
        <v>0.43</v>
      </c>
      <c r="H5" s="124" t="s">
        <v>112</v>
      </c>
      <c r="I5" s="127">
        <v>0.25</v>
      </c>
      <c r="J5" s="78"/>
      <c r="K5" s="78"/>
      <c r="L5" s="78"/>
      <c r="M5" s="78"/>
      <c r="N5" s="78"/>
      <c r="O5" s="281" t="s">
        <v>120</v>
      </c>
      <c r="P5" s="121">
        <v>0</v>
      </c>
    </row>
    <row r="6" spans="1:16">
      <c r="A6" s="122" t="s">
        <v>121</v>
      </c>
      <c r="B6" s="123" t="s">
        <v>122</v>
      </c>
      <c r="C6" s="124">
        <v>0.42</v>
      </c>
      <c r="D6" s="124" t="s">
        <v>110</v>
      </c>
      <c r="E6" s="124">
        <v>1.56</v>
      </c>
      <c r="F6" s="125" t="s">
        <v>111</v>
      </c>
      <c r="G6" s="126">
        <v>0.43</v>
      </c>
      <c r="H6" s="124" t="s">
        <v>112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123</v>
      </c>
      <c r="B7" s="123" t="s">
        <v>124</v>
      </c>
      <c r="C7" s="124">
        <v>0.52</v>
      </c>
      <c r="D7" s="124" t="s">
        <v>110</v>
      </c>
      <c r="E7" s="124">
        <v>1.56</v>
      </c>
      <c r="F7" s="125" t="s">
        <v>111</v>
      </c>
      <c r="G7" s="126">
        <v>0.43</v>
      </c>
      <c r="H7" s="124" t="s">
        <v>112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>
      <c r="A8" s="122" t="s">
        <v>125</v>
      </c>
      <c r="B8" s="123" t="s">
        <v>126</v>
      </c>
      <c r="C8" s="124">
        <v>0.36</v>
      </c>
      <c r="D8" s="124" t="s">
        <v>110</v>
      </c>
      <c r="E8" s="124">
        <v>1.3</v>
      </c>
      <c r="F8" s="125" t="s">
        <v>111</v>
      </c>
      <c r="G8" s="126">
        <v>0.55000000000000004</v>
      </c>
      <c r="H8" s="124" t="s">
        <v>127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>
      <c r="A9" s="122" t="s">
        <v>128</v>
      </c>
      <c r="B9" s="123" t="s">
        <v>129</v>
      </c>
      <c r="C9" s="124">
        <v>0.61</v>
      </c>
      <c r="D9" s="124" t="s">
        <v>110</v>
      </c>
      <c r="E9" s="124">
        <v>1.56</v>
      </c>
      <c r="F9" s="125" t="s">
        <v>111</v>
      </c>
      <c r="G9" s="126">
        <v>0.43</v>
      </c>
      <c r="H9" s="124" t="s">
        <v>112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130</v>
      </c>
      <c r="B10" s="123" t="s">
        <v>131</v>
      </c>
      <c r="C10" s="124">
        <v>0.66</v>
      </c>
      <c r="D10" s="124" t="s">
        <v>110</v>
      </c>
      <c r="E10" s="124">
        <v>1.56</v>
      </c>
      <c r="F10" s="125" t="s">
        <v>111</v>
      </c>
      <c r="G10" s="126">
        <v>0.43</v>
      </c>
      <c r="H10" s="124" t="s">
        <v>112</v>
      </c>
      <c r="I10" s="127">
        <v>0.25</v>
      </c>
      <c r="J10" s="78"/>
      <c r="K10" s="78"/>
      <c r="L10" s="78"/>
      <c r="M10" s="78"/>
      <c r="N10" s="78"/>
      <c r="O10" s="281" t="s">
        <v>132</v>
      </c>
      <c r="P10" s="121">
        <v>0</v>
      </c>
    </row>
    <row r="11" spans="1:16" ht="15" thickBot="1">
      <c r="A11" s="122" t="s">
        <v>21</v>
      </c>
      <c r="B11" s="123" t="s">
        <v>133</v>
      </c>
      <c r="C11" s="124">
        <v>0.47</v>
      </c>
      <c r="D11" s="124" t="s">
        <v>110</v>
      </c>
      <c r="E11" s="124">
        <v>1.56</v>
      </c>
      <c r="F11" s="125" t="s">
        <v>111</v>
      </c>
      <c r="G11" s="126">
        <v>0.43</v>
      </c>
      <c r="H11" s="124" t="s">
        <v>112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134</v>
      </c>
      <c r="B12" s="123" t="s">
        <v>135</v>
      </c>
      <c r="C12" s="124">
        <v>0.67</v>
      </c>
      <c r="D12" s="124" t="s">
        <v>110</v>
      </c>
      <c r="E12" s="124">
        <v>1.56</v>
      </c>
      <c r="F12" s="125" t="s">
        <v>111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137</v>
      </c>
      <c r="B13" s="123" t="s">
        <v>138</v>
      </c>
      <c r="C13" s="124">
        <v>0.7</v>
      </c>
      <c r="D13" s="124" t="s">
        <v>110</v>
      </c>
      <c r="E13" s="124">
        <v>1.56</v>
      </c>
      <c r="F13" s="125" t="s">
        <v>111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139</v>
      </c>
      <c r="B14" s="123" t="s">
        <v>140</v>
      </c>
      <c r="C14" s="124">
        <v>0.54</v>
      </c>
      <c r="D14" s="124" t="s">
        <v>110</v>
      </c>
      <c r="E14" s="124">
        <v>1.56</v>
      </c>
      <c r="F14" s="125" t="s">
        <v>111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141</v>
      </c>
      <c r="B15" s="123" t="s">
        <v>142</v>
      </c>
      <c r="C15" s="124">
        <v>0.65</v>
      </c>
      <c r="D15" s="124" t="s">
        <v>110</v>
      </c>
      <c r="E15" s="124">
        <v>1.56</v>
      </c>
      <c r="F15" s="125" t="s">
        <v>111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143</v>
      </c>
      <c r="B16" s="123" t="s">
        <v>144</v>
      </c>
      <c r="C16" s="124">
        <v>0.56000000000000005</v>
      </c>
      <c r="D16" s="124" t="s">
        <v>110</v>
      </c>
      <c r="E16" s="124">
        <v>1.56</v>
      </c>
      <c r="F16" s="125" t="s">
        <v>111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145</v>
      </c>
      <c r="B17" s="123" t="s">
        <v>146</v>
      </c>
      <c r="C17" s="124">
        <v>0.57999999999999996</v>
      </c>
      <c r="D17" s="124" t="s">
        <v>110</v>
      </c>
      <c r="E17" s="124">
        <v>1.56</v>
      </c>
      <c r="F17" s="125" t="s">
        <v>111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147</v>
      </c>
      <c r="B18" s="123" t="s">
        <v>148</v>
      </c>
      <c r="C18" s="124">
        <v>0.64</v>
      </c>
      <c r="D18" s="124" t="s">
        <v>110</v>
      </c>
      <c r="E18" s="124">
        <v>1.56</v>
      </c>
      <c r="F18" s="125" t="s">
        <v>111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149</v>
      </c>
      <c r="B19" s="123" t="s">
        <v>150</v>
      </c>
      <c r="C19" s="124">
        <v>0.73</v>
      </c>
      <c r="D19" s="124" t="s">
        <v>110</v>
      </c>
      <c r="E19" s="124">
        <v>1.56</v>
      </c>
      <c r="F19" s="125" t="s">
        <v>111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111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155</v>
      </c>
      <c r="B21" s="123" t="s">
        <v>156</v>
      </c>
      <c r="C21" s="124">
        <v>0.36</v>
      </c>
      <c r="D21" s="124" t="s">
        <v>110</v>
      </c>
      <c r="E21" s="124">
        <v>1.3</v>
      </c>
      <c r="F21" s="125" t="s">
        <v>111</v>
      </c>
      <c r="G21" s="126">
        <v>0.55000000000000004</v>
      </c>
      <c r="H21" s="124" t="s">
        <v>127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157</v>
      </c>
      <c r="B22" s="123" t="s">
        <v>158</v>
      </c>
      <c r="C22" s="124">
        <v>0.4</v>
      </c>
      <c r="D22" s="124" t="s">
        <v>110</v>
      </c>
      <c r="E22" s="124">
        <v>1.3</v>
      </c>
      <c r="F22" s="125" t="s">
        <v>111</v>
      </c>
      <c r="G22" s="126">
        <v>0.55000000000000004</v>
      </c>
      <c r="H22" s="124" t="s">
        <v>127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19</v>
      </c>
      <c r="B23" s="123" t="s">
        <v>159</v>
      </c>
      <c r="C23" s="124">
        <v>0.43</v>
      </c>
      <c r="D23" s="124" t="s">
        <v>110</v>
      </c>
      <c r="E23" s="124">
        <v>1.3</v>
      </c>
      <c r="F23" s="125" t="s">
        <v>111</v>
      </c>
      <c r="G23" s="126">
        <v>0.55000000000000004</v>
      </c>
      <c r="H23" s="124" t="s">
        <v>127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160</v>
      </c>
      <c r="B24" s="123" t="s">
        <v>161</v>
      </c>
      <c r="C24" s="124">
        <v>0.37</v>
      </c>
      <c r="D24" s="124" t="s">
        <v>110</v>
      </c>
      <c r="E24" s="124">
        <v>1.3</v>
      </c>
      <c r="F24" s="125" t="s">
        <v>111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162</v>
      </c>
      <c r="B25" s="123" t="s">
        <v>163</v>
      </c>
      <c r="C25" s="124">
        <v>0.36</v>
      </c>
      <c r="D25" s="124" t="s">
        <v>110</v>
      </c>
      <c r="E25" s="124">
        <v>1.3</v>
      </c>
      <c r="F25" s="125" t="s">
        <v>111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164</v>
      </c>
      <c r="B26" s="123" t="s">
        <v>165</v>
      </c>
      <c r="C26" s="124">
        <v>0.56000000000000005</v>
      </c>
      <c r="D26" s="124" t="s">
        <v>110</v>
      </c>
      <c r="E26" s="124">
        <v>1.56</v>
      </c>
      <c r="F26" s="125" t="s">
        <v>111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167</v>
      </c>
      <c r="B27" s="123" t="s">
        <v>168</v>
      </c>
      <c r="C27" s="124">
        <v>0.51</v>
      </c>
      <c r="D27" s="124" t="s">
        <v>110</v>
      </c>
      <c r="E27" s="124">
        <v>1.56</v>
      </c>
      <c r="F27" s="125" t="s">
        <v>111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169</v>
      </c>
      <c r="B28" s="123" t="s">
        <v>170</v>
      </c>
      <c r="C28" s="124">
        <v>0.51</v>
      </c>
      <c r="D28" s="124" t="s">
        <v>110</v>
      </c>
      <c r="E28" s="124">
        <v>1.56</v>
      </c>
      <c r="F28" s="125" t="s">
        <v>111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171</v>
      </c>
      <c r="B29" s="123" t="s">
        <v>171</v>
      </c>
      <c r="C29" s="124">
        <v>0.56000000000000005</v>
      </c>
      <c r="D29" s="124" t="s">
        <v>110</v>
      </c>
      <c r="E29" s="124">
        <v>1.56</v>
      </c>
      <c r="F29" s="125" t="s">
        <v>111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172</v>
      </c>
      <c r="B30" s="123" t="s">
        <v>173</v>
      </c>
      <c r="C30" s="124">
        <v>0.55000000000000004</v>
      </c>
      <c r="D30" s="124" t="s">
        <v>110</v>
      </c>
      <c r="E30" s="124">
        <v>1.56</v>
      </c>
      <c r="F30" s="125" t="s">
        <v>111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174</v>
      </c>
      <c r="B31" s="123" t="s">
        <v>175</v>
      </c>
      <c r="C31" s="124">
        <v>0.56000000000000005</v>
      </c>
      <c r="D31" s="124" t="s">
        <v>110</v>
      </c>
      <c r="E31" s="124">
        <v>1.56</v>
      </c>
      <c r="F31" s="125" t="s">
        <v>111</v>
      </c>
      <c r="G31" s="126">
        <v>0.43</v>
      </c>
      <c r="H31" s="124" t="s">
        <v>112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176</v>
      </c>
      <c r="B32" s="123" t="s">
        <v>177</v>
      </c>
      <c r="C32" s="124">
        <v>0.48</v>
      </c>
      <c r="D32" s="124" t="s">
        <v>110</v>
      </c>
      <c r="E32" s="124">
        <v>1.3</v>
      </c>
      <c r="F32" s="125" t="s">
        <v>111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179</v>
      </c>
      <c r="B33" s="123" t="s">
        <v>180</v>
      </c>
      <c r="C33" s="124">
        <v>0.42</v>
      </c>
      <c r="D33" s="124" t="s">
        <v>110</v>
      </c>
      <c r="E33" s="124">
        <v>1.3</v>
      </c>
      <c r="F33" s="125" t="s">
        <v>111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111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185</v>
      </c>
      <c r="B35" s="123" t="s">
        <v>186</v>
      </c>
      <c r="C35" s="124">
        <v>0.5</v>
      </c>
      <c r="D35" s="124" t="s">
        <v>110</v>
      </c>
      <c r="E35" s="124">
        <v>1.56</v>
      </c>
      <c r="F35" s="125" t="s">
        <v>111</v>
      </c>
      <c r="G35" s="126">
        <v>0.43</v>
      </c>
      <c r="H35" s="124" t="s">
        <v>112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187</v>
      </c>
      <c r="B36" s="123" t="s">
        <v>188</v>
      </c>
      <c r="C36" s="124">
        <v>0.55000000000000004</v>
      </c>
      <c r="D36" s="124" t="s">
        <v>110</v>
      </c>
      <c r="E36" s="124">
        <v>1.56</v>
      </c>
      <c r="F36" s="125" t="s">
        <v>111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189</v>
      </c>
      <c r="B37" s="123" t="s">
        <v>190</v>
      </c>
      <c r="C37" s="124">
        <v>0.52</v>
      </c>
      <c r="D37" s="124" t="s">
        <v>110</v>
      </c>
      <c r="E37" s="124">
        <v>1.56</v>
      </c>
      <c r="F37" s="125" t="s">
        <v>111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191</v>
      </c>
      <c r="B38" s="123" t="s">
        <v>192</v>
      </c>
      <c r="C38" s="124">
        <v>0.52</v>
      </c>
      <c r="D38" s="124" t="s">
        <v>110</v>
      </c>
      <c r="E38" s="124">
        <v>1.56</v>
      </c>
      <c r="F38" s="125" t="s">
        <v>111</v>
      </c>
      <c r="G38" s="126">
        <v>0.43</v>
      </c>
      <c r="H38" s="124" t="s">
        <v>112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111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111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111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111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111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111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111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111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111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111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111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111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111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111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111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111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111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111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111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111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111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111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111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219</v>
      </c>
      <c r="B62" s="123" t="s">
        <v>220</v>
      </c>
      <c r="C62" s="124">
        <v>0.37</v>
      </c>
      <c r="D62" s="124" t="s">
        <v>110</v>
      </c>
      <c r="E62" s="124">
        <v>1.56</v>
      </c>
      <c r="F62" s="125" t="s">
        <v>111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221</v>
      </c>
      <c r="B63" s="123" t="s">
        <v>222</v>
      </c>
      <c r="C63" s="124">
        <v>0.45</v>
      </c>
      <c r="D63" s="124" t="s">
        <v>110</v>
      </c>
      <c r="E63" s="124">
        <v>1.3</v>
      </c>
      <c r="F63" s="125" t="s">
        <v>111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224</v>
      </c>
      <c r="B64" s="123" t="s">
        <v>225</v>
      </c>
      <c r="C64" s="124">
        <v>0.39</v>
      </c>
      <c r="D64" s="124" t="s">
        <v>110</v>
      </c>
      <c r="E64" s="124">
        <v>1.3</v>
      </c>
      <c r="F64" s="125" t="s">
        <v>111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226</v>
      </c>
      <c r="B65" s="123" t="s">
        <v>227</v>
      </c>
      <c r="C65" s="124">
        <v>0.44</v>
      </c>
      <c r="D65" s="124" t="s">
        <v>110</v>
      </c>
      <c r="E65" s="124">
        <v>1.3</v>
      </c>
      <c r="F65" s="125" t="s">
        <v>111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16</v>
      </c>
      <c r="B66" s="123" t="s">
        <v>228</v>
      </c>
      <c r="C66" s="124">
        <v>0.46</v>
      </c>
      <c r="D66" s="124" t="s">
        <v>110</v>
      </c>
      <c r="E66" s="124">
        <v>1.3</v>
      </c>
      <c r="F66" s="125" t="s">
        <v>111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229</v>
      </c>
      <c r="B67" s="123" t="s">
        <v>230</v>
      </c>
      <c r="C67" s="124">
        <v>0.46</v>
      </c>
      <c r="D67" s="124" t="s">
        <v>110</v>
      </c>
      <c r="E67" s="124">
        <v>1.3</v>
      </c>
      <c r="F67" s="125" t="s">
        <v>111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231</v>
      </c>
      <c r="B68" s="123" t="s">
        <v>232</v>
      </c>
      <c r="C68" s="124">
        <v>0.44</v>
      </c>
      <c r="D68" s="124" t="s">
        <v>110</v>
      </c>
      <c r="E68" s="124">
        <v>1.3</v>
      </c>
      <c r="F68" s="125" t="s">
        <v>111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233</v>
      </c>
      <c r="B69" s="123" t="s">
        <v>234</v>
      </c>
      <c r="C69" s="124">
        <v>0.46</v>
      </c>
      <c r="D69" s="124" t="s">
        <v>110</v>
      </c>
      <c r="E69" s="124">
        <v>1.3</v>
      </c>
      <c r="F69" s="125" t="s">
        <v>111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235</v>
      </c>
      <c r="B70" s="123" t="s">
        <v>236</v>
      </c>
      <c r="C70" s="124">
        <v>0.48</v>
      </c>
      <c r="D70" s="124" t="s">
        <v>110</v>
      </c>
      <c r="E70" s="124">
        <v>2.4</v>
      </c>
      <c r="F70" s="124" t="s">
        <v>237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111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241</v>
      </c>
      <c r="B72" s="123" t="s">
        <v>242</v>
      </c>
      <c r="C72" s="124">
        <v>0.44</v>
      </c>
      <c r="D72" s="124" t="s">
        <v>110</v>
      </c>
      <c r="E72" s="124">
        <v>1.3</v>
      </c>
      <c r="F72" s="125" t="s">
        <v>111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111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246</v>
      </c>
      <c r="B74" s="123" t="s">
        <v>247</v>
      </c>
      <c r="C74" s="124">
        <v>0.34</v>
      </c>
      <c r="D74" s="124" t="s">
        <v>110</v>
      </c>
      <c r="E74" s="124">
        <v>1.3</v>
      </c>
      <c r="F74" s="125" t="s">
        <v>111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248</v>
      </c>
      <c r="B75" s="123" t="s">
        <v>249</v>
      </c>
      <c r="C75" s="124">
        <v>0.5</v>
      </c>
      <c r="D75" s="124" t="s">
        <v>110</v>
      </c>
      <c r="E75" s="124">
        <v>1.56</v>
      </c>
      <c r="F75" s="125" t="s">
        <v>111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250</v>
      </c>
      <c r="B76" s="123" t="s">
        <v>251</v>
      </c>
      <c r="C76" s="124">
        <v>0.57999999999999996</v>
      </c>
      <c r="D76" s="124" t="s">
        <v>110</v>
      </c>
      <c r="E76" s="124">
        <v>1.56</v>
      </c>
      <c r="F76" s="125" t="s">
        <v>111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253</v>
      </c>
      <c r="B77" s="123" t="s">
        <v>254</v>
      </c>
      <c r="C77" s="124">
        <v>0.37</v>
      </c>
      <c r="D77" s="124" t="s">
        <v>110</v>
      </c>
      <c r="E77" s="124">
        <v>1.3</v>
      </c>
      <c r="F77" s="125" t="s">
        <v>111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255</v>
      </c>
      <c r="B78" s="123" t="s">
        <v>256</v>
      </c>
      <c r="C78" s="124">
        <v>0.37</v>
      </c>
      <c r="D78" s="124" t="s">
        <v>110</v>
      </c>
      <c r="E78" s="124">
        <v>1.3</v>
      </c>
      <c r="F78" s="125" t="s">
        <v>111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70</v>
      </c>
      <c r="B79" s="123" t="s">
        <v>257</v>
      </c>
      <c r="C79" s="124">
        <v>0.38</v>
      </c>
      <c r="D79" s="124" t="s">
        <v>110</v>
      </c>
      <c r="E79" s="124">
        <v>1.3</v>
      </c>
      <c r="F79" s="125" t="s">
        <v>111</v>
      </c>
      <c r="G79" s="126">
        <v>0.55000000000000004</v>
      </c>
      <c r="H79" s="124" t="s">
        <v>127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258</v>
      </c>
      <c r="B80" s="123" t="s">
        <v>259</v>
      </c>
      <c r="C80" s="124">
        <v>0.36</v>
      </c>
      <c r="D80" s="124" t="s">
        <v>110</v>
      </c>
      <c r="E80" s="124">
        <v>1.3</v>
      </c>
      <c r="F80" s="125" t="s">
        <v>111</v>
      </c>
      <c r="G80" s="126">
        <v>0.55000000000000004</v>
      </c>
      <c r="H80" s="124" t="s">
        <v>127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260</v>
      </c>
      <c r="B81" s="123" t="s">
        <v>261</v>
      </c>
      <c r="C81" s="124">
        <v>0.37</v>
      </c>
      <c r="D81" s="124" t="s">
        <v>110</v>
      </c>
      <c r="E81" s="124">
        <v>1.56</v>
      </c>
      <c r="F81" s="125" t="s">
        <v>111</v>
      </c>
      <c r="G81" s="126">
        <v>0.43</v>
      </c>
      <c r="H81" s="124" t="s">
        <v>112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262</v>
      </c>
      <c r="B82" s="123" t="s">
        <v>263</v>
      </c>
      <c r="C82" s="124">
        <v>0.35</v>
      </c>
      <c r="D82" s="124" t="s">
        <v>264</v>
      </c>
      <c r="E82" s="124">
        <v>1.3</v>
      </c>
      <c r="F82" s="125" t="s">
        <v>111</v>
      </c>
      <c r="G82" s="126">
        <v>0.55000000000000004</v>
      </c>
      <c r="H82" s="124" t="s">
        <v>127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265</v>
      </c>
      <c r="B83" s="123" t="s">
        <v>266</v>
      </c>
      <c r="C83" s="124">
        <v>0.34</v>
      </c>
      <c r="D83" s="124" t="s">
        <v>110</v>
      </c>
      <c r="E83" s="124">
        <v>1.3</v>
      </c>
      <c r="F83" s="125" t="s">
        <v>111</v>
      </c>
      <c r="G83" s="126">
        <v>0.55000000000000004</v>
      </c>
      <c r="H83" s="124" t="s">
        <v>127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267</v>
      </c>
      <c r="B84" s="123" t="s">
        <v>268</v>
      </c>
      <c r="C84" s="124">
        <v>0.31</v>
      </c>
      <c r="D84" s="124" t="s">
        <v>110</v>
      </c>
      <c r="E84" s="124">
        <v>1.3</v>
      </c>
      <c r="F84" s="125" t="s">
        <v>111</v>
      </c>
      <c r="G84" s="126">
        <v>0.55000000000000004</v>
      </c>
      <c r="H84" s="124" t="s">
        <v>127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269</v>
      </c>
      <c r="B85" s="123" t="s">
        <v>270</v>
      </c>
      <c r="C85" s="124">
        <v>0.43</v>
      </c>
      <c r="D85" s="124" t="s">
        <v>110</v>
      </c>
      <c r="E85" s="124">
        <v>1.56</v>
      </c>
      <c r="F85" s="125" t="s">
        <v>111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271</v>
      </c>
      <c r="B86" s="123" t="s">
        <v>272</v>
      </c>
      <c r="C86" s="124">
        <v>0.38</v>
      </c>
      <c r="D86" s="124" t="s">
        <v>110</v>
      </c>
      <c r="E86" s="124">
        <v>1.56</v>
      </c>
      <c r="F86" s="125" t="s">
        <v>111</v>
      </c>
      <c r="G86" s="126">
        <v>0.6</v>
      </c>
      <c r="H86" s="124" t="s">
        <v>273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274</v>
      </c>
      <c r="B87" s="252" t="s">
        <v>275</v>
      </c>
      <c r="C87" s="253">
        <v>0.41</v>
      </c>
      <c r="D87" s="253" t="s">
        <v>276</v>
      </c>
      <c r="E87" s="253">
        <v>1.56</v>
      </c>
      <c r="F87" s="254" t="s">
        <v>111</v>
      </c>
      <c r="G87" s="255">
        <v>0.43</v>
      </c>
      <c r="H87" s="253" t="s">
        <v>112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277</v>
      </c>
      <c r="B88" s="130"/>
      <c r="C88" s="124">
        <v>0.42</v>
      </c>
      <c r="D88" s="124" t="s">
        <v>110</v>
      </c>
      <c r="E88" s="124">
        <v>1.3</v>
      </c>
      <c r="F88" s="125" t="s">
        <v>111</v>
      </c>
      <c r="G88" s="131"/>
      <c r="H88" s="130"/>
      <c r="I88" s="132"/>
    </row>
    <row r="89" spans="1:14" ht="15" thickBot="1">
      <c r="A89" s="133" t="s">
        <v>278</v>
      </c>
      <c r="B89" s="134"/>
      <c r="C89" s="135">
        <v>0.56999999999999995</v>
      </c>
      <c r="D89" s="136" t="s">
        <v>110</v>
      </c>
      <c r="E89" s="135">
        <v>1.56</v>
      </c>
      <c r="F89" s="135" t="s">
        <v>111</v>
      </c>
      <c r="G89" s="134"/>
      <c r="H89" s="134"/>
      <c r="I89" s="137"/>
    </row>
    <row r="93" spans="1:14">
      <c r="A93" s="122" t="s">
        <v>71</v>
      </c>
    </row>
    <row r="94" spans="1:14">
      <c r="A94" s="122" t="s">
        <v>72</v>
      </c>
    </row>
    <row r="95" spans="1:14">
      <c r="A95" s="122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8" zoomScale="90" zoomScaleNormal="90" workbookViewId="0">
      <selection activeCell="I8" sqref="I8"/>
    </sheetView>
  </sheetViews>
  <sheetFormatPr defaultColWidth="11.42578125" defaultRowHeight="14.4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5" thickBot="1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laricio</v>
      </c>
      <c r="B6" s="146">
        <f>'Données projet'!D9</f>
        <v>1.242</v>
      </c>
      <c r="C6" s="147">
        <f ca="1">IF(OR('Données projet'!B9="",'Données projet'!C9="",'Données projet'!C9=0%),0,Calculateur!S3)</f>
        <v>282.62919832217119</v>
      </c>
      <c r="D6" s="147">
        <f>IF(OR('Données projet'!B9="",'Données projet'!C9="",'Données projet'!C9=0%),0,Calculateur!T3)</f>
        <v>248.89638559192258</v>
      </c>
      <c r="E6" s="147">
        <f ca="1">MIN(C6,D6)</f>
        <v>248.89638559192258</v>
      </c>
      <c r="F6" s="147">
        <f ca="1">E6*B6</f>
        <v>309.12931090516787</v>
      </c>
      <c r="G6" s="147">
        <f ca="1">F6*(100%-'Données projet'!$C$24)*(100%-'Données projet'!$C$25)*(100%-'Données projet'!$C$26)*(100%-'Données projet'!$C$27)</f>
        <v>250.39474183318598</v>
      </c>
      <c r="H6" s="148">
        <f>IF(OR('Données projet'!B9="",'Données projet'!C9="",'Données projet'!C9=0%),0,AVERAGE(Calculateur!$AC$3:$AC$33)*B6)</f>
        <v>10.348089873467448</v>
      </c>
      <c r="I6" s="149">
        <f>H6*(100%-'Données projet'!$C$24)*(100%-'Données projet'!$C$25)*(100%-'Données projet'!$C$26)*(100%-'Données projet'!$C$27)</f>
        <v>8.3819527975086334</v>
      </c>
      <c r="J6" s="150">
        <f>IF(OR('Données projet'!B9="",'Données projet'!C9="",'Données projet'!C9=0%),0,SUM(Calculateur!$V$3:$V$33)*VLOOKUP('Données projet'!$B$9,Paramètres!$A$1:$I$89,9,0)*B6)</f>
        <v>76.276092461538454</v>
      </c>
      <c r="K6" s="151">
        <f>J6*(100%-'Données projet'!$C$24)*(100%-'Données projet'!$C$25)*(100%-'Données projet'!$C$26)*(100%-'Données projet'!$C$27)</f>
        <v>61.783634893846155</v>
      </c>
      <c r="L6" s="152">
        <f ca="1">G6+I6+K6</f>
        <v>320.5603295245408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Douglas</v>
      </c>
      <c r="B7" s="154">
        <f>'Données projet'!D10</f>
        <v>1.8285000000000002</v>
      </c>
      <c r="C7" s="147">
        <f ca="1">IF(OR('Données projet'!B10="",'Données projet'!C10="",'Données projet'!C10=0%),0,Calculateur!AN3)</f>
        <v>277.73784710957608</v>
      </c>
      <c r="D7" s="147">
        <f>IF(OR('Données projet'!B10="",'Données projet'!C10="",'Données projet'!C10=0%),0,Calculateur!AO3)</f>
        <v>369.67177565548127</v>
      </c>
      <c r="E7" s="147">
        <f t="shared" ref="E7:E15" ca="1" si="0">MIN(C7,D7)</f>
        <v>277.73784710957608</v>
      </c>
      <c r="F7" s="147">
        <f t="shared" ref="F7:F15" ca="1" si="1">E7*B7</f>
        <v>507.84365343985991</v>
      </c>
      <c r="G7" s="147">
        <f ca="1">F7*(100%-'Données projet'!$C$24)*(100%-'Données projet'!$C$25)*(100%-'Données projet'!$C$26)*(100%-'Données projet'!$C$27)</f>
        <v>411.35335928628655</v>
      </c>
      <c r="H7" s="155">
        <f>IF(OR('Données projet'!B10="",'Données projet'!C10="",'Données projet'!C10=0%),0,AVERAGE(Calculateur!$AX$3:$AX$33)*B7)</f>
        <v>22.330368246472396</v>
      </c>
      <c r="I7" s="149">
        <f>H7*(100%-'Données projet'!$C$24)*(100%-'Données projet'!$C$25)*(100%-'Données projet'!$C$26)*(100%-'Données projet'!$C$27)</f>
        <v>18.087598279642641</v>
      </c>
      <c r="J7" s="150">
        <f>IF(OR('Données projet'!B10="",'Données projet'!C10="",'Données projet'!C10=0%),0,SUM(Calculateur!$AQ$3:$AQ$33)*VLOOKUP('Données projet'!$B$10,Paramètres!$A$1:$I$89,9,0)*B7)</f>
        <v>139.65098423076921</v>
      </c>
      <c r="K7" s="151">
        <f>J7*(100%-'Données projet'!$C$24)*(100%-'Données projet'!$C$25)*(100%-'Données projet'!$C$26)*(100%-'Données projet'!$C$27)</f>
        <v>113.11729722692306</v>
      </c>
      <c r="L7" s="152">
        <f t="shared" ref="L7:L15" ca="1" si="2">G7+I7+K7</f>
        <v>542.55825479285227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Châtaignier</v>
      </c>
      <c r="B8" s="154">
        <f>'Données projet'!D11</f>
        <v>0.34500000000000003</v>
      </c>
      <c r="C8" s="147">
        <f ca="1">IF(OR('Données projet'!B11="",'Données projet'!C11="",'Données projet'!C11=0%),0,Calculateur!BI3)</f>
        <v>203.42120484957661</v>
      </c>
      <c r="D8" s="147">
        <f>IF(OR('Données projet'!B11="",'Données projet'!C11="",'Données projet'!C11=0%),0,Calculateur!BJ3)</f>
        <v>201.8090670543379</v>
      </c>
      <c r="E8" s="147">
        <f t="shared" ca="1" si="0"/>
        <v>201.8090670543379</v>
      </c>
      <c r="F8" s="147">
        <f t="shared" ca="1" si="1"/>
        <v>69.624128133746581</v>
      </c>
      <c r="G8" s="147">
        <f ca="1">F8*(100%-'Données projet'!$C$24)*(100%-'Données projet'!$C$25)*(100%-'Données projet'!$C$26)*(100%-'Données projet'!$C$27)</f>
        <v>56.395543788334734</v>
      </c>
      <c r="H8" s="155">
        <f>IF(OR('Données projet'!B11="",'Données projet'!C11="",'Données projet'!C11=0%),0,AVERAGE(Calculateur!$BS$3:$BS$33)*B8)</f>
        <v>7.8155721016469643E-2</v>
      </c>
      <c r="I8" s="149">
        <f>H8*(100%-'Données projet'!$C$24)*(100%-'Données projet'!$C$25)*(100%-'Données projet'!$C$26)*(100%-'Données projet'!$C$27)</f>
        <v>6.3306134023340413E-2</v>
      </c>
      <c r="J8" s="150">
        <f>IF(OR('Données projet'!B11="",'Données projet'!C11="",'Données projet'!C11=0%),0,SUM(Calculateur!$BL$3:$BL$33)*VLOOKUP('Données projet'!$B$11,Paramètres!$A$1:$I$89,9,0)*B8)</f>
        <v>8.5387500000000003</v>
      </c>
      <c r="K8" s="151">
        <f>J8*(100%-'Données projet'!$C$24)*(100%-'Données projet'!$C$25)*(100%-'Données projet'!$C$26)*(100%-'Données projet'!$C$27)</f>
        <v>6.9163875000000008</v>
      </c>
      <c r="L8" s="152">
        <f t="shared" ca="1" si="2"/>
        <v>63.375237422358076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886.59709247877436</v>
      </c>
      <c r="G16" s="166">
        <f t="shared" ca="1" si="3"/>
        <v>718.14364490780724</v>
      </c>
      <c r="H16" s="167">
        <f t="shared" si="3"/>
        <v>32.756613840956319</v>
      </c>
      <c r="I16" s="167">
        <f t="shared" si="3"/>
        <v>26.532857211174612</v>
      </c>
      <c r="J16" s="168">
        <f t="shared" si="3"/>
        <v>224.46582669230764</v>
      </c>
      <c r="K16" s="168">
        <f t="shared" si="3"/>
        <v>181.81731962076921</v>
      </c>
      <c r="L16" s="169">
        <f t="shared" ca="1" si="3"/>
        <v>926.49382173975107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0" zoomScale="80" zoomScaleNormal="80" workbookViewId="0">
      <selection activeCell="G36" sqref="G36"/>
    </sheetView>
  </sheetViews>
  <sheetFormatPr defaultColWidth="11.42578125" defaultRowHeight="14.4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5" thickBot="1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56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-3391.0307448613021</v>
      </c>
      <c r="U10" s="178">
        <f>'Données projet'!D9</f>
        <v>1.242</v>
      </c>
      <c r="V10" s="177">
        <f>U10*T10</f>
        <v>-4211.6601851177375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-1134.0479623380893</v>
      </c>
      <c r="U11" s="178">
        <f>'Données projet'!D10</f>
        <v>1.8285000000000002</v>
      </c>
      <c r="V11" s="177">
        <f t="shared" ref="V11" si="0">U11*T11</f>
        <v>-2073.6066991351963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Châtaignier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-2357.9878108225039</v>
      </c>
      <c r="U12" s="178">
        <f>'Données projet'!D11</f>
        <v>0.34500000000000003</v>
      </c>
      <c r="V12" s="177">
        <f t="shared" ref="V12:V19" si="1">U12*T12</f>
        <v>-813.50579473376388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75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47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194</v>
      </c>
      <c r="C17" s="198" t="s">
        <v>194</v>
      </c>
      <c r="D17" s="197" t="s">
        <v>194</v>
      </c>
      <c r="E17" s="193">
        <f>3117+1580</f>
        <v>4697</v>
      </c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49.999999999999979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89"/>
      <c r="H19" s="212" t="s">
        <v>75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1499.9999999999993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89"/>
      <c r="H20" s="190">
        <v>1</v>
      </c>
      <c r="I20" s="191">
        <v>4779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19</v>
      </c>
      <c r="B23" s="181">
        <f>'Données projet'!D36</f>
        <v>46.53846153846154</v>
      </c>
      <c r="C23" s="193">
        <v>10</v>
      </c>
      <c r="D23" s="182">
        <f>B23*C23</f>
        <v>465.38461538461542</v>
      </c>
      <c r="E23" s="193">
        <v>150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-22876.332487599138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24</v>
      </c>
      <c r="B24" s="181">
        <f>'Données projet'!D37</f>
        <v>40.41538461538461</v>
      </c>
      <c r="C24" s="193">
        <v>10</v>
      </c>
      <c r="D24" s="182">
        <f t="shared" ref="D24:D42" si="2">B24*C24</f>
        <v>404.15384615384608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572.92243857224969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30</v>
      </c>
      <c r="B25" s="181">
        <f>'Données projet'!D38</f>
        <v>55.869230769230761</v>
      </c>
      <c r="C25" s="193">
        <v>10</v>
      </c>
      <c r="D25" s="182">
        <f t="shared" si="2"/>
        <v>558.69230769230762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-23449.254926171387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37</v>
      </c>
      <c r="B26" s="181">
        <f>'Données projet'!D39</f>
        <v>43.623076923076923</v>
      </c>
      <c r="C26" s="193">
        <v>15</v>
      </c>
      <c r="D26" s="182">
        <f t="shared" si="2"/>
        <v>654.34615384615381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46</v>
      </c>
      <c r="B27" s="181">
        <f>'Données projet'!D40</f>
        <v>72.561538461538461</v>
      </c>
      <c r="C27" s="193">
        <v>25</v>
      </c>
      <c r="D27" s="182">
        <f t="shared" si="2"/>
        <v>1814.0384615384614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56</v>
      </c>
      <c r="B28" s="181">
        <f>'Données projet'!D41</f>
        <v>60.092307692307692</v>
      </c>
      <c r="C28" s="193">
        <v>25</v>
      </c>
      <c r="D28" s="182">
        <f t="shared" si="2"/>
        <v>1502.3076923076924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66</v>
      </c>
      <c r="B29" s="181">
        <f>'Données projet'!D42</f>
        <v>68.146153846153851</v>
      </c>
      <c r="C29" s="193">
        <v>25</v>
      </c>
      <c r="D29" s="182">
        <f t="shared" si="2"/>
        <v>1703.6538461538462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76</v>
      </c>
      <c r="B30" s="181">
        <f>'Données projet'!D43</f>
        <v>520.22307692307686</v>
      </c>
      <c r="C30" s="193">
        <v>25</v>
      </c>
      <c r="D30" s="182">
        <f t="shared" si="2"/>
        <v>13005.576923076922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75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47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194</v>
      </c>
      <c r="C48" s="198" t="s">
        <v>194</v>
      </c>
      <c r="D48" s="197" t="s">
        <v>194</v>
      </c>
      <c r="E48" s="193">
        <f>1545+3117</f>
        <v>4662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18</v>
      </c>
      <c r="B54" s="181">
        <f>'Données projet'!D62</f>
        <v>69.284615384615378</v>
      </c>
      <c r="C54" s="191">
        <v>10</v>
      </c>
      <c r="D54" s="179">
        <f>B54*C54</f>
        <v>692.84615384615381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24</v>
      </c>
      <c r="B55" s="181">
        <f>'Données projet'!D63</f>
        <v>42.661538461538463</v>
      </c>
      <c r="C55" s="191">
        <v>10</v>
      </c>
      <c r="D55" s="179">
        <f t="shared" ref="D55:D73" si="4">B55*C55</f>
        <v>426.61538461538464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30</v>
      </c>
      <c r="B56" s="181">
        <f>'Données projet'!D64</f>
        <v>65.669230769230765</v>
      </c>
      <c r="C56" s="191">
        <v>18</v>
      </c>
      <c r="D56" s="179">
        <f t="shared" si="4"/>
        <v>1182.0461538461539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36</v>
      </c>
      <c r="B57" s="181">
        <f>'Données projet'!D65</f>
        <v>69.3</v>
      </c>
      <c r="C57" s="191">
        <v>25</v>
      </c>
      <c r="D57" s="179">
        <f t="shared" si="4"/>
        <v>1732.5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42</v>
      </c>
      <c r="B58" s="181">
        <f>'Données projet'!D66</f>
        <v>73.392307692307682</v>
      </c>
      <c r="C58" s="191">
        <v>25</v>
      </c>
      <c r="D58" s="179">
        <f t="shared" si="4"/>
        <v>1834.8076923076922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48</v>
      </c>
      <c r="B59" s="181">
        <f>'Données projet'!D67</f>
        <v>81.330769230769235</v>
      </c>
      <c r="C59" s="191">
        <v>35</v>
      </c>
      <c r="D59" s="179">
        <f t="shared" si="4"/>
        <v>2846.5769230769233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54</v>
      </c>
      <c r="B60" s="181">
        <f>'Données projet'!D68</f>
        <v>566.79999999999995</v>
      </c>
      <c r="C60" s="191">
        <v>40</v>
      </c>
      <c r="D60" s="179">
        <f t="shared" si="4"/>
        <v>22672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>Châtaignier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47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194</v>
      </c>
      <c r="C79" s="198" t="s">
        <v>194</v>
      </c>
      <c r="D79" s="197" t="s">
        <v>194</v>
      </c>
      <c r="E79" s="193">
        <f>3117+282</f>
        <v>3399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15</v>
      </c>
      <c r="B85" s="181">
        <f>'Données projet'!D88</f>
        <v>15</v>
      </c>
      <c r="C85" s="191">
        <v>10</v>
      </c>
      <c r="D85" s="179">
        <f>B85*C85</f>
        <v>150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20</v>
      </c>
      <c r="B86" s="181">
        <f>'Données projet'!D89</f>
        <v>28</v>
      </c>
      <c r="C86" s="191">
        <v>10</v>
      </c>
      <c r="D86" s="179">
        <f t="shared" ref="D86:D104" si="6">B86*C86</f>
        <v>280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25</v>
      </c>
      <c r="B87" s="181">
        <f>'Données projet'!D90</f>
        <v>28</v>
      </c>
      <c r="C87" s="191">
        <v>15</v>
      </c>
      <c r="D87" s="179">
        <f t="shared" si="6"/>
        <v>420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30</v>
      </c>
      <c r="B88" s="181">
        <f>'Données projet'!D91</f>
        <v>28</v>
      </c>
      <c r="C88" s="191">
        <v>15</v>
      </c>
      <c r="D88" s="179">
        <f t="shared" si="6"/>
        <v>420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35</v>
      </c>
      <c r="B89" s="181">
        <f>'Données projet'!D92</f>
        <v>28</v>
      </c>
      <c r="C89" s="191">
        <v>50</v>
      </c>
      <c r="D89" s="179">
        <f t="shared" si="6"/>
        <v>1400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40</v>
      </c>
      <c r="B90" s="181">
        <f>'Données projet'!D93</f>
        <v>28</v>
      </c>
      <c r="C90" s="191">
        <v>50</v>
      </c>
      <c r="D90" s="179">
        <f t="shared" si="6"/>
        <v>1400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45</v>
      </c>
      <c r="B91" s="181">
        <f>'Données projet'!D94</f>
        <v>22</v>
      </c>
      <c r="C91" s="191">
        <v>50</v>
      </c>
      <c r="D91" s="179">
        <f t="shared" si="6"/>
        <v>1100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50</v>
      </c>
      <c r="B92" s="181">
        <f>'Données projet'!D95</f>
        <v>17</v>
      </c>
      <c r="C92" s="191">
        <v>50</v>
      </c>
      <c r="D92" s="179">
        <f t="shared" si="6"/>
        <v>850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55</v>
      </c>
      <c r="B93" s="181">
        <f>'Données projet'!D96</f>
        <v>13</v>
      </c>
      <c r="C93" s="191">
        <v>50</v>
      </c>
      <c r="D93" s="179">
        <f t="shared" si="6"/>
        <v>650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60</v>
      </c>
      <c r="B94" s="181">
        <f>'Données projet'!D97</f>
        <v>12</v>
      </c>
      <c r="C94" s="191">
        <v>50</v>
      </c>
      <c r="D94" s="179">
        <f t="shared" si="6"/>
        <v>600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65</v>
      </c>
      <c r="B95" s="181">
        <f>'Données projet'!D98</f>
        <v>11</v>
      </c>
      <c r="C95" s="191">
        <v>50</v>
      </c>
      <c r="D95" s="179">
        <f t="shared" si="6"/>
        <v>550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70</v>
      </c>
      <c r="B96" s="181">
        <f>'Données projet'!D99</f>
        <v>10</v>
      </c>
      <c r="C96" s="191">
        <v>50</v>
      </c>
      <c r="D96" s="179">
        <f t="shared" si="6"/>
        <v>500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75</v>
      </c>
      <c r="B97" s="181">
        <f>'Données projet'!D100</f>
        <v>9</v>
      </c>
      <c r="C97" s="191">
        <v>50</v>
      </c>
      <c r="D97" s="179">
        <f t="shared" si="6"/>
        <v>450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80</v>
      </c>
      <c r="B98" s="181">
        <f>'Données projet'!D101</f>
        <v>8</v>
      </c>
      <c r="C98" s="191">
        <v>50</v>
      </c>
      <c r="D98" s="179">
        <f t="shared" si="6"/>
        <v>400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47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47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47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47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47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47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47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8EA2ED-40E8-409E-8063-909685AC7173}"/>
</file>

<file path=customXml/itemProps2.xml><?xml version="1.0" encoding="utf-8"?>
<ds:datastoreItem xmlns:ds="http://schemas.openxmlformats.org/officeDocument/2006/customXml" ds:itemID="{3118F9DD-407B-4402-A290-6DE3A8134033}"/>
</file>

<file path=customXml/itemProps3.xml><?xml version="1.0" encoding="utf-8"?>
<ds:datastoreItem xmlns:ds="http://schemas.openxmlformats.org/officeDocument/2006/customXml" ds:itemID="{512BAEF1-AAC4-49E2-A6BD-04B7D7FEF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CNPF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2024-10-15T08:25:58Z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