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Paul DESLOUS/Guillaume BARRERE/2.Dossier_LBC_déposé/"/>
    </mc:Choice>
  </mc:AlternateContent>
  <xr:revisionPtr revIDLastSave="14" documentId="13_ncr:1_{046D4CC3-612C-4993-821C-0E5C3535447B}" xr6:coauthVersionLast="47" xr6:coauthVersionMax="47" xr10:uidLastSave="{AF9A24C5-C9A1-48CB-A0BD-16A6CE32F62C}"/>
  <bookViews>
    <workbookView xWindow="4800" yWindow="0" windowWidth="14400" windowHeight="1128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EA4" i="2"/>
  <c r="FQ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FS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EB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H38" i="2"/>
  <c r="HG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HI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EV57" i="2"/>
  <c r="FS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G113" i="2"/>
  <c r="EX113" i="2"/>
  <c r="HI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HH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HG130" i="2"/>
  <c r="HI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H140" i="2"/>
  <c r="EC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G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HJ154" i="2" s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HH155" i="2"/>
  <c r="EA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HG156" i="2" l="1"/>
  <c r="HH156" i="2"/>
  <c r="A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HG161" i="2"/>
  <c r="EX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HH164" i="2"/>
  <c r="EV164" i="2"/>
  <c r="HG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HH168" i="2"/>
  <c r="EW168" i="2"/>
  <c r="EV168" i="2"/>
  <c r="EY168" i="2" s="1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FS175" i="2"/>
  <c r="EB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EY179" i="2" s="1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/>
  <c r="EX180" i="2" l="1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V185" i="2"/>
  <c r="EB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AA189" i="2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I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HI195" i="2"/>
  <c r="AA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HH197" i="2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H201" i="2" l="1"/>
  <c r="HG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HI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DN66" i="2" a="1"/>
  <c r="DN66" i="2" s="1"/>
  <c r="EI195" i="2" a="1"/>
  <c r="EI195" i="2" s="1"/>
  <c r="AH151" i="2" a="1"/>
  <c r="AH151" i="2" s="1"/>
  <c r="CS77" i="2" a="1"/>
  <c r="CS77" i="2" s="1"/>
  <c r="AH90" i="2" a="1"/>
  <c r="AH90" i="2" s="1"/>
  <c r="AH19" i="2" a="1"/>
  <c r="AH19" i="2" s="1"/>
  <c r="CS38" i="2" a="1"/>
  <c r="CS38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CS24" i="2" a="1"/>
  <c r="CS24" i="2" s="1"/>
  <c r="FD82" i="2" a="1"/>
  <c r="FD82" i="2" s="1"/>
  <c r="HJ202" i="2"/>
  <c r="EY202" i="2"/>
  <c r="AX200" i="2"/>
  <c r="DN29" i="2" l="1" a="1"/>
  <c r="DN29" i="2" s="1"/>
  <c r="DN30" i="2" a="1"/>
  <c r="DN30" i="2" s="1"/>
  <c r="DN41" i="2" a="1"/>
  <c r="DN41" i="2" s="1"/>
  <c r="FY173" i="2" a="1"/>
  <c r="FY173" i="2" s="1"/>
  <c r="DN114" i="2" a="1"/>
  <c r="DN114" i="2" s="1"/>
  <c r="FY188" i="2" a="1"/>
  <c r="FY188" i="2" s="1"/>
  <c r="FY79" i="2" a="1"/>
  <c r="FY79" i="2" s="1"/>
  <c r="DN49" i="2" a="1"/>
  <c r="DN49" i="2" s="1"/>
  <c r="FY29" i="2" a="1"/>
  <c r="FY29" i="2" s="1"/>
  <c r="DN176" i="2" a="1"/>
  <c r="DN176" i="2" s="1"/>
  <c r="FY24" i="2" a="1"/>
  <c r="FY24" i="2" s="1"/>
  <c r="FY35" i="2" a="1"/>
  <c r="FY35" i="2" s="1"/>
  <c r="DN135" i="2" a="1"/>
  <c r="DN135" i="2" s="1"/>
  <c r="FY167" i="2" a="1"/>
  <c r="FY167" i="2" s="1"/>
  <c r="DN170" i="2" a="1"/>
  <c r="DN170" i="2" s="1"/>
  <c r="FY174" i="2" a="1"/>
  <c r="FY174" i="2" s="1"/>
  <c r="DN133" i="2" a="1"/>
  <c r="DN133" i="2" s="1"/>
  <c r="DN123" i="2" a="1"/>
  <c r="DN123" i="2" s="1"/>
  <c r="FY169" i="2" a="1"/>
  <c r="FY169" i="2" s="1"/>
  <c r="FY153" i="2" a="1"/>
  <c r="FY153" i="2" s="1"/>
  <c r="CS114" i="2" a="1"/>
  <c r="CS114" i="2" s="1"/>
  <c r="CS120" i="2" a="1"/>
  <c r="CS120" i="2" s="1"/>
  <c r="AH163" i="2" a="1"/>
  <c r="AH163" i="2" s="1"/>
  <c r="DN124" i="2" a="1"/>
  <c r="DN124" i="2" s="1"/>
  <c r="FY102" i="2" a="1"/>
  <c r="FY102" i="2" s="1"/>
  <c r="CS72" i="2" a="1"/>
  <c r="CS72" i="2" s="1"/>
  <c r="DN63" i="2" a="1"/>
  <c r="DN63" i="2" s="1"/>
  <c r="BC192" i="2" a="1"/>
  <c r="BC192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167" i="2" a="1"/>
  <c r="DN167" i="2" s="1"/>
  <c r="DN188" i="2" a="1"/>
  <c r="DN188" i="2" s="1"/>
  <c r="DN16" i="2" a="1"/>
  <c r="DN16" i="2" s="1"/>
  <c r="FY34" i="2" a="1"/>
  <c r="FY34" i="2" s="1"/>
  <c r="FY133" i="2" a="1"/>
  <c r="FY133" i="2" s="1"/>
  <c r="DN46" i="2" a="1"/>
  <c r="DN46" i="2" s="1"/>
  <c r="DN162" i="2" a="1"/>
  <c r="DN162" i="2" s="1"/>
  <c r="DN177" i="2" a="1"/>
  <c r="DN177" i="2" s="1"/>
  <c r="FY164" i="2" a="1"/>
  <c r="FY164" i="2" s="1"/>
  <c r="FY140" i="2" a="1"/>
  <c r="FY140" i="2" s="1"/>
  <c r="FY58" i="2" a="1"/>
  <c r="FY58" i="2" s="1"/>
  <c r="DN103" i="2" a="1"/>
  <c r="DN103" i="2" s="1"/>
  <c r="FY149" i="2" a="1"/>
  <c r="FY149" i="2" s="1"/>
  <c r="FY143" i="2" a="1"/>
  <c r="FY143" i="2" s="1"/>
  <c r="FY47" i="2" a="1"/>
  <c r="FY47" i="2" s="1"/>
  <c r="DN164" i="2" a="1"/>
  <c r="DN164" i="2" s="1"/>
  <c r="DN137" i="2" a="1"/>
  <c r="DN137" i="2" s="1"/>
  <c r="FY191" i="2" a="1"/>
  <c r="FY191" i="2" s="1"/>
  <c r="DN190" i="2" a="1"/>
  <c r="DN190" i="2" s="1"/>
  <c r="CS137" i="2" a="1"/>
  <c r="CS137" i="2" s="1"/>
  <c r="FY124" i="2" a="1"/>
  <c r="FY124" i="2" s="1"/>
  <c r="FY165" i="2" a="1"/>
  <c r="FY165" i="2" s="1"/>
  <c r="DN38" i="2" a="1"/>
  <c r="DN38" i="2" s="1"/>
  <c r="FY142" i="2" a="1"/>
  <c r="FY142" i="2" s="1"/>
  <c r="CS52" i="2" a="1"/>
  <c r="CS52" i="2" s="1"/>
  <c r="FY99" i="2" a="1"/>
  <c r="FY99" i="2" s="1"/>
  <c r="DN65" i="2" a="1"/>
  <c r="DN65" i="2" s="1"/>
  <c r="FY80" i="2" a="1"/>
  <c r="FY80" i="2" s="1"/>
  <c r="DN50" i="2" a="1"/>
  <c r="DN50" i="2" s="1"/>
  <c r="FY116" i="2" a="1"/>
  <c r="FY116" i="2" s="1"/>
  <c r="DN70" i="2" a="1"/>
  <c r="DN70" i="2" s="1"/>
  <c r="DN45" i="2" a="1"/>
  <c r="DN45" i="2" s="1"/>
  <c r="DN55" i="2" a="1"/>
  <c r="DN55" i="2" s="1"/>
  <c r="DN80" i="2" a="1"/>
  <c r="DN80" i="2" s="1"/>
  <c r="BC18" i="2" a="1"/>
  <c r="BC18" i="2" s="1"/>
  <c r="BC55" i="2" a="1"/>
  <c r="BC55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32" i="2" a="1"/>
  <c r="DN132" i="2" s="1"/>
  <c r="FY115" i="2" a="1"/>
  <c r="FY115" i="2" s="1"/>
  <c r="DN86" i="2" a="1"/>
  <c r="DN86" i="2" s="1"/>
  <c r="FY126" i="2" a="1"/>
  <c r="FY126" i="2" s="1"/>
  <c r="FY109" i="2" a="1"/>
  <c r="FY109" i="2" s="1"/>
  <c r="FY86" i="2" a="1"/>
  <c r="FY86" i="2" s="1"/>
  <c r="DN43" i="2" a="1"/>
  <c r="DN43" i="2" s="1"/>
  <c r="FY159" i="2" a="1"/>
  <c r="FY159" i="2" s="1"/>
  <c r="DN115" i="2" a="1"/>
  <c r="DN115" i="2" s="1"/>
  <c r="DN186" i="2" a="1"/>
  <c r="DN186" i="2" s="1"/>
  <c r="FY28" i="2" a="1"/>
  <c r="FY28" i="2" s="1"/>
  <c r="FY121" i="2" a="1"/>
  <c r="FY121" i="2" s="1"/>
  <c r="DN153" i="2" a="1"/>
  <c r="DN153" i="2" s="1"/>
  <c r="FY78" i="2" a="1"/>
  <c r="FY78" i="2" s="1"/>
  <c r="DN187" i="2" a="1"/>
  <c r="DN187" i="2" s="1"/>
  <c r="CS105" i="2" a="1"/>
  <c r="CS105" i="2" s="1"/>
  <c r="CS129" i="2" a="1"/>
  <c r="CS129" i="2" s="1"/>
  <c r="FY110" i="2" a="1"/>
  <c r="FY110" i="2" s="1"/>
  <c r="CS161" i="2" a="1"/>
  <c r="CS161" i="2" s="1"/>
  <c r="DN129" i="2" a="1"/>
  <c r="DN129" i="2" s="1"/>
  <c r="FY146" i="2" a="1"/>
  <c r="FY146" i="2" s="1"/>
  <c r="BX107" i="2" a="1"/>
  <c r="BX107" i="2" s="1"/>
  <c r="FY62" i="2" a="1"/>
  <c r="FY62" i="2" s="1"/>
  <c r="FY32" i="2" a="1"/>
  <c r="FY32" i="2" s="1"/>
  <c r="FS203" i="2"/>
  <c r="CS56" i="2" a="1"/>
  <c r="CS56" i="2" s="1"/>
  <c r="CS134" i="2" a="1"/>
  <c r="CS134" i="2" s="1"/>
  <c r="DN110" i="2" a="1"/>
  <c r="DN110" i="2" s="1"/>
  <c r="CS185" i="2" a="1"/>
  <c r="CS185" i="2" s="1"/>
  <c r="BC38" i="2" a="1"/>
  <c r="BC38" i="2" s="1"/>
  <c r="BC130" i="2" a="1"/>
  <c r="BC130" i="2" s="1"/>
  <c r="FY196" i="2" a="1"/>
  <c r="FY196" i="2" s="1"/>
  <c r="AH166" i="2" a="1"/>
  <c r="AH166" i="2" s="1"/>
  <c r="DN192" i="2" a="1"/>
  <c r="DN192" i="2" s="1"/>
  <c r="DN184" i="2" a="1"/>
  <c r="DN184" i="2" s="1"/>
  <c r="BC117" i="2" a="1"/>
  <c r="BC117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<sst xmlns="http://schemas.openxmlformats.org/spreadsheetml/2006/main" count="1170" uniqueCount="324">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</sst>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2.1470376753052474</c:v>
                </c:pt>
                <c:pt idx="2">
                  <c:v>2.972947942654844</c:v>
                </c:pt>
                <c:pt idx="3">
                  <c:v>4.117930265867856</c:v>
                </c:pt>
                <c:pt idx="4">
                  <c:v>5.7057474873861986</c:v>
                </c:pt>
                <c:pt idx="5">
                  <c:v>7.9083477474801613</c:v>
                </c:pt>
                <c:pt idx="6">
                  <c:v>10.964689535737344</c:v>
                </c:pt>
                <c:pt idx="7">
                  <c:v>15.206944594451004</c:v>
                </c:pt>
                <c:pt idx="8">
                  <c:v>21.096978508050285</c:v>
                </c:pt>
                <c:pt idx="9">
                  <c:v>29.277151553198568</c:v>
                </c:pt>
                <c:pt idx="10">
                  <c:v>40.641076503223253</c:v>
                </c:pt>
                <c:pt idx="11">
                  <c:v>56.432194246454053</c:v>
                </c:pt>
                <c:pt idx="12">
                  <c:v>78.381131814000284</c:v>
                </c:pt>
                <c:pt idx="13">
                  <c:v>108.8971392424794</c:v>
                </c:pt>
                <c:pt idx="14">
                  <c:v>151.33494848914384</c:v>
                </c:pt>
                <c:pt idx="15">
                  <c:v>128.49351401488121</c:v>
                </c:pt>
                <c:pt idx="16">
                  <c:v>152.53988816763052</c:v>
                </c:pt>
                <c:pt idx="17">
                  <c:v>176.49586999908536</c:v>
                </c:pt>
                <c:pt idx="18">
                  <c:v>200.37547244281245</c:v>
                </c:pt>
                <c:pt idx="19">
                  <c:v>224.1890839328014</c:v>
                </c:pt>
                <c:pt idx="20">
                  <c:v>175.85827410459763</c:v>
                </c:pt>
                <c:pt idx="21">
                  <c:v>198.54114021779466</c:v>
                </c:pt>
                <c:pt idx="22">
                  <c:v>221.16386637311734</c:v>
                </c:pt>
                <c:pt idx="23">
                  <c:v>243.73347018256243</c:v>
                </c:pt>
                <c:pt idx="24">
                  <c:v>266.25556181785288</c:v>
                </c:pt>
                <c:pt idx="25">
                  <c:v>288.73472412555702</c:v>
                </c:pt>
                <c:pt idx="26">
                  <c:v>241.99735741936021</c:v>
                </c:pt>
                <c:pt idx="27">
                  <c:v>263.22482328379903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306.2657315466613</c:v>
                </c:pt>
                <c:pt idx="34">
                  <c:v>325.34802988622556</c:v>
                </c:pt>
                <c:pt idx="35">
                  <c:v>344.40560805799936</c:v>
                </c:pt>
                <c:pt idx="36">
                  <c:v>363.44002584805617</c:v>
                </c:pt>
                <c:pt idx="37">
                  <c:v>382.45266636774096</c:v>
                </c:pt>
                <c:pt idx="38">
                  <c:v>401.44476403526886</c:v>
                </c:pt>
                <c:pt idx="39">
                  <c:v>420.41742698462758</c:v>
                </c:pt>
                <c:pt idx="40">
                  <c:v>439.37165521801171</c:v>
                </c:pt>
                <c:pt idx="41">
                  <c:v>458.30835546266059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515.02120023621637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" zoomScale="80" zoomScaleNormal="80" workbookViewId="0">
      <selection activeCell="C25" sqref="C25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4.7699999999999996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36</v>
      </c>
      <c r="C9" s="32">
        <v>1</v>
      </c>
      <c r="D9" s="33">
        <f t="shared" ref="D9:D18" si="0">C9*$C$5</f>
        <v>4.7699999999999996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4.7699999999999996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14</v>
      </c>
      <c r="B36" s="60">
        <v>113.33076923076922</v>
      </c>
      <c r="C36" s="60">
        <v>1</v>
      </c>
      <c r="D36" s="60">
        <v>35.969230769230769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8.0950549450549438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19</v>
      </c>
      <c r="B37" s="60">
        <v>169.6</v>
      </c>
      <c r="C37" s="60">
        <v>2</v>
      </c>
      <c r="D37" s="60">
        <v>54.907692307692301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18.447692307692307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25</v>
      </c>
      <c r="B38" s="60">
        <v>219.8153846153846</v>
      </c>
      <c r="C38" s="60">
        <v>3</v>
      </c>
      <c r="D38" s="60">
        <v>52.9</v>
      </c>
      <c r="E38" s="51">
        <v>0</v>
      </c>
      <c r="F38" s="51">
        <v>0.56000000000000005</v>
      </c>
      <c r="G38" s="51">
        <v>0.44</v>
      </c>
      <c r="H38" s="51">
        <v>0</v>
      </c>
      <c r="I38" s="53">
        <f t="shared" si="1"/>
        <v>17.520512820512817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282.48461538461538</v>
      </c>
      <c r="C39" s="60">
        <v>4</v>
      </c>
      <c r="D39" s="60">
        <v>63.899999999999991</v>
      </c>
      <c r="E39" s="51">
        <v>0</v>
      </c>
      <c r="F39" s="51">
        <v>0.56000000000000005</v>
      </c>
      <c r="G39" s="51">
        <v>0.44</v>
      </c>
      <c r="H39" s="51">
        <v>0</v>
      </c>
      <c r="I39" s="49">
        <f t="shared" si="1"/>
        <v>16.509890109890112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45</v>
      </c>
      <c r="B40" s="60">
        <v>412.49230769230769</v>
      </c>
      <c r="C40" s="60">
        <v>5</v>
      </c>
      <c r="D40" s="60">
        <v>412.49230769230769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14.915976331360945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C22" sqref="C21:C22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195.14508560011791</v>
      </c>
      <c r="T3" s="59">
        <f>IF('Données projet'!E9&gt;30,$R$33-$H$33,LOOKUP('Données projet'!$E$9,$A$3:$A$203,R3:R203)-LOOKUP('Données projet'!$E$9,$A$3:$A$203,$H$3:$H$203))</f>
        <v>285.1531413455931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8.0950549450549438</v>
      </c>
      <c r="N4" s="13">
        <f>IF('Données projet'!$A$36&gt;35,N3+M4-V3,IF(A4&lt;'Données projet'!$A$36,$K$205^A4,IF(A4='Données projet'!$A$36,'Données projet'!$B$36,N3+M4-V3)))</f>
        <v>1.401971325755863</v>
      </c>
      <c r="O4" s="13">
        <f>N4*VLOOKUP('Données projet'!$B$9,Paramètres!$A$1:$I$89,3,0)*VLOOKUP('Données projet'!$B$9,Paramètres!$A$1:$I$89,5,0)</f>
        <v>0.83837885280200608</v>
      </c>
      <c r="P4" s="13">
        <f>EXP(-1.0587+0.8836*LN(O4)+0.284)</f>
        <v>0.39437005167947581</v>
      </c>
      <c r="Q4" s="20">
        <f t="shared" ref="Q4:Q34" si="2">(O4+P4)*0.475*44/12</f>
        <v>2.1470376753052474</v>
      </c>
      <c r="R4" s="59">
        <f t="shared" si="0"/>
        <v>295.48037100863854</v>
      </c>
      <c r="S4" s="59">
        <f ca="1">AVERAGE(OFFSET($R$3,0,0,'Données projet'!$E$9+1,1))-AVERAGE(OFFSET($H$3,0,0,'Données projet'!$E$9+1,1))</f>
        <v>195.14508560011791</v>
      </c>
      <c r="T4" s="59">
        <f>$T$3</f>
        <v>285.1531413455931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8.0950549450549438</v>
      </c>
      <c r="N5" s="13">
        <f>IF('Données projet'!$A$36&gt;35,N4+M5-V4,IF(A5&lt;'Données projet'!$A$36,$K$205^A5,IF(A5='Données projet'!$A$36,'Données projet'!$B$36,N4+M5-V4)))</f>
        <v>1.9655235982416521</v>
      </c>
      <c r="O5" s="13">
        <f>N5*VLOOKUP('Données projet'!$B$9,Paramètres!$A$1:$I$89,3,0)*VLOOKUP('Données projet'!$B$9,Paramètres!$A$1:$I$89,5,0)</f>
        <v>1.1753831117485081</v>
      </c>
      <c r="P5" s="13">
        <f t="shared" ref="P5:P68" si="33">EXP(-1.0587+0.8836*LN(O5)+0.284)</f>
        <v>0.53157264479972777</v>
      </c>
      <c r="Q5" s="20">
        <f t="shared" si="2"/>
        <v>2.972947942654844</v>
      </c>
      <c r="R5" s="59">
        <f t="shared" si="0"/>
        <v>296.30628127598817</v>
      </c>
      <c r="S5" s="59">
        <f ca="1">AVERAGE(OFFSET($R$3,0,0,'Données projet'!$E$9+1,1))-AVERAGE(OFFSET($H$3,0,0,'Données projet'!$E$9+1,1))</f>
        <v>195.14508560011791</v>
      </c>
      <c r="T5" s="59">
        <f t="shared" ref="T5:T68" si="34">$T$3</f>
        <v>285.1531413455931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8.0950549450549438</v>
      </c>
      <c r="N6" s="13">
        <f>IF('Données projet'!$A$36&gt;35,N5+M6-V5,IF(A6&lt;'Données projet'!$A$36,$K$205^A6,IF(A6='Données projet'!$A$36,'Données projet'!$B$36,N5+M6-V5)))</f>
        <v>2.7556077248312834</v>
      </c>
      <c r="O6" s="13">
        <f>N6*VLOOKUP('Données projet'!$B$9,Paramètres!$A$1:$I$89,3,0)*VLOOKUP('Données projet'!$B$9,Paramètres!$A$1:$I$89,5,0)</f>
        <v>1.6478534194491075</v>
      </c>
      <c r="P6" s="13">
        <f t="shared" si="33"/>
        <v>0.71650845569033161</v>
      </c>
      <c r="Q6" s="20">
        <f t="shared" si="2"/>
        <v>4.117930265867856</v>
      </c>
      <c r="R6" s="59">
        <f t="shared" si="0"/>
        <v>297.45126359920118</v>
      </c>
      <c r="S6" s="59">
        <f ca="1">AVERAGE(OFFSET($R$3,0,0,'Données projet'!$E$9+1,1))-AVERAGE(OFFSET($H$3,0,0,'Données projet'!$E$9+1,1))</f>
        <v>195.14508560011791</v>
      </c>
      <c r="T6" s="59">
        <f t="shared" si="34"/>
        <v>285.1531413455931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8.0950549450549438</v>
      </c>
      <c r="N7" s="13">
        <f>IF('Données projet'!$A$36&gt;35,N6+M7-V6,IF(A7&lt;'Données projet'!$A$36,$K$205^A7,IF(A7='Données projet'!$A$36,'Données projet'!$B$36,N6+M7-V6)))</f>
        <v>3.8632830152448117</v>
      </c>
      <c r="O7" s="13">
        <f>N7*VLOOKUP('Données projet'!$B$9,Paramètres!$A$1:$I$89,3,0)*VLOOKUP('Données projet'!$B$9,Paramètres!$A$1:$I$89,5,0)</f>
        <v>2.3102432431163975</v>
      </c>
      <c r="P7" s="13">
        <f t="shared" si="33"/>
        <v>0.96578402236850169</v>
      </c>
      <c r="Q7" s="20">
        <f t="shared" si="2"/>
        <v>5.7057474873861986</v>
      </c>
      <c r="R7" s="59">
        <f t="shared" si="0"/>
        <v>299.03908082071951</v>
      </c>
      <c r="S7" s="59">
        <f ca="1">AVERAGE(OFFSET($R$3,0,0,'Données projet'!$E$9+1,1))-AVERAGE(OFFSET($H$3,0,0,'Données projet'!$E$9+1,1))</f>
        <v>195.14508560011791</v>
      </c>
      <c r="T7" s="59">
        <f t="shared" si="34"/>
        <v>285.1531413455931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8.0950549450549438</v>
      </c>
      <c r="N8" s="13">
        <f>IF('Données projet'!$A$36&gt;35,N7+M8-V7,IF(A8&lt;'Données projet'!$A$36,$K$205^A8,IF(A8='Données projet'!$A$36,'Données projet'!$B$36,N7+M8-V7)))</f>
        <v>5.4162120106528766</v>
      </c>
      <c r="O8" s="13">
        <f>N8*VLOOKUP('Données projet'!$B$9,Paramètres!$A$1:$I$89,3,0)*VLOOKUP('Données projet'!$B$9,Paramètres!$A$1:$I$89,5,0)</f>
        <v>3.2388947823704202</v>
      </c>
      <c r="P8" s="13">
        <f t="shared" si="33"/>
        <v>1.301783350154075</v>
      </c>
      <c r="Q8" s="20">
        <f t="shared" si="2"/>
        <v>7.9083477474801613</v>
      </c>
      <c r="R8" s="59">
        <f t="shared" si="0"/>
        <v>301.24168108081346</v>
      </c>
      <c r="S8" s="59">
        <f ca="1">AVERAGE(OFFSET($R$3,0,0,'Données projet'!$E$9+1,1))-AVERAGE(OFFSET($H$3,0,0,'Données projet'!$E$9+1,1))</f>
        <v>195.14508560011791</v>
      </c>
      <c r="T8" s="59">
        <f t="shared" si="34"/>
        <v>285.1531413455931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8.0950549450549438</v>
      </c>
      <c r="N9" s="13">
        <f>IF('Données projet'!$A$36&gt;35,N8+M9-V8,IF(A9&lt;'Données projet'!$A$36,$K$205^A9,IF(A9='Données projet'!$A$36,'Données projet'!$B$36,N8+M9-V8)))</f>
        <v>7.5933739331498415</v>
      </c>
      <c r="O9" s="13">
        <f>N9*VLOOKUP('Données projet'!$B$9,Paramètres!$A$1:$I$89,3,0)*VLOOKUP('Données projet'!$B$9,Paramètres!$A$1:$I$89,5,0)</f>
        <v>4.5408376120236058</v>
      </c>
      <c r="P9" s="13">
        <f t="shared" si="33"/>
        <v>1.7546779108877884</v>
      </c>
      <c r="Q9" s="20">
        <f t="shared" si="2"/>
        <v>10.964689535737344</v>
      </c>
      <c r="R9" s="59">
        <f t="shared" si="0"/>
        <v>304.29802286907068</v>
      </c>
      <c r="S9" s="59">
        <f ca="1">AVERAGE(OFFSET($R$3,0,0,'Données projet'!$E$9+1,1))-AVERAGE(OFFSET($H$3,0,0,'Données projet'!$E$9+1,1))</f>
        <v>195.14508560011791</v>
      </c>
      <c r="T9" s="59">
        <f t="shared" si="34"/>
        <v>285.1531413455931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8.0950549450549438</v>
      </c>
      <c r="N10" s="13">
        <f>IF('Données projet'!$A$36&gt;35,N9+M10-V9,IF(A10&lt;'Données projet'!$A$36,$K$205^A10,IF(A10='Données projet'!$A$36,'Données projet'!$B$36,N9+M10-V9)))</f>
        <v>10.645692520018095</v>
      </c>
      <c r="O10" s="13">
        <f>N10*VLOOKUP('Données projet'!$B$9,Paramètres!$A$1:$I$89,3,0)*VLOOKUP('Données projet'!$B$9,Paramètres!$A$1:$I$89,5,0)</f>
        <v>6.3661241269708215</v>
      </c>
      <c r="P10" s="13">
        <f t="shared" si="33"/>
        <v>2.3651359272594203</v>
      </c>
      <c r="Q10" s="20">
        <f t="shared" si="2"/>
        <v>15.206944594451004</v>
      </c>
      <c r="R10" s="59">
        <f t="shared" si="0"/>
        <v>308.5402779277843</v>
      </c>
      <c r="S10" s="59">
        <f ca="1">AVERAGE(OFFSET($R$3,0,0,'Données projet'!$E$9+1,1))-AVERAGE(OFFSET($H$3,0,0,'Données projet'!$E$9+1,1))</f>
        <v>195.14508560011791</v>
      </c>
      <c r="T10" s="59">
        <f t="shared" si="34"/>
        <v>285.1531413455931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8.0950549450549438</v>
      </c>
      <c r="N11" s="13">
        <f>IF('Données projet'!$A$36&gt;35,N10+M11-V10,IF(A11&lt;'Données projet'!$A$36,$K$205^A11,IF(A11='Données projet'!$A$36,'Données projet'!$B$36,N10+M11-V10)))</f>
        <v>14.924955655879044</v>
      </c>
      <c r="O11" s="13">
        <f>N11*VLOOKUP('Données projet'!$B$9,Paramètres!$A$1:$I$89,3,0)*VLOOKUP('Données projet'!$B$9,Paramètres!$A$1:$I$89,5,0)</f>
        <v>8.9251234822156693</v>
      </c>
      <c r="P11" s="13">
        <f t="shared" si="33"/>
        <v>3.1879742257557866</v>
      </c>
      <c r="Q11" s="20">
        <f t="shared" si="2"/>
        <v>21.096978508050285</v>
      </c>
      <c r="R11" s="59">
        <f t="shared" si="0"/>
        <v>314.43031184138363</v>
      </c>
      <c r="S11" s="59">
        <f ca="1">AVERAGE(OFFSET($R$3,0,0,'Données projet'!$E$9+1,1))-AVERAGE(OFFSET($H$3,0,0,'Données projet'!$E$9+1,1))</f>
        <v>195.14508560011791</v>
      </c>
      <c r="T11" s="59">
        <f t="shared" si="34"/>
        <v>285.1531413455931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8.0950549450549438</v>
      </c>
      <c r="N12" s="13">
        <f>IF('Données projet'!$A$36&gt;35,N11+M12-V11,IF(A12&lt;'Données projet'!$A$36,$K$205^A12,IF(A12='Données projet'!$A$36,'Données projet'!$B$36,N11+M12-V11)))</f>
        <v>20.924359867720209</v>
      </c>
      <c r="O12" s="13">
        <f>N12*VLOOKUP('Données projet'!$B$9,Paramètres!$A$1:$I$89,3,0)*VLOOKUP('Données projet'!$B$9,Paramètres!$A$1:$I$89,5,0)</f>
        <v>12.512767200896686</v>
      </c>
      <c r="P12" s="13">
        <f t="shared" si="33"/>
        <v>4.2970805808441188</v>
      </c>
      <c r="Q12" s="20">
        <f t="shared" si="2"/>
        <v>29.277151553198568</v>
      </c>
      <c r="R12" s="59">
        <f t="shared" si="0"/>
        <v>322.61048488653188</v>
      </c>
      <c r="S12" s="59">
        <f ca="1">AVERAGE(OFFSET($R$3,0,0,'Données projet'!$E$9+1,1))-AVERAGE(OFFSET($H$3,0,0,'Données projet'!$E$9+1,1))</f>
        <v>195.14508560011791</v>
      </c>
      <c r="T12" s="59">
        <f t="shared" si="34"/>
        <v>285.1531413455931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8.0950549450549438</v>
      </c>
      <c r="N13" s="13">
        <f>IF('Données projet'!$A$36&gt;35,N12+M13-V12,IF(A13&lt;'Données projet'!$A$36,$K$205^A13,IF(A13='Données projet'!$A$36,'Données projet'!$B$36,N12+M13-V12)))</f>
        <v>29.335352544340477</v>
      </c>
      <c r="O13" s="13">
        <f>N13*VLOOKUP('Données projet'!$B$9,Paramètres!$A$1:$I$89,3,0)*VLOOKUP('Données projet'!$B$9,Paramètres!$A$1:$I$89,5,0)</f>
        <v>17.542540821515608</v>
      </c>
      <c r="P13" s="13">
        <f t="shared" si="33"/>
        <v>5.7920485583254955</v>
      </c>
      <c r="Q13" s="20">
        <f t="shared" si="2"/>
        <v>40.641076503223253</v>
      </c>
      <c r="R13" s="59">
        <f t="shared" si="0"/>
        <v>333.97440983655656</v>
      </c>
      <c r="S13" s="59">
        <f ca="1">AVERAGE(OFFSET($R$3,0,0,'Données projet'!$E$9+1,1))-AVERAGE(OFFSET($H$3,0,0,'Données projet'!$E$9+1,1))</f>
        <v>195.14508560011791</v>
      </c>
      <c r="T13" s="59">
        <f t="shared" si="34"/>
        <v>285.1531413455931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8.0950549450549438</v>
      </c>
      <c r="N14" s="13">
        <f>IF('Données projet'!$A$36&gt;35,N13+M14-V13,IF(A14&lt;'Données projet'!$A$36,$K$205^A14,IF(A14='Données projet'!$A$36,'Données projet'!$B$36,N13+M14-V13)))</f>
        <v>41.127323098104647</v>
      </c>
      <c r="O14" s="13">
        <f>N14*VLOOKUP('Données projet'!$B$9,Paramètres!$A$1:$I$89,3,0)*VLOOKUP('Données projet'!$B$9,Paramètres!$A$1:$I$89,5,0)</f>
        <v>24.59413921266658</v>
      </c>
      <c r="P14" s="13">
        <f t="shared" si="33"/>
        <v>7.8071206417568018</v>
      </c>
      <c r="Q14" s="20">
        <f t="shared" si="2"/>
        <v>56.432194246454053</v>
      </c>
      <c r="R14" s="59">
        <f t="shared" si="0"/>
        <v>349.76552757978737</v>
      </c>
      <c r="S14" s="59">
        <f ca="1">AVERAGE(OFFSET($R$3,0,0,'Données projet'!$E$9+1,1))-AVERAGE(OFFSET($H$3,0,0,'Données projet'!$E$9+1,1))</f>
        <v>195.14508560011791</v>
      </c>
      <c r="T14" s="59">
        <f t="shared" si="34"/>
        <v>285.1531413455931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8.0950549450549438</v>
      </c>
      <c r="N15" s="13">
        <f>IF('Données projet'!$A$36&gt;35,N14+M15-V14,IF(A15&lt;'Données projet'!$A$36,$K$205^A15,IF(A15='Données projet'!$A$36,'Données projet'!$B$36,N14+M15-V14)))</f>
        <v>57.6593276886395</v>
      </c>
      <c r="O15" s="13">
        <f>N15*VLOOKUP('Données projet'!$B$9,Paramètres!$A$1:$I$89,3,0)*VLOOKUP('Données projet'!$B$9,Paramètres!$A$1:$I$89,5,0)</f>
        <v>34.480277957806422</v>
      </c>
      <c r="P15" s="13">
        <f t="shared" si="33"/>
        <v>10.523242700949725</v>
      </c>
      <c r="Q15" s="20">
        <f t="shared" si="2"/>
        <v>78.381131814000284</v>
      </c>
      <c r="R15" s="59">
        <f t="shared" si="0"/>
        <v>371.71446514733361</v>
      </c>
      <c r="S15" s="59">
        <f ca="1">AVERAGE(OFFSET($R$3,0,0,'Données projet'!$E$9+1,1))-AVERAGE(OFFSET($H$3,0,0,'Données projet'!$E$9+1,1))</f>
        <v>195.14508560011791</v>
      </c>
      <c r="T15" s="59">
        <f t="shared" si="34"/>
        <v>285.1531413455931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8.0950549450549438</v>
      </c>
      <c r="N16" s="13">
        <f>IF('Données projet'!$A$36&gt;35,N15+M16-V15,IF(A16&lt;'Données projet'!$A$36,$K$205^A16,IF(A16='Données projet'!$A$36,'Données projet'!$B$36,N15+M16-V15)))</f>
        <v>80.836724081833665</v>
      </c>
      <c r="O16" s="13">
        <f>N16*VLOOKUP('Données projet'!$B$9,Paramètres!$A$1:$I$89,3,0)*VLOOKUP('Données projet'!$B$9,Paramètres!$A$1:$I$89,5,0)</f>
        <v>48.340361000936532</v>
      </c>
      <c r="P16" s="13">
        <f t="shared" si="33"/>
        <v>14.184312248333937</v>
      </c>
      <c r="Q16" s="20">
        <f t="shared" si="2"/>
        <v>108.8971392424794</v>
      </c>
      <c r="R16" s="59">
        <f t="shared" si="0"/>
        <v>402.23047257581271</v>
      </c>
      <c r="S16" s="59">
        <f ca="1">AVERAGE(OFFSET($R$3,0,0,'Données projet'!$E$9+1,1))-AVERAGE(OFFSET($H$3,0,0,'Données projet'!$E$9+1,1))</f>
        <v>195.14508560011791</v>
      </c>
      <c r="T16" s="59">
        <f t="shared" si="34"/>
        <v>285.1531413455931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113.33076923076922</v>
      </c>
      <c r="L17" s="12">
        <f>VLOOKUP(A17,'Données projet'!$A$35:$I$55,9,0)</f>
        <v>8.0950549450549438</v>
      </c>
      <c r="M17" s="12">
        <f t="array" ref="M17">INDEX(L:L,MIN(IF(ISNUMBER(L17:L213),ROW(L17:L213),"")))</f>
        <v>8.0950549450549438</v>
      </c>
      <c r="N17" s="13">
        <f>IF('Données projet'!$A$36&gt;35,N16+M17-V16,IF(A17&lt;'Données projet'!$A$36,$K$205^A17,IF(A17='Données projet'!$A$36,'Données projet'!$B$36,N16+M17-V16)))</f>
        <v>113.33076923076922</v>
      </c>
      <c r="O17" s="13">
        <f>N17*VLOOKUP('Données projet'!$B$9,Paramètres!$A$1:$I$89,3,0)*VLOOKUP('Données projet'!$B$9,Paramètres!$A$1:$I$89,5,0)</f>
        <v>67.771799999999999</v>
      </c>
      <c r="P17" s="13">
        <f t="shared" si="33"/>
        <v>19.119079515297894</v>
      </c>
      <c r="Q17" s="20">
        <f t="shared" si="2"/>
        <v>151.33494848914384</v>
      </c>
      <c r="R17" s="59">
        <f t="shared" si="0"/>
        <v>444.66828182247718</v>
      </c>
      <c r="S17" s="59">
        <f ca="1">AVERAGE(OFFSET($R$3,0,0,'Données projet'!$E$9+1,1))-AVERAGE(OFFSET($H$3,0,0,'Données projet'!$E$9+1,1))</f>
        <v>195.14508560011791</v>
      </c>
      <c r="T17" s="59">
        <f t="shared" si="34"/>
        <v>285.1531413455931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35.969230769230769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0.25200000000000006</v>
      </c>
      <c r="Y17" s="16">
        <f>IF(ISNA(VLOOKUP(A17,'Données projet'!$A$35:$I$55,7,0)),0%,VLOOKUP(A17,'Données projet'!$A$35:$I$55,7,0))</f>
        <v>0.44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7.1622235664490104</v>
      </c>
      <c r="AB17" s="21">
        <f>EXP(-LN(2)/2)*AB16+(1-EXP(-LN(2)/2))/(LN(2)/2)*V17*Y17*VLOOKUP('Données projet'!$B$9,Paramètres!$A$1:$I$89,3,0)*0.475*44/12</f>
        <v>10.715700083825119</v>
      </c>
      <c r="AC17" s="22">
        <f t="shared" si="3"/>
        <v>17.877923650274131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18.447692307692307</v>
      </c>
      <c r="N18" s="13">
        <f>IF('Données projet'!$A$36&gt;35,N17+M18-V17,IF(A18&lt;'Données projet'!$A$36,$K$205^A18,IF(A18='Données projet'!$A$36,'Données projet'!$B$36,N17+M18-V17)))</f>
        <v>95.809230769230766</v>
      </c>
      <c r="O18" s="13">
        <f>N18*VLOOKUP('Données projet'!$B$9,Paramètres!$A$1:$I$89,3,0)*VLOOKUP('Données projet'!$B$9,Paramètres!$A$1:$I$89,5,0)</f>
        <v>57.29392</v>
      </c>
      <c r="P18" s="13">
        <f t="shared" si="33"/>
        <v>16.482260295625579</v>
      </c>
      <c r="Q18" s="20">
        <f t="shared" si="2"/>
        <v>128.49351401488121</v>
      </c>
      <c r="R18" s="59">
        <f t="shared" si="0"/>
        <v>421.82684734821453</v>
      </c>
      <c r="S18" s="59">
        <f ca="1">AVERAGE(OFFSET($R$3,0,0,'Données projet'!$E$9+1,1))-AVERAGE(OFFSET($H$3,0,0,'Données projet'!$E$9+1,1))</f>
        <v>195.14508560011791</v>
      </c>
      <c r="T18" s="59">
        <f t="shared" si="34"/>
        <v>285.1531413455931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6.9663721863794947</v>
      </c>
      <c r="AB18" s="21">
        <f>EXP(-LN(2)/2)*AB17+(1-EXP(-LN(2)/2))/(LN(2)/2)*V18*Y18*VLOOKUP('Données projet'!$B$9,Paramètres!$A$1:$I$89,3,0)*0.475*44/12</f>
        <v>7.5771441944339983</v>
      </c>
      <c r="AC18" s="22">
        <f t="shared" si="3"/>
        <v>14.543516380813493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18.447692307692307</v>
      </c>
      <c r="N19" s="13">
        <f>IF('Données projet'!$A$36&gt;35,N18+M19-V18,IF(A19&lt;'Données projet'!$A$36,$K$205^A19,IF(A19='Données projet'!$A$36,'Données projet'!$B$36,N18+M19-V18)))</f>
        <v>114.25692307692307</v>
      </c>
      <c r="O19" s="13">
        <f>N19*VLOOKUP('Données projet'!$B$9,Paramètres!$A$1:$I$89,3,0)*VLOOKUP('Données projet'!$B$9,Paramètres!$A$1:$I$89,5,0)</f>
        <v>68.325640000000007</v>
      </c>
      <c r="P19" s="13">
        <f t="shared" si="33"/>
        <v>19.257070909644309</v>
      </c>
      <c r="Q19" s="20">
        <f t="shared" si="2"/>
        <v>152.53988816763052</v>
      </c>
      <c r="R19" s="59">
        <f t="shared" si="0"/>
        <v>445.87322150096384</v>
      </c>
      <c r="S19" s="59">
        <f ca="1">AVERAGE(OFFSET($R$3,0,0,'Données projet'!$E$9+1,1))-AVERAGE(OFFSET($H$3,0,0,'Données projet'!$E$9+1,1))</f>
        <v>195.14508560011791</v>
      </c>
      <c r="T19" s="59">
        <f t="shared" si="34"/>
        <v>285.1531413455931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6.7758763725973559</v>
      </c>
      <c r="AB19" s="21">
        <f>EXP(-LN(2)/2)*AB18+(1-EXP(-LN(2)/2))/(LN(2)/2)*V19*Y19*VLOOKUP('Données projet'!$B$9,Paramètres!$A$1:$I$89,3,0)*0.475*44/12</f>
        <v>5.3578500419125605</v>
      </c>
      <c r="AC19" s="22">
        <f t="shared" si="3"/>
        <v>12.133726414509916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18.447692307692307</v>
      </c>
      <c r="N20" s="13">
        <f>IF('Données projet'!$A$36&gt;35,N19+M20-V19,IF(A20&lt;'Données projet'!$A$36,$K$205^A20,IF(A20='Données projet'!$A$36,'Données projet'!$B$36,N19+M20-V19)))</f>
        <v>132.70461538461538</v>
      </c>
      <c r="O20" s="13">
        <f>N20*VLOOKUP('Données projet'!$B$9,Paramètres!$A$1:$I$89,3,0)*VLOOKUP('Données projet'!$B$9,Paramètres!$A$1:$I$89,5,0)</f>
        <v>79.35736</v>
      </c>
      <c r="P20" s="13">
        <f t="shared" si="33"/>
        <v>21.979981626269101</v>
      </c>
      <c r="Q20" s="20">
        <f t="shared" si="2"/>
        <v>176.49586999908536</v>
      </c>
      <c r="R20" s="59">
        <f t="shared" si="0"/>
        <v>469.82920333241867</v>
      </c>
      <c r="S20" s="59">
        <f ca="1">AVERAGE(OFFSET($R$3,0,0,'Données projet'!$E$9+1,1))-AVERAGE(OFFSET($H$3,0,0,'Données projet'!$E$9+1,1))</f>
        <v>195.14508560011791</v>
      </c>
      <c r="T20" s="59">
        <f t="shared" si="34"/>
        <v>285.1531413455931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6.5905896768608292</v>
      </c>
      <c r="AB20" s="21">
        <f>EXP(-LN(2)/2)*AB19+(1-EXP(-LN(2)/2))/(LN(2)/2)*V20*Y20*VLOOKUP('Données projet'!$B$9,Paramètres!$A$1:$I$89,3,0)*0.475*44/12</f>
        <v>3.7885720972169996</v>
      </c>
      <c r="AC20" s="22">
        <f t="shared" si="3"/>
        <v>10.379161774077829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18.447692307692307</v>
      </c>
      <c r="N21" s="13">
        <f>IF('Données projet'!$A$36&gt;35,N20+M21-V20,IF(A21&lt;'Données projet'!$A$36,$K$205^A21,IF(A21='Données projet'!$A$36,'Données projet'!$B$36,N20+M21-V20)))</f>
        <v>151.15230769230769</v>
      </c>
      <c r="O21" s="13">
        <f>N21*VLOOKUP('Données projet'!$B$9,Paramètres!$A$1:$I$89,3,0)*VLOOKUP('Données projet'!$B$9,Paramètres!$A$1:$I$89,5,0)</f>
        <v>90.389080000000007</v>
      </c>
      <c r="P21" s="13">
        <f t="shared" si="33"/>
        <v>24.659038148983221</v>
      </c>
      <c r="Q21" s="20">
        <f t="shared" si="2"/>
        <v>200.37547244281245</v>
      </c>
      <c r="R21" s="59">
        <f t="shared" si="0"/>
        <v>493.70880577614577</v>
      </c>
      <c r="S21" s="59">
        <f ca="1">AVERAGE(OFFSET($R$3,0,0,'Données projet'!$E$9+1,1))-AVERAGE(OFFSET($H$3,0,0,'Données projet'!$E$9+1,1))</f>
        <v>195.14508560011791</v>
      </c>
      <c r="T21" s="59">
        <f t="shared" si="34"/>
        <v>285.1531413455931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6.4103696555630219</v>
      </c>
      <c r="AB21" s="21">
        <f>EXP(-LN(2)/2)*AB20+(1-EXP(-LN(2)/2))/(LN(2)/2)*V21*Y21*VLOOKUP('Données projet'!$B$9,Paramètres!$A$1:$I$89,3,0)*0.475*44/12</f>
        <v>2.6789250209562807</v>
      </c>
      <c r="AC21" s="22">
        <f t="shared" si="3"/>
        <v>9.0892946765193017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169.6</v>
      </c>
      <c r="L22" s="12">
        <f>VLOOKUP(A22,'Données projet'!$A$35:$I$55,9,0)</f>
        <v>18.447692307692307</v>
      </c>
      <c r="M22" s="12">
        <f t="array" ref="M22">INDEX(L:L,MIN(IF(ISNUMBER(L22:L218),ROW(L22:L218),"")))</f>
        <v>18.447692307692307</v>
      </c>
      <c r="N22" s="13">
        <f>IF('Données projet'!$A$36&gt;35,N21+M22-V21,IF(A22&lt;'Données projet'!$A$36,$K$205^A22,IF(A22='Données projet'!$A$36,'Données projet'!$B$36,N21+M22-V21)))</f>
        <v>169.6</v>
      </c>
      <c r="O22" s="13">
        <f>N22*VLOOKUP('Données projet'!$B$9,Paramètres!$A$1:$I$89,3,0)*VLOOKUP('Données projet'!$B$9,Paramètres!$A$1:$I$89,5,0)</f>
        <v>101.42080000000001</v>
      </c>
      <c r="P22" s="13">
        <f t="shared" si="33"/>
        <v>27.300205128881174</v>
      </c>
      <c r="Q22" s="20">
        <f t="shared" si="2"/>
        <v>224.1890839328014</v>
      </c>
      <c r="R22" s="59">
        <f t="shared" si="0"/>
        <v>517.52241726613465</v>
      </c>
      <c r="S22" s="59">
        <f ca="1">AVERAGE(OFFSET($R$3,0,0,'Données projet'!$E$9+1,1))-AVERAGE(OFFSET($H$3,0,0,'Données projet'!$E$9+1,1))</f>
        <v>195.14508560011791</v>
      </c>
      <c r="T22" s="59">
        <f t="shared" si="34"/>
        <v>285.1531413455931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54.907692307692301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17.168343760505763</v>
      </c>
      <c r="AB22" s="21">
        <f>EXP(-LN(2)/2)*AB21+(1-EXP(-LN(2)/2))/(LN(2)/2)*V22*Y22*VLOOKUP('Données projet'!$B$9,Paramètres!$A$1:$I$89,3,0)*0.475*44/12</f>
        <v>18.251999307450181</v>
      </c>
      <c r="AC22" s="22">
        <f t="shared" si="3"/>
        <v>35.42034306795594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17.520512820512817</v>
      </c>
      <c r="N23" s="13">
        <f>IF('Données projet'!$A$36&gt;35,N22+M23-V22,IF(A23&lt;'Données projet'!$A$36,$K$205^A23,IF(A23='Données projet'!$A$36,'Données projet'!$B$36,N22+M23-V22)))</f>
        <v>132.21282051282049</v>
      </c>
      <c r="O23" s="13">
        <f>N23*VLOOKUP('Données projet'!$B$9,Paramètres!$A$1:$I$89,3,0)*VLOOKUP('Données projet'!$B$9,Paramètres!$A$1:$I$89,5,0)</f>
        <v>79.063266666666664</v>
      </c>
      <c r="P23" s="13">
        <f t="shared" si="33"/>
        <v>21.907991192432455</v>
      </c>
      <c r="Q23" s="20">
        <f t="shared" si="2"/>
        <v>175.85827410459763</v>
      </c>
      <c r="R23" s="59">
        <f t="shared" si="0"/>
        <v>469.19160743793094</v>
      </c>
      <c r="S23" s="59">
        <f ca="1">AVERAGE(OFFSET($R$3,0,0,'Données projet'!$E$9+1,1))-AVERAGE(OFFSET($H$3,0,0,'Données projet'!$E$9+1,1))</f>
        <v>195.14508560011791</v>
      </c>
      <c r="T23" s="59">
        <f t="shared" si="34"/>
        <v>285.1531413455931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16.698874497530774</v>
      </c>
      <c r="AB23" s="21">
        <f>EXP(-LN(2)/2)*AB22+(1-EXP(-LN(2)/2))/(LN(2)/2)*V23*Y23*VLOOKUP('Données projet'!$B$9,Paramètres!$A$1:$I$89,3,0)*0.475*44/12</f>
        <v>12.906112480510192</v>
      </c>
      <c r="AC23" s="22">
        <f t="shared" si="3"/>
        <v>29.604986978040966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17.520512820512817</v>
      </c>
      <c r="N24" s="13">
        <f>IF('Données projet'!$A$36&gt;35,N23+M24-V23,IF(A24&lt;'Données projet'!$A$36,$K$205^A24,IF(A24='Données projet'!$A$36,'Données projet'!$B$36,N23+M24-V23)))</f>
        <v>149.73333333333329</v>
      </c>
      <c r="O24" s="13">
        <f>N24*VLOOKUP('Données projet'!$B$9,Paramètres!$A$1:$I$89,3,0)*VLOOKUP('Données projet'!$B$9,Paramètres!$A$1:$I$89,5,0)</f>
        <v>89.540533333333315</v>
      </c>
      <c r="P24" s="13">
        <f t="shared" si="33"/>
        <v>24.454379710376543</v>
      </c>
      <c r="Q24" s="20">
        <f t="shared" si="2"/>
        <v>198.54114021779466</v>
      </c>
      <c r="R24" s="59">
        <f t="shared" si="0"/>
        <v>491.87447355112795</v>
      </c>
      <c r="S24" s="59">
        <f ca="1">AVERAGE(OFFSET($R$3,0,0,'Données projet'!$E$9+1,1))-AVERAGE(OFFSET($H$3,0,0,'Données projet'!$E$9+1,1))</f>
        <v>195.14508560011791</v>
      </c>
      <c r="T24" s="59">
        <f t="shared" si="34"/>
        <v>285.1531413455931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16.24224289624015</v>
      </c>
      <c r="AB24" s="21">
        <f>EXP(-LN(2)/2)*AB23+(1-EXP(-LN(2)/2))/(LN(2)/2)*V24*Y24*VLOOKUP('Données projet'!$B$9,Paramètres!$A$1:$I$89,3,0)*0.475*44/12</f>
        <v>9.1259996537250903</v>
      </c>
      <c r="AC24" s="22">
        <f t="shared" si="3"/>
        <v>25.368242549965238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17.520512820512817</v>
      </c>
      <c r="N25" s="13">
        <f>IF('Données projet'!$A$36&gt;35,N24+M25-V24,IF(A25&lt;'Données projet'!$A$36,$K$205^A25,IF(A25='Données projet'!$A$36,'Données projet'!$B$36,N24+M25-V24)))</f>
        <v>167.2538461538461</v>
      </c>
      <c r="O25" s="13">
        <f>N25*VLOOKUP('Données projet'!$B$9,Paramètres!$A$1:$I$89,3,0)*VLOOKUP('Données projet'!$B$9,Paramètres!$A$1:$I$89,5,0)</f>
        <v>100.01779999999998</v>
      </c>
      <c r="P25" s="13">
        <f t="shared" si="33"/>
        <v>26.966238108966916</v>
      </c>
      <c r="Q25" s="20">
        <f t="shared" si="2"/>
        <v>221.16386637311734</v>
      </c>
      <c r="R25" s="59">
        <f t="shared" si="0"/>
        <v>514.4971997064506</v>
      </c>
      <c r="S25" s="59">
        <f ca="1">AVERAGE(OFFSET($R$3,0,0,'Données projet'!$E$9+1,1))-AVERAGE(OFFSET($H$3,0,0,'Données projet'!$E$9+1,1))</f>
        <v>195.14508560011791</v>
      </c>
      <c r="T25" s="59">
        <f t="shared" si="34"/>
        <v>285.1531413455931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15.798097910100031</v>
      </c>
      <c r="AB25" s="21">
        <f>EXP(-LN(2)/2)*AB24+(1-EXP(-LN(2)/2))/(LN(2)/2)*V25*Y25*VLOOKUP('Données projet'!$B$9,Paramètres!$A$1:$I$89,3,0)*0.475*44/12</f>
        <v>6.4530562402550959</v>
      </c>
      <c r="AC25" s="22">
        <f t="shared" si="3"/>
        <v>22.251154150355127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17.520512820512817</v>
      </c>
      <c r="N26" s="13">
        <f>IF('Données projet'!$A$36&gt;35,N25+M26-V25,IF(A26&lt;'Données projet'!$A$36,$K$205^A26,IF(A26='Données projet'!$A$36,'Données projet'!$B$36,N25+M26-V25)))</f>
        <v>184.7743589743589</v>
      </c>
      <c r="O26" s="13">
        <f>N26*VLOOKUP('Données projet'!$B$9,Paramètres!$A$1:$I$89,3,0)*VLOOKUP('Données projet'!$B$9,Paramètres!$A$1:$I$89,5,0)</f>
        <v>110.49506666666665</v>
      </c>
      <c r="P26" s="13">
        <f t="shared" si="33"/>
        <v>29.447595639110826</v>
      </c>
      <c r="Q26" s="20">
        <f t="shared" si="2"/>
        <v>243.73347018256243</v>
      </c>
      <c r="R26" s="59">
        <f t="shared" si="0"/>
        <v>537.0668035158958</v>
      </c>
      <c r="S26" s="59">
        <f ca="1">AVERAGE(OFFSET($R$3,0,0,'Données projet'!$E$9+1,1))-AVERAGE(OFFSET($H$3,0,0,'Données projet'!$E$9+1,1))</f>
        <v>195.14508560011791</v>
      </c>
      <c r="T26" s="59">
        <f t="shared" si="34"/>
        <v>285.1531413455931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15.366098091962483</v>
      </c>
      <c r="AB26" s="21">
        <f>EXP(-LN(2)/2)*AB25+(1-EXP(-LN(2)/2))/(LN(2)/2)*V26*Y26*VLOOKUP('Données projet'!$B$9,Paramètres!$A$1:$I$89,3,0)*0.475*44/12</f>
        <v>4.5629998268625451</v>
      </c>
      <c r="AC26" s="22">
        <f t="shared" si="3"/>
        <v>19.929097918825029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17.520512820512817</v>
      </c>
      <c r="N27" s="13">
        <f>IF('Données projet'!$A$36&gt;35,N26+M27-V26,IF(A27&lt;'Données projet'!$A$36,$K$205^A27,IF(A27='Données projet'!$A$36,'Données projet'!$B$36,N26+M27-V26)))</f>
        <v>202.29487179487171</v>
      </c>
      <c r="O27" s="13">
        <f>N27*VLOOKUP('Données projet'!$B$9,Paramètres!$A$1:$I$89,3,0)*VLOOKUP('Données projet'!$B$9,Paramètres!$A$1:$I$89,5,0)</f>
        <v>120.9723333333333</v>
      </c>
      <c r="P27" s="13">
        <f t="shared" si="33"/>
        <v>31.901673452036796</v>
      </c>
      <c r="Q27" s="20">
        <f t="shared" si="2"/>
        <v>266.25556181785288</v>
      </c>
      <c r="R27" s="59">
        <f t="shared" si="0"/>
        <v>559.58889515118619</v>
      </c>
      <c r="S27" s="59">
        <f ca="1">AVERAGE(OFFSET($R$3,0,0,'Données projet'!$E$9+1,1))-AVERAGE(OFFSET($H$3,0,0,'Données projet'!$E$9+1,1))</f>
        <v>195.14508560011791</v>
      </c>
      <c r="T27" s="59">
        <f t="shared" si="34"/>
        <v>285.1531413455931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14.945911331569789</v>
      </c>
      <c r="AB27" s="21">
        <f>EXP(-LN(2)/2)*AB26+(1-EXP(-LN(2)/2))/(LN(2)/2)*V27*Y27*VLOOKUP('Données projet'!$B$9,Paramètres!$A$1:$I$89,3,0)*0.475*44/12</f>
        <v>3.226528120127548</v>
      </c>
      <c r="AC27" s="22">
        <f t="shared" si="3"/>
        <v>18.172439451697336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219.8153846153846</v>
      </c>
      <c r="L28" s="12">
        <f>VLOOKUP(A28,'Données projet'!$A$35:$I$55,9,0)</f>
        <v>17.520512820512817</v>
      </c>
      <c r="M28" s="12">
        <f t="array" ref="M28">INDEX(L:L,MIN(IF(ISNUMBER(L28:L224),ROW(L28:L224),"")))</f>
        <v>17.520512820512817</v>
      </c>
      <c r="N28" s="13">
        <f>IF('Données projet'!$A$36&gt;35,N27+M28-V27,IF(A28&lt;'Données projet'!$A$36,$K$205^A28,IF(A28='Données projet'!$A$36,'Données projet'!$B$36,N27+M28-V27)))</f>
        <v>219.81538461538452</v>
      </c>
      <c r="O28" s="13">
        <f>N28*VLOOKUP('Données projet'!$B$9,Paramètres!$A$1:$I$89,3,0)*VLOOKUP('Données projet'!$B$9,Paramètres!$A$1:$I$89,5,0)</f>
        <v>131.44959999999995</v>
      </c>
      <c r="P28" s="13">
        <f t="shared" si="33"/>
        <v>34.331102847209827</v>
      </c>
      <c r="Q28" s="20">
        <f t="shared" si="2"/>
        <v>288.73472412555702</v>
      </c>
      <c r="R28" s="59">
        <f t="shared" si="0"/>
        <v>582.06805745889028</v>
      </c>
      <c r="S28" s="59">
        <f ca="1">AVERAGE(OFFSET($R$3,0,0,'Données projet'!$E$9+1,1))-AVERAGE(OFFSET($H$3,0,0,'Données projet'!$E$9+1,1))</f>
        <v>195.14508560011791</v>
      </c>
      <c r="T28" s="59">
        <f t="shared" si="34"/>
        <v>285.1531413455931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52.9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0.25200000000000006</v>
      </c>
      <c r="Y28" s="16">
        <f>IF(ISNA(VLOOKUP(A28,'Données projet'!$A$35:$I$55,7,0)),0%,VLOOKUP(A28,'Données projet'!$A$35:$I$55,7,0))</f>
        <v>0.44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25.070707214965065</v>
      </c>
      <c r="AB28" s="21">
        <f>EXP(-LN(2)/2)*AB27+(1-EXP(-LN(2)/2))/(LN(2)/2)*V28*Y28*VLOOKUP('Données projet'!$B$9,Paramètres!$A$1:$I$89,3,0)*0.475*44/12</f>
        <v>18.041095609852434</v>
      </c>
      <c r="AC28" s="22">
        <f t="shared" si="3"/>
        <v>43.111802824817502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16.509890109890112</v>
      </c>
      <c r="N29" s="13">
        <f>IF('Données projet'!$A$36&gt;35,N28+M29-V28,IF(A29&lt;'Données projet'!$A$36,$K$205^A29,IF(A29='Données projet'!$A$36,'Données projet'!$B$36,N28+M29-V28)))</f>
        <v>183.42527472527462</v>
      </c>
      <c r="O29" s="13">
        <f>N29*VLOOKUP('Données projet'!$B$9,Paramètres!$A$1:$I$89,3,0)*VLOOKUP('Données projet'!$B$9,Paramètres!$A$1:$I$89,5,0)</f>
        <v>109.68831428571424</v>
      </c>
      <c r="P29" s="13">
        <f t="shared" si="33"/>
        <v>29.257536864157657</v>
      </c>
      <c r="Q29" s="20">
        <f t="shared" si="2"/>
        <v>241.99735741936021</v>
      </c>
      <c r="R29" s="59">
        <f t="shared" si="0"/>
        <v>535.3306907526935</v>
      </c>
      <c r="S29" s="59">
        <f ca="1">AVERAGE(OFFSET($R$3,0,0,'Données projet'!$E$9+1,1))-AVERAGE(OFFSET($H$3,0,0,'Données projet'!$E$9+1,1))</f>
        <v>195.14508560011791</v>
      </c>
      <c r="T29" s="59">
        <f t="shared" si="34"/>
        <v>285.1531413455931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24.385147407760652</v>
      </c>
      <c r="AB29" s="21">
        <f>EXP(-LN(2)/2)*AB28+(1-EXP(-LN(2)/2))/(LN(2)/2)*V29*Y29*VLOOKUP('Données projet'!$B$9,Paramètres!$A$1:$I$89,3,0)*0.475*44/12</f>
        <v>12.756981045761508</v>
      </c>
      <c r="AC29" s="22">
        <f t="shared" si="3"/>
        <v>37.142128453522162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16.509890109890112</v>
      </c>
      <c r="N30" s="13">
        <f>IF('Données projet'!$A$36&gt;35,N29+M30-V29,IF(A30&lt;'Données projet'!$A$36,$K$205^A30,IF(A30='Données projet'!$A$36,'Données projet'!$B$36,N29+M30-V29)))</f>
        <v>199.93516483516473</v>
      </c>
      <c r="O30" s="13">
        <f>N30*VLOOKUP('Données projet'!$B$9,Paramètres!$A$1:$I$89,3,0)*VLOOKUP('Données projet'!$B$9,Paramètres!$A$1:$I$89,5,0)</f>
        <v>119.56122857142852</v>
      </c>
      <c r="P30" s="13">
        <f t="shared" si="33"/>
        <v>31.572641256590096</v>
      </c>
      <c r="Q30" s="20">
        <f t="shared" si="2"/>
        <v>263.22482328379903</v>
      </c>
      <c r="R30" s="59">
        <f t="shared" si="0"/>
        <v>556.55815661713234</v>
      </c>
      <c r="S30" s="59">
        <f ca="1">AVERAGE(OFFSET($R$3,0,0,'Données projet'!$E$9+1,1))-AVERAGE(OFFSET($H$3,0,0,'Données projet'!$E$9+1,1))</f>
        <v>195.14508560011791</v>
      </c>
      <c r="T30" s="59">
        <f t="shared" si="34"/>
        <v>285.1531413455931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23.718334269536268</v>
      </c>
      <c r="AB30" s="21">
        <f>EXP(-LN(2)/2)*AB29+(1-EXP(-LN(2)/2))/(LN(2)/2)*V30*Y30*VLOOKUP('Données projet'!$B$9,Paramètres!$A$1:$I$89,3,0)*0.475*44/12</f>
        <v>9.0205478049262169</v>
      </c>
      <c r="AC30" s="22">
        <f t="shared" si="3"/>
        <v>32.738882074462481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16.509890109890112</v>
      </c>
      <c r="N31" s="13">
        <f>IF('Données projet'!$A$36&gt;35,N30+M31-V30,IF(A31&lt;'Données projet'!$A$36,$K$205^A31,IF(A31='Données projet'!$A$36,'Données projet'!$B$36,N30+M31-V30)))</f>
        <v>216.44505494505484</v>
      </c>
      <c r="O31" s="13">
        <f>N31*VLOOKUP('Données projet'!$B$9,Paramètres!$A$1:$I$89,3,0)*VLOOKUP('Données projet'!$B$9,Paramètres!$A$1:$I$89,5,0)</f>
        <v>129.4341428571428</v>
      </c>
      <c r="P31" s="13">
        <f t="shared" si="33"/>
        <v>33.865573183196446</v>
      </c>
      <c r="Q31" s="20">
        <f t="shared" si="2"/>
        <v>284.4136721035909</v>
      </c>
      <c r="R31" s="59">
        <f t="shared" si="0"/>
        <v>577.74700543692416</v>
      </c>
      <c r="S31" s="59">
        <f ca="1">AVERAGE(OFFSET($R$3,0,0,'Données projet'!$E$9+1,1))-AVERAGE(OFFSET($H$3,0,0,'Données projet'!$E$9+1,1))</f>
        <v>195.14508560011791</v>
      </c>
      <c r="T31" s="59">
        <f t="shared" si="34"/>
        <v>285.1531413455931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23.069755171642807</v>
      </c>
      <c r="AB31" s="21">
        <f>EXP(-LN(2)/2)*AB30+(1-EXP(-LN(2)/2))/(LN(2)/2)*V31*Y31*VLOOKUP('Données projet'!$B$9,Paramètres!$A$1:$I$89,3,0)*0.475*44/12</f>
        <v>6.378490522880754</v>
      </c>
      <c r="AC31" s="22">
        <f t="shared" si="3"/>
        <v>29.44824569452356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16.509890109890112</v>
      </c>
      <c r="N32" s="13">
        <f>IF('Données projet'!$A$36&gt;35,N31+M32-V31,IF(A32&lt;'Données projet'!$A$36,$K$205^A32,IF(A32='Données projet'!$A$36,'Données projet'!$B$36,N31+M32-V31)))</f>
        <v>232.95494505494494</v>
      </c>
      <c r="O32" s="13">
        <f>N32*VLOOKUP('Données projet'!$B$9,Paramètres!$A$1:$I$89,3,0)*VLOOKUP('Données projet'!$B$9,Paramètres!$A$1:$I$89,5,0)</f>
        <v>139.3070571428571</v>
      </c>
      <c r="P32" s="13">
        <f t="shared" si="33"/>
        <v>36.138216203973165</v>
      </c>
      <c r="Q32" s="20">
        <f t="shared" si="2"/>
        <v>305.56718441239605</v>
      </c>
      <c r="R32" s="59">
        <f t="shared" si="0"/>
        <v>598.9005177457293</v>
      </c>
      <c r="S32" s="59">
        <f ca="1">AVERAGE(OFFSET($R$3,0,0,'Données projet'!$E$9+1,1))-AVERAGE(OFFSET($H$3,0,0,'Données projet'!$E$9+1,1))</f>
        <v>195.14508560011791</v>
      </c>
      <c r="T32" s="59">
        <f t="shared" si="34"/>
        <v>285.1531413455931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22.438911503288537</v>
      </c>
      <c r="AB32" s="21">
        <f>EXP(-LN(2)/2)*AB31+(1-EXP(-LN(2)/2))/(LN(2)/2)*V32*Y32*VLOOKUP('Données projet'!$B$9,Paramètres!$A$1:$I$89,3,0)*0.475*44/12</f>
        <v>4.5102739024631084</v>
      </c>
      <c r="AC32" s="22">
        <f t="shared" si="3"/>
        <v>26.949185405751646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16.509890109890112</v>
      </c>
      <c r="N33" s="13">
        <f>IF('Données projet'!$A$36&gt;35,N32+M33-V32,IF(A33&lt;'Données projet'!$A$36,$K$205^A33,IF(A33='Données projet'!$A$36,'Données projet'!$B$36,N32+M33-V32)))</f>
        <v>249.46483516483505</v>
      </c>
      <c r="O33" s="13">
        <f>N33*VLOOKUP('Données projet'!$B$9,Paramètres!$A$1:$I$89,3,0)*VLOOKUP('Données projet'!$B$9,Paramètres!$A$1:$I$89,5,0)</f>
        <v>149.17997142857138</v>
      </c>
      <c r="P33" s="13">
        <f t="shared" si="33"/>
        <v>38.392171771867616</v>
      </c>
      <c r="Q33" s="20">
        <f t="shared" si="2"/>
        <v>326.68814940743124</v>
      </c>
      <c r="R33" s="59">
        <f t="shared" si="0"/>
        <v>620.02148274076455</v>
      </c>
      <c r="S33" s="59">
        <f ca="1">AVERAGE(OFFSET($R$3,0,0,'Données projet'!$E$9+1,1))-AVERAGE(OFFSET($H$3,0,0,'Données projet'!$E$9+1,1))</f>
        <v>195.14508560011791</v>
      </c>
      <c r="T33" s="59">
        <f t="shared" si="34"/>
        <v>285.1531413455931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21.825318288220039</v>
      </c>
      <c r="AB33" s="21">
        <f>EXP(-LN(2)/2)*AB32+(1-EXP(-LN(2)/2))/(LN(2)/2)*V33*Y33*VLOOKUP('Données projet'!$B$9,Paramètres!$A$1:$I$89,3,0)*0.475*44/12</f>
        <v>3.189245261440377</v>
      </c>
      <c r="AC33" s="22">
        <f t="shared" si="3"/>
        <v>25.014563549660416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16.509890109890112</v>
      </c>
      <c r="N34" s="13">
        <f>IF('Données projet'!$A$36&gt;35,N33+M34-V33,IF(A34&lt;'Données projet'!$A$36,$K$205^A34,IF(A34='Données projet'!$A$36,'Données projet'!$B$36,N33+M34-V33)))</f>
        <v>265.97472527472519</v>
      </c>
      <c r="O34" s="13">
        <f>N34*VLOOKUP('Données projet'!$B$9,Paramètres!$A$1:$I$89,3,0)*VLOOKUP('Données projet'!$B$9,Paramètres!$A$1:$I$89,5,0)</f>
        <v>159.05288571428568</v>
      </c>
      <c r="P34" s="13">
        <f t="shared" si="33"/>
        <v>40.628817376911122</v>
      </c>
      <c r="Q34" s="20">
        <f t="shared" si="2"/>
        <v>347.77896621716781</v>
      </c>
      <c r="R34" s="59">
        <f t="shared" si="0"/>
        <v>641.11229955050112</v>
      </c>
      <c r="S34" s="59">
        <f ca="1">AVERAGE(OFFSET($R$3,0,0,'Données projet'!$E$9+1,1))-AVERAGE(OFFSET($H$3,0,0,'Données projet'!$E$9+1,1))</f>
        <v>195.14508560011791</v>
      </c>
      <c r="T34" s="59">
        <f t="shared" si="34"/>
        <v>285.1531413455931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21.228503811885055</v>
      </c>
      <c r="AB34" s="21">
        <f>EXP(-LN(2)/2)*AB33+(1-EXP(-LN(2)/2))/(LN(2)/2)*V34*Y34*VLOOKUP('Données projet'!$B$9,Paramètres!$A$1:$I$89,3,0)*0.475*44/12</f>
        <v>2.2551369512315542</v>
      </c>
      <c r="AC34" s="22">
        <f t="shared" si="3"/>
        <v>23.483640763116611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282.48461538461538</v>
      </c>
      <c r="L35" s="12">
        <f>VLOOKUP(A35,'Données projet'!$A$35:$I$55,9,0)</f>
        <v>16.509890109890112</v>
      </c>
      <c r="M35" s="12">
        <f t="array" ref="M35">INDEX(L:L,MIN(IF(ISNUMBER(L35:L231),ROW(L35:L231),"")))</f>
        <v>16.509890109890112</v>
      </c>
      <c r="N35" s="13">
        <f>IF('Données projet'!$A$36&gt;35,N34+M35-V34,IF(A35&lt;'Données projet'!$A$36,$K$205^A35,IF(A35='Données projet'!$A$36,'Données projet'!$B$36,N34+M35-V34)))</f>
        <v>282.48461538461532</v>
      </c>
      <c r="O35" s="13">
        <f>N35*VLOOKUP('Données projet'!$B$9,Paramètres!$A$1:$I$89,3,0)*VLOOKUP('Données projet'!$B$9,Paramètres!$A$1:$I$89,5,0)</f>
        <v>168.92579999999998</v>
      </c>
      <c r="P35" s="13">
        <f t="shared" si="33"/>
        <v>42.849349834036097</v>
      </c>
      <c r="Q35" s="20">
        <f t="shared" ref="Q35:Q66" si="53">(O35+P35)*0.475*44/12</f>
        <v>368.84171929427953</v>
      </c>
      <c r="R35" s="59">
        <f t="shared" si="0"/>
        <v>662.17505262761279</v>
      </c>
      <c r="S35" s="59">
        <f ca="1">AVERAGE(OFFSET($R$3,0,0,'Données projet'!$E$9+1,1))-AVERAGE(OFFSET($H$3,0,0,'Données projet'!$E$9+1,1))</f>
        <v>195.14508560011791</v>
      </c>
      <c r="T35" s="59">
        <f t="shared" si="34"/>
        <v>285.1531413455931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63.899999999999991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0.25200000000000006</v>
      </c>
      <c r="Y35" s="16">
        <f>IF(ISNA(VLOOKUP(A35,'Données projet'!$A$35:$I$55,7,0)),0%,VLOOKUP(A35,'Données projet'!$A$35:$I$55,7,0))</f>
        <v>0.44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33.371831150683619</v>
      </c>
      <c r="AB35" s="21">
        <f>EXP(-LN(2)/2)*AB34+(1-EXP(-LN(2)/2))/(LN(2)/2)*V35*Y35*VLOOKUP('Données projet'!$B$9,Paramètres!$A$1:$I$89,3,0)*0.475*44/12</f>
        <v>20.631260910518144</v>
      </c>
      <c r="AC35" s="22">
        <f t="shared" si="3"/>
        <v>54.003092061201762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14.915976331360945</v>
      </c>
      <c r="N36" s="13">
        <f>IF('Données projet'!$A$36&gt;35,N35+M36-V35,IF(A36&lt;'Données projet'!$A$36,$K$205^A36,IF(A36='Données projet'!$A$36,'Données projet'!$B$36,N35+M36-V35)))</f>
        <v>233.50059171597627</v>
      </c>
      <c r="O36" s="13">
        <f>N36*VLOOKUP('Données projet'!$B$9,Paramètres!$A$1:$I$89,3,0)*VLOOKUP('Données projet'!$B$9,Paramètres!$A$1:$I$89,5,0)</f>
        <v>139.63335384615382</v>
      </c>
      <c r="P36" s="13">
        <f t="shared" si="33"/>
        <v>36.212999194991433</v>
      </c>
      <c r="Q36" s="20">
        <f t="shared" si="53"/>
        <v>306.2657315466613</v>
      </c>
      <c r="R36" s="59">
        <f t="shared" si="0"/>
        <v>599.59906487999456</v>
      </c>
      <c r="S36" s="59">
        <f ca="1">AVERAGE(OFFSET($R$3,0,0,'Données projet'!$E$9+1,1))-AVERAGE(OFFSET($H$3,0,0,'Données projet'!$E$9+1,1))</f>
        <v>195.14508560011791</v>
      </c>
      <c r="T36" s="59">
        <f t="shared" si="34"/>
        <v>285.1531413455931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32.459276672919849</v>
      </c>
      <c r="AB36" s="21">
        <f>EXP(-LN(2)/2)*AB35+(1-EXP(-LN(2)/2))/(LN(2)/2)*V36*Y36*VLOOKUP('Données projet'!$B$9,Paramètres!$A$1:$I$89,3,0)*0.475*44/12</f>
        <v>14.588504494256325</v>
      </c>
      <c r="AC36" s="22">
        <f t="shared" si="3"/>
        <v>47.047781167176176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14.915976331360945</v>
      </c>
      <c r="N37" s="13">
        <f>IF('Données projet'!$A$36&gt;35,N36+M37-V36,IF(A37&lt;'Données projet'!$A$36,$K$205^A37,IF(A37='Données projet'!$A$36,'Données projet'!$B$36,N36+M37-V36)))</f>
        <v>248.41656804733722</v>
      </c>
      <c r="O37" s="13">
        <f>N37*VLOOKUP('Données projet'!$B$9,Paramètres!$A$1:$I$89,3,0)*VLOOKUP('Données projet'!$B$9,Paramètres!$A$1:$I$89,5,0)</f>
        <v>148.55310769230766</v>
      </c>
      <c r="P37" s="13">
        <f t="shared" si="33"/>
        <v>38.249588893085004</v>
      </c>
      <c r="Q37" s="20">
        <f t="shared" si="53"/>
        <v>325.34802988622556</v>
      </c>
      <c r="R37" s="59">
        <f t="shared" si="0"/>
        <v>618.68136321955888</v>
      </c>
      <c r="S37" s="59">
        <f ca="1">AVERAGE(OFFSET($R$3,0,0,'Données projet'!$E$9+1,1))-AVERAGE(OFFSET($H$3,0,0,'Données projet'!$E$9+1,1))</f>
        <v>195.14508560011791</v>
      </c>
      <c r="T37" s="59">
        <f t="shared" si="34"/>
        <v>285.1531413455931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31.571676045339682</v>
      </c>
      <c r="AB37" s="21">
        <f>EXP(-LN(2)/2)*AB36+(1-EXP(-LN(2)/2))/(LN(2)/2)*V37*Y37*VLOOKUP('Données projet'!$B$9,Paramètres!$A$1:$I$89,3,0)*0.475*44/12</f>
        <v>10.315630455259074</v>
      </c>
      <c r="AC37" s="22">
        <f t="shared" si="3"/>
        <v>41.887306500598754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14.915976331360945</v>
      </c>
      <c r="N38" s="13">
        <f>IF('Données projet'!$A$36&gt;35,N37+M38-V37,IF(A38&lt;'Données projet'!$A$36,$K$205^A38,IF(A38='Données projet'!$A$36,'Données projet'!$B$36,N37+M38-V37)))</f>
        <v>263.33254437869817</v>
      </c>
      <c r="O38" s="13">
        <f>N38*VLOOKUP('Données projet'!$B$9,Paramètres!$A$1:$I$89,3,0)*VLOOKUP('Données projet'!$B$9,Paramètres!$A$1:$I$89,5,0)</f>
        <v>157.47286153846153</v>
      </c>
      <c r="P38" s="13">
        <f t="shared" si="33"/>
        <v>40.271985193404134</v>
      </c>
      <c r="Q38" s="20">
        <f t="shared" si="53"/>
        <v>344.40560805799936</v>
      </c>
      <c r="R38" s="59">
        <f t="shared" si="0"/>
        <v>637.73894139133267</v>
      </c>
      <c r="S38" s="59">
        <f ca="1">AVERAGE(OFFSET($R$3,0,0,'Données projet'!$E$9+1,1))-AVERAGE(OFFSET($H$3,0,0,'Données projet'!$E$9+1,1))</f>
        <v>195.14508560011791</v>
      </c>
      <c r="T38" s="59">
        <f t="shared" si="34"/>
        <v>285.1531413455931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30.708346903597583</v>
      </c>
      <c r="AB38" s="21">
        <f>EXP(-LN(2)/2)*AB37+(1-EXP(-LN(2)/2))/(LN(2)/2)*V38*Y38*VLOOKUP('Données projet'!$B$9,Paramètres!$A$1:$I$89,3,0)*0.475*44/12</f>
        <v>7.2942522471281643</v>
      </c>
      <c r="AC38" s="22">
        <f t="shared" si="3"/>
        <v>38.00259915072575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14.915976331360945</v>
      </c>
      <c r="N39" s="13">
        <f>IF('Données projet'!$A$36&gt;35,N38+M39-V38,IF(A39&lt;'Données projet'!$A$36,$K$205^A39,IF(A39='Données projet'!$A$36,'Données projet'!$B$36,N38+M39-V38)))</f>
        <v>278.2485207100591</v>
      </c>
      <c r="O39" s="13">
        <f>N39*VLOOKUP('Données projet'!$B$9,Paramètres!$A$1:$I$89,3,0)*VLOOKUP('Données projet'!$B$9,Paramètres!$A$1:$I$89,5,0)</f>
        <v>166.39261538461537</v>
      </c>
      <c r="P39" s="13">
        <f t="shared" si="33"/>
        <v>42.281083666900145</v>
      </c>
      <c r="Q39" s="20">
        <f t="shared" si="53"/>
        <v>363.44002584805617</v>
      </c>
      <c r="R39" s="59">
        <f t="shared" si="0"/>
        <v>656.77335918138942</v>
      </c>
      <c r="S39" s="59">
        <f ca="1">AVERAGE(OFFSET($R$3,0,0,'Données projet'!$E$9+1,1))-AVERAGE(OFFSET($H$3,0,0,'Données projet'!$E$9+1,1))</f>
        <v>195.14508560011791</v>
      </c>
      <c r="T39" s="59">
        <f t="shared" si="34"/>
        <v>285.1531413455931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29.868625542636927</v>
      </c>
      <c r="AB39" s="21">
        <f>EXP(-LN(2)/2)*AB38+(1-EXP(-LN(2)/2))/(LN(2)/2)*V39*Y39*VLOOKUP('Données projet'!$B$9,Paramètres!$A$1:$I$89,3,0)*0.475*44/12</f>
        <v>5.1578152276295377</v>
      </c>
      <c r="AC39" s="22">
        <f t="shared" si="3"/>
        <v>35.026440770266461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14.915976331360945</v>
      </c>
      <c r="N40" s="13">
        <f>IF('Données projet'!$A$36&gt;35,N39+M40-V39,IF(A40&lt;'Données projet'!$A$36,$K$205^A40,IF(A40='Données projet'!$A$36,'Données projet'!$B$36,N39+M40-V39)))</f>
        <v>293.16449704142002</v>
      </c>
      <c r="O40" s="13">
        <f>N40*VLOOKUP('Données projet'!$B$9,Paramètres!$A$1:$I$89,3,0)*VLOOKUP('Données projet'!$B$9,Paramètres!$A$1:$I$89,5,0)</f>
        <v>175.31236923076921</v>
      </c>
      <c r="P40" s="13">
        <f t="shared" si="33"/>
        <v>44.277678444488799</v>
      </c>
      <c r="Q40" s="20">
        <f t="shared" si="53"/>
        <v>382.45266636774096</v>
      </c>
      <c r="R40" s="59">
        <f t="shared" si="0"/>
        <v>675.78599970107427</v>
      </c>
      <c r="S40" s="59">
        <f ca="1">AVERAGE(OFFSET($R$3,0,0,'Données projet'!$E$9+1,1))-AVERAGE(OFFSET($H$3,0,0,'Données projet'!$E$9+1,1))</f>
        <v>195.14508560011791</v>
      </c>
      <c r="T40" s="59">
        <f t="shared" si="34"/>
        <v>285.1531413455931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29.05186640645077</v>
      </c>
      <c r="AB40" s="21">
        <f>EXP(-LN(2)/2)*AB39+(1-EXP(-LN(2)/2))/(LN(2)/2)*V40*Y40*VLOOKUP('Données projet'!$B$9,Paramètres!$A$1:$I$89,3,0)*0.475*44/12</f>
        <v>3.6471261235640826</v>
      </c>
      <c r="AC40" s="22">
        <f t="shared" si="3"/>
        <v>32.698992530014856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14.915976331360945</v>
      </c>
      <c r="N41" s="13">
        <f>IF('Données projet'!$A$36&gt;35,N40+M41-V40,IF(A41&lt;'Données projet'!$A$36,$K$205^A41,IF(A41='Données projet'!$A$36,'Données projet'!$B$36,N40+M41-V40)))</f>
        <v>308.08047337278094</v>
      </c>
      <c r="O41" s="13">
        <f>N41*VLOOKUP('Données projet'!$B$9,Paramètres!$A$1:$I$89,3,0)*VLOOKUP('Données projet'!$B$9,Paramètres!$A$1:$I$89,5,0)</f>
        <v>184.23212307692302</v>
      </c>
      <c r="P41" s="13">
        <f t="shared" si="33"/>
        <v>46.262478283039961</v>
      </c>
      <c r="Q41" s="20">
        <f t="shared" si="53"/>
        <v>401.44476403526886</v>
      </c>
      <c r="R41" s="59">
        <f t="shared" si="0"/>
        <v>694.77809736860218</v>
      </c>
      <c r="S41" s="59">
        <f ca="1">AVERAGE(OFFSET($R$3,0,0,'Données projet'!$E$9+1,1))-AVERAGE(OFFSET($H$3,0,0,'Données projet'!$E$9+1,1))</f>
        <v>195.14508560011791</v>
      </c>
      <c r="T41" s="59">
        <f t="shared" si="34"/>
        <v>285.1531413455931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28.257441591795118</v>
      </c>
      <c r="AB41" s="21">
        <f>EXP(-LN(2)/2)*AB40+(1-EXP(-LN(2)/2))/(LN(2)/2)*V41*Y41*VLOOKUP('Données projet'!$B$9,Paramètres!$A$1:$I$89,3,0)*0.475*44/12</f>
        <v>2.5789076138147693</v>
      </c>
      <c r="AC41" s="22">
        <f t="shared" si="3"/>
        <v>30.836349205609888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14.915976331360945</v>
      </c>
      <c r="N42" s="13">
        <f>IF('Données projet'!$A$36&gt;35,N41+M42-V41,IF(A42&lt;'Données projet'!$A$36,$K$205^A42,IF(A42='Données projet'!$A$36,'Données projet'!$B$36,N41+M42-V41)))</f>
        <v>322.99644970414187</v>
      </c>
      <c r="O42" s="13">
        <f>N42*VLOOKUP('Données projet'!$B$9,Paramètres!$A$1:$I$89,3,0)*VLOOKUP('Données projet'!$B$9,Paramètres!$A$1:$I$89,5,0)</f>
        <v>193.15187692307686</v>
      </c>
      <c r="P42" s="13">
        <f t="shared" si="33"/>
        <v>48.23611943173325</v>
      </c>
      <c r="Q42" s="20">
        <f t="shared" si="53"/>
        <v>420.41742698462758</v>
      </c>
      <c r="R42" s="59">
        <f t="shared" si="0"/>
        <v>713.75076031796084</v>
      </c>
      <c r="S42" s="59">
        <f ca="1">AVERAGE(OFFSET($R$3,0,0,'Données projet'!$E$9+1,1))-AVERAGE(OFFSET($H$3,0,0,'Données projet'!$E$9+1,1))</f>
        <v>195.14508560011791</v>
      </c>
      <c r="T42" s="59">
        <f t="shared" si="34"/>
        <v>285.1531413455931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27.484740365473211</v>
      </c>
      <c r="AB42" s="21">
        <f>EXP(-LN(2)/2)*AB41+(1-EXP(-LN(2)/2))/(LN(2)/2)*V42*Y42*VLOOKUP('Données projet'!$B$9,Paramètres!$A$1:$I$89,3,0)*0.475*44/12</f>
        <v>1.8235630617820415</v>
      </c>
      <c r="AC42" s="22">
        <f t="shared" si="3"/>
        <v>29.308303427255254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14.915976331360945</v>
      </c>
      <c r="N43" s="13">
        <f>IF('Données projet'!$A$36&gt;35,N42+M43-V42,IF(A43&lt;'Données projet'!$A$36,$K$205^A43,IF(A43='Données projet'!$A$36,'Données projet'!$B$36,N42+M43-V42)))</f>
        <v>337.91242603550279</v>
      </c>
      <c r="O43" s="13">
        <f>N43*VLOOKUP('Données projet'!$B$9,Paramètres!$A$1:$I$89,3,0)*VLOOKUP('Données projet'!$B$9,Paramètres!$A$1:$I$89,5,0)</f>
        <v>202.07163076923067</v>
      </c>
      <c r="P43" s="13">
        <f t="shared" si="33"/>
        <v>50.19917605450815</v>
      </c>
      <c r="Q43" s="20">
        <f t="shared" si="53"/>
        <v>439.37165521801171</v>
      </c>
      <c r="R43" s="59">
        <f t="shared" si="0"/>
        <v>732.70498855134497</v>
      </c>
      <c r="S43" s="59">
        <f ca="1">AVERAGE(OFFSET($R$3,0,0,'Données projet'!$E$9+1,1))-AVERAGE(OFFSET($H$3,0,0,'Données projet'!$E$9+1,1))</f>
        <v>195.14508560011791</v>
      </c>
      <c r="T43" s="59">
        <f t="shared" si="34"/>
        <v>285.1531413455931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26.733168694819668</v>
      </c>
      <c r="AB43" s="21">
        <f>EXP(-LN(2)/2)*AB42+(1-EXP(-LN(2)/2))/(LN(2)/2)*V43*Y43*VLOOKUP('Données projet'!$B$9,Paramètres!$A$1:$I$89,3,0)*0.475*44/12</f>
        <v>1.2894538069073849</v>
      </c>
      <c r="AC43" s="22">
        <f t="shared" si="3"/>
        <v>28.022622501727053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14.915976331360945</v>
      </c>
      <c r="N44" s="13">
        <f>IF('Données projet'!$A$36&gt;35,N43+M44-V43,IF(A44&lt;'Données projet'!$A$36,$K$205^A44,IF(A44='Données projet'!$A$36,'Données projet'!$B$36,N43+M44-V43)))</f>
        <v>352.82840236686371</v>
      </c>
      <c r="O44" s="13">
        <f>N44*VLOOKUP('Données projet'!$B$9,Paramètres!$A$1:$I$89,3,0)*VLOOKUP('Données projet'!$B$9,Paramètres!$A$1:$I$89,5,0)</f>
        <v>210.99138461538453</v>
      </c>
      <c r="P44" s="13">
        <f t="shared" si="33"/>
        <v>52.152168760305798</v>
      </c>
      <c r="Q44" s="20">
        <f t="shared" si="53"/>
        <v>458.30835546266059</v>
      </c>
      <c r="R44" s="59">
        <f t="shared" si="0"/>
        <v>751.6416887959939</v>
      </c>
      <c r="S44" s="59">
        <f ca="1">AVERAGE(OFFSET($R$3,0,0,'Données projet'!$E$9+1,1))-AVERAGE(OFFSET($H$3,0,0,'Données projet'!$E$9+1,1))</f>
        <v>195.14508560011791</v>
      </c>
      <c r="T44" s="59">
        <f t="shared" si="34"/>
        <v>285.1531413455931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26.002148791023583</v>
      </c>
      <c r="AB44" s="21">
        <f>EXP(-LN(2)/2)*AB43+(1-EXP(-LN(2)/2))/(LN(2)/2)*V44*Y44*VLOOKUP('Données projet'!$B$9,Paramètres!$A$1:$I$89,3,0)*0.475*44/12</f>
        <v>0.91178153089102099</v>
      </c>
      <c r="AC44" s="22">
        <f t="shared" si="3"/>
        <v>26.913930321914602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14.915976331360945</v>
      </c>
      <c r="N45" s="13">
        <f>IF('Données projet'!$A$36&gt;35,N44+M45-V44,IF(A45&lt;'Données projet'!$A$36,$K$205^A45,IF(A45='Données projet'!$A$36,'Données projet'!$B$36,N44+M45-V44)))</f>
        <v>367.74437869822464</v>
      </c>
      <c r="O45" s="13">
        <f>N45*VLOOKUP('Données projet'!$B$9,Paramètres!$A$1:$I$89,3,0)*VLOOKUP('Données projet'!$B$9,Paramètres!$A$1:$I$89,5,0)</f>
        <v>219.91113846153834</v>
      </c>
      <c r="P45" s="13">
        <f t="shared" si="33"/>
        <v>54.095571650167813</v>
      </c>
      <c r="Q45" s="20">
        <f t="shared" si="53"/>
        <v>477.2283534445549</v>
      </c>
      <c r="R45" s="59">
        <f t="shared" si="0"/>
        <v>770.56168677788821</v>
      </c>
      <c r="S45" s="59">
        <f ca="1">AVERAGE(OFFSET($R$3,0,0,'Données projet'!$E$9+1,1))-AVERAGE(OFFSET($H$3,0,0,'Données projet'!$E$9+1,1))</f>
        <v>195.14508560011791</v>
      </c>
      <c r="T45" s="59">
        <f t="shared" si="34"/>
        <v>285.1531413455931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25.291118664939468</v>
      </c>
      <c r="AB45" s="21">
        <f>EXP(-LN(2)/2)*AB44+(1-EXP(-LN(2)/2))/(LN(2)/2)*V45*Y45*VLOOKUP('Données projet'!$B$9,Paramètres!$A$1:$I$89,3,0)*0.475*44/12</f>
        <v>0.64472690345369255</v>
      </c>
      <c r="AC45" s="22">
        <f t="shared" si="3"/>
        <v>25.935845568393159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14.915976331360945</v>
      </c>
      <c r="N46" s="13">
        <f>IF('Données projet'!$A$36&gt;35,N45+M46-V45,IF(A46&lt;'Données projet'!$A$36,$K$205^A46,IF(A46='Données projet'!$A$36,'Données projet'!$B$36,N45+M46-V45)))</f>
        <v>382.66035502958556</v>
      </c>
      <c r="O46" s="13">
        <f>N46*VLOOKUP('Données projet'!$B$9,Paramètres!$A$1:$I$89,3,0)*VLOOKUP('Données projet'!$B$9,Paramètres!$A$1:$I$89,5,0)</f>
        <v>228.83089230769221</v>
      </c>
      <c r="P46" s="13">
        <f t="shared" si="33"/>
        <v>56.029818188799702</v>
      </c>
      <c r="Q46" s="20">
        <f t="shared" si="53"/>
        <v>496.13240411472333</v>
      </c>
      <c r="R46" s="59">
        <f t="shared" si="0"/>
        <v>789.46573744805664</v>
      </c>
      <c r="S46" s="59">
        <f ca="1">AVERAGE(OFFSET($R$3,0,0,'Données projet'!$E$9+1,1))-AVERAGE(OFFSET($H$3,0,0,'Données projet'!$E$9+1,1))</f>
        <v>195.14508560011791</v>
      </c>
      <c r="T46" s="59">
        <f t="shared" si="34"/>
        <v>285.1531413455931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24.599531695044572</v>
      </c>
      <c r="AB46" s="21">
        <f>EXP(-LN(2)/2)*AB45+(1-EXP(-LN(2)/2))/(LN(2)/2)*V46*Y46*VLOOKUP('Données projet'!$B$9,Paramètres!$A$1:$I$89,3,0)*0.475*44/12</f>
        <v>0.45589076544551055</v>
      </c>
      <c r="AC46" s="22">
        <f t="shared" si="3"/>
        <v>25.055422460490082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14.915976331360945</v>
      </c>
      <c r="N47" s="13">
        <f>IF('Données projet'!$A$36&gt;35,N46+M47-V46,IF(A47&lt;'Données projet'!$A$36,$K$205^A47,IF(A47='Données projet'!$A$36,'Données projet'!$B$36,N46+M47-V46)))</f>
        <v>397.57633136094648</v>
      </c>
      <c r="O47" s="13">
        <f>N47*VLOOKUP('Données projet'!$B$9,Paramètres!$A$1:$I$89,3,0)*VLOOKUP('Données projet'!$B$9,Paramètres!$A$1:$I$89,5,0)</f>
        <v>237.75064615384602</v>
      </c>
      <c r="P47" s="13">
        <f t="shared" si="33"/>
        <v>57.955306134890677</v>
      </c>
      <c r="Q47" s="20">
        <f t="shared" si="53"/>
        <v>515.02120023621637</v>
      </c>
      <c r="R47" s="59">
        <f t="shared" si="0"/>
        <v>808.35453356954963</v>
      </c>
      <c r="S47" s="59">
        <f ca="1">AVERAGE(OFFSET($R$3,0,0,'Données projet'!$E$9+1,1))-AVERAGE(OFFSET($H$3,0,0,'Données projet'!$E$9+1,1))</f>
        <v>195.14508560011791</v>
      </c>
      <c r="T47" s="59">
        <f t="shared" si="34"/>
        <v>285.1531413455931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23.926856207210431</v>
      </c>
      <c r="AB47" s="21">
        <f>EXP(-LN(2)/2)*AB46+(1-EXP(-LN(2)/2))/(LN(2)/2)*V47*Y47*VLOOKUP('Données projet'!$B$9,Paramètres!$A$1:$I$89,3,0)*0.475*44/12</f>
        <v>0.32236345172684633</v>
      </c>
      <c r="AC47" s="22">
        <f t="shared" si="3"/>
        <v>24.249219658937278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412.49230769230769</v>
      </c>
      <c r="L48" s="12">
        <f>VLOOKUP(A48,'Données projet'!$A$35:$I$55,9,0)</f>
        <v>14.915976331360945</v>
      </c>
      <c r="M48" s="12">
        <f t="array" ref="M48">INDEX(L:L,MIN(IF(ISNUMBER(L48:L244),ROW(L48:L244),"")))</f>
        <v>14.915976331360945</v>
      </c>
      <c r="N48" s="13">
        <f>IF('Données projet'!$A$36&gt;35,N47+M48-V47,IF(A48&lt;'Données projet'!$A$36,$K$205^A48,IF(A48='Données projet'!$A$36,'Données projet'!$B$36,N47+M48-V47)))</f>
        <v>412.49230769230741</v>
      </c>
      <c r="O48" s="13">
        <f>N48*VLOOKUP('Données projet'!$B$9,Paramètres!$A$1:$I$89,3,0)*VLOOKUP('Données projet'!$B$9,Paramètres!$A$1:$I$89,5,0)</f>
        <v>246.67039999999983</v>
      </c>
      <c r="P48" s="13">
        <f t="shared" si="33"/>
        <v>59.872401710742935</v>
      </c>
      <c r="Q48" s="20">
        <f t="shared" si="53"/>
        <v>533.89537964621024</v>
      </c>
      <c r="R48" s="59">
        <f t="shared" si="0"/>
        <v>827.22871297954362</v>
      </c>
      <c r="S48" s="59">
        <f ca="1">AVERAGE(OFFSET($R$3,0,0,'Données projet'!$E$9+1,1))-AVERAGE(OFFSET($H$3,0,0,'Données projet'!$E$9+1,1))</f>
        <v>195.14508560011791</v>
      </c>
      <c r="T48" s="59">
        <f t="shared" si="34"/>
        <v>285.1531413455931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412.49230769230769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7.5600000000000001E-2</v>
      </c>
      <c r="Y48" s="16">
        <f>IF(ISNA(VLOOKUP(A48,'Données projet'!$A$35:$I$55,7,0)),0%,VLOOKUP(A48,'Données projet'!$A$35:$I$55,7,0))</f>
        <v>0.13200000000000001</v>
      </c>
      <c r="Z48" s="21">
        <f>EXP(-LN(2)/35)*Z47+(1-EXP(-LN(2)/35))/(LN(2)/35)*V48*W48*VLOOKUP('Données projet'!$B$9,Paramètres!$A$1:$I$89,3,0)*0.475*44/12</f>
        <v>103.07561822745187</v>
      </c>
      <c r="AA48" s="21">
        <f>EXP(-LN(2)/25)*AA47+(1-EXP(-LN(2)/25))/(LN(2)/25)*Calculateur!V48*Calculateur!X48*VLOOKUP('Données projet'!$B$9,Paramètres!$A$1:$I$89,3,0)*0.475*44/12</f>
        <v>47.913319924429757</v>
      </c>
      <c r="AB48" s="21">
        <f>EXP(-LN(2)/2)*AB47+(1-EXP(-LN(2)/2))/(LN(2)/2)*V48*Y48*VLOOKUP('Données projet'!$B$9,Paramètres!$A$1:$I$89,3,0)*0.475*44/12</f>
        <v>37.093986954260707</v>
      </c>
      <c r="AC48" s="22">
        <f t="shared" si="3"/>
        <v>188.08292510614234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-2.8421709430404007E-13</v>
      </c>
      <c r="O49" s="13">
        <f>N49*VLOOKUP('Données projet'!$B$9,Paramètres!$A$1:$I$89,3,0)*VLOOKUP('Données projet'!$B$9,Paramètres!$A$1:$I$89,5,0)</f>
        <v>-1.69961822393816E-13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195.14508560011791</v>
      </c>
      <c r="T49" s="59">
        <f t="shared" si="34"/>
        <v>285.1531413455931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101.05436822393077</v>
      </c>
      <c r="AA49" s="21">
        <f>EXP(-LN(2)/25)*AA48+(1-EXP(-LN(2)/25))/(LN(2)/25)*Calculateur!V49*Calculateur!X49*VLOOKUP('Données projet'!$B$9,Paramètres!$A$1:$I$89,3,0)*0.475*44/12</f>
        <v>46.603127671444241</v>
      </c>
      <c r="AB49" s="21">
        <f>EXP(-LN(2)/2)*AB48+(1-EXP(-LN(2)/2))/(LN(2)/2)*V49*Y49*VLOOKUP('Données projet'!$B$9,Paramètres!$A$1:$I$89,3,0)*0.475*44/12</f>
        <v>26.229409716603076</v>
      </c>
      <c r="AC49" s="22">
        <f t="shared" si="3"/>
        <v>173.88690561197808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-2.8421709430404007E-13</v>
      </c>
      <c r="O50" s="13">
        <f>N50*VLOOKUP('Données projet'!$B$9,Paramètres!$A$1:$I$89,3,0)*VLOOKUP('Données projet'!$B$9,Paramètres!$A$1:$I$89,5,0)</f>
        <v>-1.69961822393816E-13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195.14508560011791</v>
      </c>
      <c r="T50" s="59">
        <f t="shared" si="34"/>
        <v>285.1531413455931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99.072753700137937</v>
      </c>
      <c r="AA50" s="21">
        <f>EXP(-LN(2)/25)*AA49+(1-EXP(-LN(2)/25))/(LN(2)/25)*Calculateur!V50*Calculateur!X50*VLOOKUP('Données projet'!$B$9,Paramètres!$A$1:$I$89,3,0)*0.475*44/12</f>
        <v>45.328762694516627</v>
      </c>
      <c r="AB50" s="21">
        <f>EXP(-LN(2)/2)*AB49+(1-EXP(-LN(2)/2))/(LN(2)/2)*V50*Y50*VLOOKUP('Données projet'!$B$9,Paramètres!$A$1:$I$89,3,0)*0.475*44/12</f>
        <v>18.546993477130357</v>
      </c>
      <c r="AC50" s="22">
        <f t="shared" si="3"/>
        <v>162.94850987178489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-2.8421709430404007E-13</v>
      </c>
      <c r="O51" s="13">
        <f>N51*VLOOKUP('Données projet'!$B$9,Paramètres!$A$1:$I$89,3,0)*VLOOKUP('Données projet'!$B$9,Paramètres!$A$1:$I$89,5,0)</f>
        <v>-1.69961822393816E-13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195.14508560011791</v>
      </c>
      <c r="T51" s="59">
        <f t="shared" si="34"/>
        <v>285.1531413455931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97.12999742849118</v>
      </c>
      <c r="AA51" s="21">
        <f>EXP(-LN(2)/25)*AA50+(1-EXP(-LN(2)/25))/(LN(2)/25)*Calculateur!V51*Calculateur!X51*VLOOKUP('Données projet'!$B$9,Paramètres!$A$1:$I$89,3,0)*0.475*44/12</f>
        <v>44.089245294899037</v>
      </c>
      <c r="AB51" s="21">
        <f>EXP(-LN(2)/2)*AB50+(1-EXP(-LN(2)/2))/(LN(2)/2)*V51*Y51*VLOOKUP('Données projet'!$B$9,Paramètres!$A$1:$I$89,3,0)*0.475*44/12</f>
        <v>13.11470485830154</v>
      </c>
      <c r="AC51" s="22">
        <f t="shared" si="3"/>
        <v>154.33394758169175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-2.8421709430404007E-13</v>
      </c>
      <c r="O52" s="13">
        <f>N52*VLOOKUP('Données projet'!$B$9,Paramètres!$A$1:$I$89,3,0)*VLOOKUP('Données projet'!$B$9,Paramètres!$A$1:$I$89,5,0)</f>
        <v>-1.69961822393816E-13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195.14508560011791</v>
      </c>
      <c r="T52" s="59">
        <f t="shared" si="34"/>
        <v>285.1531413455931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95.22533742236709</v>
      </c>
      <c r="AA52" s="21">
        <f>EXP(-LN(2)/25)*AA51+(1-EXP(-LN(2)/25))/(LN(2)/25)*Calculateur!V52*Calculateur!X52*VLOOKUP('Données projet'!$B$9,Paramètres!$A$1:$I$89,3,0)*0.475*44/12</f>
        <v>42.883622563757378</v>
      </c>
      <c r="AB52" s="21">
        <f>EXP(-LN(2)/2)*AB51+(1-EXP(-LN(2)/2))/(LN(2)/2)*V52*Y52*VLOOKUP('Données projet'!$B$9,Paramètres!$A$1:$I$89,3,0)*0.475*44/12</f>
        <v>9.2734967385651785</v>
      </c>
      <c r="AC52" s="22">
        <f t="shared" si="3"/>
        <v>147.38245672468963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-2.8421709430404007E-13</v>
      </c>
      <c r="O53" s="13">
        <f>N53*VLOOKUP('Données projet'!$B$9,Paramètres!$A$1:$I$89,3,0)*VLOOKUP('Données projet'!$B$9,Paramètres!$A$1:$I$89,5,0)</f>
        <v>-1.69961822393816E-13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195.14508560011791</v>
      </c>
      <c r="T53" s="59">
        <f t="shared" si="34"/>
        <v>285.1531413455931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93.358026637235213</v>
      </c>
      <c r="AA53" s="21">
        <f>EXP(-LN(2)/25)*AA52+(1-EXP(-LN(2)/25))/(LN(2)/25)*Calculateur!V53*Calculateur!X53*VLOOKUP('Données projet'!$B$9,Paramètres!$A$1:$I$89,3,0)*0.475*44/12</f>
        <v>41.710967649599731</v>
      </c>
      <c r="AB53" s="21">
        <f>EXP(-LN(2)/2)*AB52+(1-EXP(-LN(2)/2))/(LN(2)/2)*V53*Y53*VLOOKUP('Données projet'!$B$9,Paramètres!$A$1:$I$89,3,0)*0.475*44/12</f>
        <v>6.5573524291507699</v>
      </c>
      <c r="AC53" s="22">
        <f t="shared" si="3"/>
        <v>141.6263467159857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-2.8421709430404007E-13</v>
      </c>
      <c r="O54" s="13">
        <f>N54*VLOOKUP('Données projet'!$B$9,Paramètres!$A$1:$I$89,3,0)*VLOOKUP('Données projet'!$B$9,Paramètres!$A$1:$I$89,5,0)</f>
        <v>-1.69961822393816E-13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195.14508560011791</v>
      </c>
      <c r="T54" s="59">
        <f t="shared" si="34"/>
        <v>285.1531413455931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91.527332677652652</v>
      </c>
      <c r="AA54" s="21">
        <f>EXP(-LN(2)/25)*AA53+(1-EXP(-LN(2)/25))/(LN(2)/25)*Calculateur!V54*Calculateur!X54*VLOOKUP('Données projet'!$B$9,Paramètres!$A$1:$I$89,3,0)*0.475*44/12</f>
        <v>40.570379045736971</v>
      </c>
      <c r="AB54" s="21">
        <f>EXP(-LN(2)/2)*AB53+(1-EXP(-LN(2)/2))/(LN(2)/2)*V54*Y54*VLOOKUP('Données projet'!$B$9,Paramètres!$A$1:$I$89,3,0)*0.475*44/12</f>
        <v>4.6367483692825893</v>
      </c>
      <c r="AC54" s="22">
        <f t="shared" si="3"/>
        <v>136.73446009267224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-2.8421709430404007E-13</v>
      </c>
      <c r="O55" s="13">
        <f>N55*VLOOKUP('Données projet'!$B$9,Paramètres!$A$1:$I$89,3,0)*VLOOKUP('Données projet'!$B$9,Paramètres!$A$1:$I$89,5,0)</f>
        <v>-1.69961822393816E-13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195.14508560011791</v>
      </c>
      <c r="T55" s="59">
        <f t="shared" si="34"/>
        <v>285.1531413455931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89.732537510004434</v>
      </c>
      <c r="AA55" s="21">
        <f>EXP(-LN(2)/25)*AA54+(1-EXP(-LN(2)/25))/(LN(2)/25)*Calculateur!V55*Calculateur!X55*VLOOKUP('Données projet'!$B$9,Paramètres!$A$1:$I$89,3,0)*0.475*44/12</f>
        <v>39.460979897227787</v>
      </c>
      <c r="AB55" s="21">
        <f>EXP(-LN(2)/2)*AB54+(1-EXP(-LN(2)/2))/(LN(2)/2)*V55*Y55*VLOOKUP('Données projet'!$B$9,Paramètres!$A$1:$I$89,3,0)*0.475*44/12</f>
        <v>3.2786762145753849</v>
      </c>
      <c r="AC55" s="22">
        <f t="shared" si="3"/>
        <v>132.47219362180761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-2.8421709430404007E-13</v>
      </c>
      <c r="O56" s="13">
        <f>N56*VLOOKUP('Données projet'!$B$9,Paramètres!$A$1:$I$89,3,0)*VLOOKUP('Données projet'!$B$9,Paramètres!$A$1:$I$89,5,0)</f>
        <v>-1.69961822393816E-13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195.14508560011791</v>
      </c>
      <c r="T56" s="59">
        <f t="shared" si="34"/>
        <v>285.1531413455931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87.972937180876841</v>
      </c>
      <c r="AA56" s="21">
        <f>EXP(-LN(2)/25)*AA55+(1-EXP(-LN(2)/25))/(LN(2)/25)*Calculateur!V56*Calculateur!X56*VLOOKUP('Données projet'!$B$9,Paramètres!$A$1:$I$89,3,0)*0.475*44/12</f>
        <v>38.381917326775351</v>
      </c>
      <c r="AB56" s="21">
        <f>EXP(-LN(2)/2)*AB55+(1-EXP(-LN(2)/2))/(LN(2)/2)*V56*Y56*VLOOKUP('Données projet'!$B$9,Paramètres!$A$1:$I$89,3,0)*0.475*44/12</f>
        <v>2.3183741846412946</v>
      </c>
      <c r="AC56" s="22">
        <f t="shared" si="3"/>
        <v>128.67322869229349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-2.8421709430404007E-13</v>
      </c>
      <c r="O57" s="13">
        <f>N57*VLOOKUP('Données projet'!$B$9,Paramètres!$A$1:$I$89,3,0)*VLOOKUP('Données projet'!$B$9,Paramètres!$A$1:$I$89,5,0)</f>
        <v>-1.69961822393816E-13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195.14508560011791</v>
      </c>
      <c r="T57" s="59">
        <f t="shared" si="34"/>
        <v>285.1531413455931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86.247841540953218</v>
      </c>
      <c r="AA57" s="21">
        <f>EXP(-LN(2)/25)*AA56+(1-EXP(-LN(2)/25))/(LN(2)/25)*Calculateur!V57*Calculateur!X57*VLOOKUP('Données projet'!$B$9,Paramètres!$A$1:$I$89,3,0)*0.475*44/12</f>
        <v>37.332361779057372</v>
      </c>
      <c r="AB57" s="21">
        <f>EXP(-LN(2)/2)*AB56+(1-EXP(-LN(2)/2))/(LN(2)/2)*V57*Y57*VLOOKUP('Données projet'!$B$9,Paramètres!$A$1:$I$89,3,0)*0.475*44/12</f>
        <v>1.6393381072876925</v>
      </c>
      <c r="AC57" s="22">
        <f t="shared" si="3"/>
        <v>125.21954142729828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-2.8421709430404007E-13</v>
      </c>
      <c r="O58" s="13">
        <f>N58*VLOOKUP('Données projet'!$B$9,Paramètres!$A$1:$I$89,3,0)*VLOOKUP('Données projet'!$B$9,Paramètres!$A$1:$I$89,5,0)</f>
        <v>-1.69961822393816E-13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195.14508560011791</v>
      </c>
      <c r="T58" s="59">
        <f t="shared" si="34"/>
        <v>285.1531413455931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84.556573974324053</v>
      </c>
      <c r="AA58" s="21">
        <f>EXP(-LN(2)/25)*AA57+(1-EXP(-LN(2)/25))/(LN(2)/25)*Calculateur!V58*Calculateur!X58*VLOOKUP('Données projet'!$B$9,Paramètres!$A$1:$I$89,3,0)*0.475*44/12</f>
        <v>36.311506382985463</v>
      </c>
      <c r="AB58" s="21">
        <f>EXP(-LN(2)/2)*AB57+(1-EXP(-LN(2)/2))/(LN(2)/2)*V58*Y58*VLOOKUP('Données projet'!$B$9,Paramètres!$A$1:$I$89,3,0)*0.475*44/12</f>
        <v>1.1591870923206473</v>
      </c>
      <c r="AC58" s="22">
        <f t="shared" si="3"/>
        <v>122.02726744963016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-2.8421709430404007E-13</v>
      </c>
      <c r="O59" s="13">
        <f>N59*VLOOKUP('Données projet'!$B$9,Paramètres!$A$1:$I$89,3,0)*VLOOKUP('Données projet'!$B$9,Paramètres!$A$1:$I$89,5,0)</f>
        <v>-1.69961822393816E-13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195.14508560011791</v>
      </c>
      <c r="T59" s="59">
        <f t="shared" si="34"/>
        <v>285.1531413455931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82.898471133105133</v>
      </c>
      <c r="AA59" s="21">
        <f>EXP(-LN(2)/25)*AA58+(1-EXP(-LN(2)/25))/(LN(2)/25)*Calculateur!V59*Calculateur!X59*VLOOKUP('Données projet'!$B$9,Paramètres!$A$1:$I$89,3,0)*0.475*44/12</f>
        <v>35.318566331403595</v>
      </c>
      <c r="AB59" s="21">
        <f>EXP(-LN(2)/2)*AB58+(1-EXP(-LN(2)/2))/(LN(2)/2)*V59*Y59*VLOOKUP('Données projet'!$B$9,Paramètres!$A$1:$I$89,3,0)*0.475*44/12</f>
        <v>0.81966905364384623</v>
      </c>
      <c r="AC59" s="22">
        <f t="shared" si="3"/>
        <v>119.03670651815258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-2.8421709430404007E-13</v>
      </c>
      <c r="O60" s="13">
        <f>N60*VLOOKUP('Données projet'!$B$9,Paramètres!$A$1:$I$89,3,0)*VLOOKUP('Données projet'!$B$9,Paramètres!$A$1:$I$89,5,0)</f>
        <v>-1.69961822393816E-13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195.14508560011791</v>
      </c>
      <c r="T60" s="59">
        <f t="shared" si="34"/>
        <v>285.1531413455931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81.272882677259645</v>
      </c>
      <c r="AA60" s="21">
        <f>EXP(-LN(2)/25)*AA59+(1-EXP(-LN(2)/25))/(LN(2)/25)*Calculateur!V60*Calculateur!X60*VLOOKUP('Données projet'!$B$9,Paramètres!$A$1:$I$89,3,0)*0.475*44/12</f>
        <v>34.352778277748683</v>
      </c>
      <c r="AB60" s="21">
        <f>EXP(-LN(2)/2)*AB59+(1-EXP(-LN(2)/2))/(LN(2)/2)*V60*Y60*VLOOKUP('Données projet'!$B$9,Paramètres!$A$1:$I$89,3,0)*0.475*44/12</f>
        <v>0.57959354616032366</v>
      </c>
      <c r="AC60" s="22">
        <f t="shared" si="3"/>
        <v>116.20525450116865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-2.8421709430404007E-13</v>
      </c>
      <c r="O61" s="13">
        <f>N61*VLOOKUP('Données projet'!$B$9,Paramètres!$A$1:$I$89,3,0)*VLOOKUP('Données projet'!$B$9,Paramètres!$A$1:$I$89,5,0)</f>
        <v>-1.69961822393816E-13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195.14508560011791</v>
      </c>
      <c r="T61" s="59">
        <f t="shared" si="34"/>
        <v>285.1531413455931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79.679171019522229</v>
      </c>
      <c r="AA61" s="21">
        <f>EXP(-LN(2)/25)*AA60+(1-EXP(-LN(2)/25))/(LN(2)/25)*Calculateur!V61*Calculateur!X61*VLOOKUP('Données projet'!$B$9,Paramètres!$A$1:$I$89,3,0)*0.475*44/12</f>
        <v>33.413399749209553</v>
      </c>
      <c r="AB61" s="21">
        <f>EXP(-LN(2)/2)*AB60+(1-EXP(-LN(2)/2))/(LN(2)/2)*V61*Y61*VLOOKUP('Données projet'!$B$9,Paramètres!$A$1:$I$89,3,0)*0.475*44/12</f>
        <v>0.40983452682192312</v>
      </c>
      <c r="AC61" s="22">
        <f t="shared" si="3"/>
        <v>113.5024052955537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-2.8421709430404007E-13</v>
      </c>
      <c r="O62" s="13">
        <f>N62*VLOOKUP('Données projet'!$B$9,Paramètres!$A$1:$I$89,3,0)*VLOOKUP('Données projet'!$B$9,Paramètres!$A$1:$I$89,5,0)</f>
        <v>-1.69961822393816E-13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195.14508560011791</v>
      </c>
      <c r="T62" s="59">
        <f t="shared" si="34"/>
        <v>285.1531413455931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78.116711075324915</v>
      </c>
      <c r="AA62" s="21">
        <f>EXP(-LN(2)/25)*AA61+(1-EXP(-LN(2)/25))/(LN(2)/25)*Calculateur!V62*Calculateur!X62*VLOOKUP('Données projet'!$B$9,Paramètres!$A$1:$I$89,3,0)*0.475*44/12</f>
        <v>32.499708575933091</v>
      </c>
      <c r="AB62" s="21">
        <f>EXP(-LN(2)/2)*AB61+(1-EXP(-LN(2)/2))/(LN(2)/2)*V62*Y62*VLOOKUP('Données projet'!$B$9,Paramètres!$A$1:$I$89,3,0)*0.475*44/12</f>
        <v>0.28979677308016183</v>
      </c>
      <c r="AC62" s="22">
        <f t="shared" si="3"/>
        <v>110.90621642433817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-2.8421709430404007E-13</v>
      </c>
      <c r="O63" s="13">
        <f>N63*VLOOKUP('Données projet'!$B$9,Paramètres!$A$1:$I$89,3,0)*VLOOKUP('Données projet'!$B$9,Paramètres!$A$1:$I$89,5,0)</f>
        <v>-1.69961822393816E-13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195.14508560011791</v>
      </c>
      <c r="T63" s="59">
        <f t="shared" si="34"/>
        <v>285.1531413455931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76.584890017626847</v>
      </c>
      <c r="AA63" s="21">
        <f>EXP(-LN(2)/25)*AA62+(1-EXP(-LN(2)/25))/(LN(2)/25)*Calculateur!V63*Calculateur!X63*VLOOKUP('Données projet'!$B$9,Paramètres!$A$1:$I$89,3,0)*0.475*44/12</f>
        <v>31.611002335838805</v>
      </c>
      <c r="AB63" s="21">
        <f>EXP(-LN(2)/2)*AB62+(1-EXP(-LN(2)/2))/(LN(2)/2)*V63*Y63*VLOOKUP('Données projet'!$B$9,Paramètres!$A$1:$I$89,3,0)*0.475*44/12</f>
        <v>0.20491726341096156</v>
      </c>
      <c r="AC63" s="22">
        <f t="shared" si="3"/>
        <v>108.40080961687661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-2.8421709430404007E-13</v>
      </c>
      <c r="O64" s="13">
        <f>N64*VLOOKUP('Données projet'!$B$9,Paramètres!$A$1:$I$89,3,0)*VLOOKUP('Données projet'!$B$9,Paramètres!$A$1:$I$89,5,0)</f>
        <v>-1.69961822393816E-13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195.14508560011791</v>
      </c>
      <c r="T64" s="59">
        <f t="shared" si="34"/>
        <v>285.1531413455931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75.083107036551652</v>
      </c>
      <c r="AA64" s="21">
        <f>EXP(-LN(2)/25)*AA63+(1-EXP(-LN(2)/25))/(LN(2)/25)*Calculateur!V64*Calculateur!X64*VLOOKUP('Données projet'!$B$9,Paramètres!$A$1:$I$89,3,0)*0.475*44/12</f>
        <v>30.746597814614926</v>
      </c>
      <c r="AB64" s="21">
        <f>EXP(-LN(2)/2)*AB63+(1-EXP(-LN(2)/2))/(LN(2)/2)*V64*Y64*VLOOKUP('Données projet'!$B$9,Paramètres!$A$1:$I$89,3,0)*0.475*44/12</f>
        <v>0.14489838654008091</v>
      </c>
      <c r="AC64" s="22">
        <f t="shared" si="3"/>
        <v>105.97460323770666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-2.8421709430404007E-13</v>
      </c>
      <c r="O65" s="13">
        <f>N65*VLOOKUP('Données projet'!$B$9,Paramètres!$A$1:$I$89,3,0)*VLOOKUP('Données projet'!$B$9,Paramètres!$A$1:$I$89,5,0)</f>
        <v>-1.69961822393816E-13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195.14508560011791</v>
      </c>
      <c r="T65" s="59">
        <f t="shared" si="34"/>
        <v>285.1531413455931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73.610773103738168</v>
      </c>
      <c r="AA65" s="21">
        <f>EXP(-LN(2)/25)*AA64+(1-EXP(-LN(2)/25))/(LN(2)/25)*Calculateur!V65*Calculateur!X65*VLOOKUP('Données projet'!$B$9,Paramètres!$A$1:$I$89,3,0)*0.475*44/12</f>
        <v>29.905830480480976</v>
      </c>
      <c r="AB65" s="21">
        <f>EXP(-LN(2)/2)*AB64+(1-EXP(-LN(2)/2))/(LN(2)/2)*V65*Y65*VLOOKUP('Données projet'!$B$9,Paramètres!$A$1:$I$89,3,0)*0.475*44/12</f>
        <v>0.10245863170548078</v>
      </c>
      <c r="AC65" s="22">
        <f t="shared" si="3"/>
        <v>103.61906221592461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-2.8421709430404007E-13</v>
      </c>
      <c r="O66" s="13">
        <f>N66*VLOOKUP('Données projet'!$B$9,Paramètres!$A$1:$I$89,3,0)*VLOOKUP('Données projet'!$B$9,Paramètres!$A$1:$I$89,5,0)</f>
        <v>-1.69961822393816E-13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195.14508560011791</v>
      </c>
      <c r="T66" s="59">
        <f t="shared" si="34"/>
        <v>285.1531413455931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72.167310741312136</v>
      </c>
      <c r="AA66" s="21">
        <f>EXP(-LN(2)/25)*AA65+(1-EXP(-LN(2)/25))/(LN(2)/25)*Calculateur!V66*Calculateur!X66*VLOOKUP('Données projet'!$B$9,Paramètres!$A$1:$I$89,3,0)*0.475*44/12</f>
        <v>29.088053973312949</v>
      </c>
      <c r="AB66" s="21">
        <f>EXP(-LN(2)/2)*AB65+(1-EXP(-LN(2)/2))/(LN(2)/2)*V66*Y66*VLOOKUP('Données projet'!$B$9,Paramètres!$A$1:$I$89,3,0)*0.475*44/12</f>
        <v>7.2449193270040457E-2</v>
      </c>
      <c r="AC66" s="22">
        <f t="shared" si="3"/>
        <v>101.32781390789513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-2.8421709430404007E-13</v>
      </c>
      <c r="O67" s="13">
        <f>N67*VLOOKUP('Données projet'!$B$9,Paramètres!$A$1:$I$89,3,0)*VLOOKUP('Données projet'!$B$9,Paramètres!$A$1:$I$89,5,0)</f>
        <v>-1.69961822393816E-13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195.14508560011791</v>
      </c>
      <c r="T67" s="59">
        <f t="shared" si="34"/>
        <v>285.1531413455931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70.752153795388168</v>
      </c>
      <c r="AA67" s="21">
        <f>EXP(-LN(2)/25)*AA66+(1-EXP(-LN(2)/25))/(LN(2)/25)*Calculateur!V67*Calculateur!X67*VLOOKUP('Données projet'!$B$9,Paramètres!$A$1:$I$89,3,0)*0.475*44/12</f>
        <v>28.29263960773843</v>
      </c>
      <c r="AB67" s="21">
        <f>EXP(-LN(2)/2)*AB66+(1-EXP(-LN(2)/2))/(LN(2)/2)*V67*Y67*VLOOKUP('Données projet'!$B$9,Paramètres!$A$1:$I$89,3,0)*0.475*44/12</f>
        <v>5.122931585274039E-2</v>
      </c>
      <c r="AC67" s="22">
        <f t="shared" si="3"/>
        <v>99.096022718979327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-2.8421709430404007E-13</v>
      </c>
      <c r="O68" s="13">
        <f>N68*VLOOKUP('Données projet'!$B$9,Paramètres!$A$1:$I$89,3,0)*VLOOKUP('Données projet'!$B$9,Paramètres!$A$1:$I$89,5,0)</f>
        <v>-1.69961822393816E-13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195.14508560011791</v>
      </c>
      <c r="T68" s="59">
        <f t="shared" si="34"/>
        <v>285.1531413455931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69.364747214013263</v>
      </c>
      <c r="AA68" s="21">
        <f>EXP(-LN(2)/25)*AA67+(1-EXP(-LN(2)/25))/(LN(2)/25)*Calculateur!V68*Calculateur!X68*VLOOKUP('Données projet'!$B$9,Paramètres!$A$1:$I$89,3,0)*0.475*44/12</f>
        <v>27.518975889819568</v>
      </c>
      <c r="AB68" s="21">
        <f>EXP(-LN(2)/2)*AB67+(1-EXP(-LN(2)/2))/(LN(2)/2)*V68*Y68*VLOOKUP('Données projet'!$B$9,Paramètres!$A$1:$I$89,3,0)*0.475*44/12</f>
        <v>3.6224596635020229E-2</v>
      </c>
      <c r="AC68" s="22">
        <f t="shared" ref="AC68:AC131" si="57">SUM(Z68:AB68)</f>
        <v>96.919947700467858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-2.8421709430404007E-13</v>
      </c>
      <c r="O69" s="13">
        <f>N69*VLOOKUP('Données projet'!$B$9,Paramètres!$A$1:$I$89,3,0)*VLOOKUP('Données projet'!$B$9,Paramètres!$A$1:$I$89,5,0)</f>
        <v>-1.69961822393816E-13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195.14508560011791</v>
      </c>
      <c r="T69" s="59">
        <f t="shared" ref="T69:T132" si="88">$T$3</f>
        <v>285.1531413455931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68.004546829464658</v>
      </c>
      <c r="AA69" s="21">
        <f>EXP(-LN(2)/25)*AA68+(1-EXP(-LN(2)/25))/(LN(2)/25)*Calculateur!V69*Calculateur!X69*VLOOKUP('Données projet'!$B$9,Paramètres!$A$1:$I$89,3,0)*0.475*44/12</f>
        <v>26.766468046952404</v>
      </c>
      <c r="AB69" s="21">
        <f>EXP(-LN(2)/2)*AB68+(1-EXP(-LN(2)/2))/(LN(2)/2)*V69*Y69*VLOOKUP('Données projet'!$B$9,Paramètres!$A$1:$I$89,3,0)*0.475*44/12</f>
        <v>2.5614657926370195E-2</v>
      </c>
      <c r="AC69" s="22">
        <f t="shared" si="57"/>
        <v>94.796629534343438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-2.8421709430404007E-13</v>
      </c>
      <c r="O70" s="13">
        <f>N70*VLOOKUP('Données projet'!$B$9,Paramètres!$A$1:$I$89,3,0)*VLOOKUP('Données projet'!$B$9,Paramètres!$A$1:$I$89,5,0)</f>
        <v>-1.69961822393816E-13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195.14508560011791</v>
      </c>
      <c r="T70" s="59">
        <f t="shared" si="88"/>
        <v>285.1531413455931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66.671019144816739</v>
      </c>
      <c r="AA70" s="21">
        <f>EXP(-LN(2)/25)*AA69+(1-EXP(-LN(2)/25))/(LN(2)/25)*Calculateur!V70*Calculateur!X70*VLOOKUP('Données projet'!$B$9,Paramètres!$A$1:$I$89,3,0)*0.475*44/12</f>
        <v>26.034537570621112</v>
      </c>
      <c r="AB70" s="21">
        <f>EXP(-LN(2)/2)*AB69+(1-EXP(-LN(2)/2))/(LN(2)/2)*V70*Y70*VLOOKUP('Données projet'!$B$9,Paramètres!$A$1:$I$89,3,0)*0.475*44/12</f>
        <v>1.8112298317510114E-2</v>
      </c>
      <c r="AC70" s="22">
        <f t="shared" si="57"/>
        <v>92.723669013755355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-2.8421709430404007E-13</v>
      </c>
      <c r="O71" s="13">
        <f>N71*VLOOKUP('Données projet'!$B$9,Paramètres!$A$1:$I$89,3,0)*VLOOKUP('Données projet'!$B$9,Paramètres!$A$1:$I$89,5,0)</f>
        <v>-1.69961822393816E-13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195.14508560011791</v>
      </c>
      <c r="T71" s="59">
        <f t="shared" si="88"/>
        <v>285.1531413455931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65.363641124693203</v>
      </c>
      <c r="AA71" s="21">
        <f>EXP(-LN(2)/25)*AA70+(1-EXP(-LN(2)/25))/(LN(2)/25)*Calculateur!V71*Calculateur!X71*VLOOKUP('Données projet'!$B$9,Paramètres!$A$1:$I$89,3,0)*0.475*44/12</f>
        <v>25.322621771655648</v>
      </c>
      <c r="AB71" s="21">
        <f>EXP(-LN(2)/2)*AB70+(1-EXP(-LN(2)/2))/(LN(2)/2)*V71*Y71*VLOOKUP('Données projet'!$B$9,Paramètres!$A$1:$I$89,3,0)*0.475*44/12</f>
        <v>1.2807328963185097E-2</v>
      </c>
      <c r="AC71" s="22">
        <f t="shared" si="57"/>
        <v>90.699070225312042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-2.8421709430404007E-13</v>
      </c>
      <c r="O72" s="13">
        <f>N72*VLOOKUP('Données projet'!$B$9,Paramètres!$A$1:$I$89,3,0)*VLOOKUP('Données projet'!$B$9,Paramètres!$A$1:$I$89,5,0)</f>
        <v>-1.69961822393816E-13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195.14508560011791</v>
      </c>
      <c r="T72" s="59">
        <f t="shared" si="88"/>
        <v>285.1531413455931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64.081899990122423</v>
      </c>
      <c r="AA72" s="21">
        <f>EXP(-LN(2)/25)*AA71+(1-EXP(-LN(2)/25))/(LN(2)/25)*Calculateur!V72*Calculateur!X72*VLOOKUP('Données projet'!$B$9,Paramètres!$A$1:$I$89,3,0)*0.475*44/12</f>
        <v>24.630173347650921</v>
      </c>
      <c r="AB72" s="21">
        <f>EXP(-LN(2)/2)*AB71+(1-EXP(-LN(2)/2))/(LN(2)/2)*V72*Y72*VLOOKUP('Données projet'!$B$9,Paramètres!$A$1:$I$89,3,0)*0.475*44/12</f>
        <v>9.0561491587550572E-3</v>
      </c>
      <c r="AC72" s="22">
        <f t="shared" si="57"/>
        <v>88.721129486932099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-2.8421709430404007E-13</v>
      </c>
      <c r="O73" s="13">
        <f>N73*VLOOKUP('Données projet'!$B$9,Paramètres!$A$1:$I$89,3,0)*VLOOKUP('Données projet'!$B$9,Paramètres!$A$1:$I$89,5,0)</f>
        <v>-1.69961822393816E-13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195.14508560011791</v>
      </c>
      <c r="T73" s="59">
        <f t="shared" si="88"/>
        <v>285.1531413455931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62.825293017415682</v>
      </c>
      <c r="AA73" s="21">
        <f>EXP(-LN(2)/25)*AA72+(1-EXP(-LN(2)/25))/(LN(2)/25)*Calculateur!V73*Calculateur!X73*VLOOKUP('Données projet'!$B$9,Paramètres!$A$1:$I$89,3,0)*0.475*44/12</f>
        <v>23.956659962214882</v>
      </c>
      <c r="AB73" s="21">
        <f>EXP(-LN(2)/2)*AB72+(1-EXP(-LN(2)/2))/(LN(2)/2)*V73*Y73*VLOOKUP('Données projet'!$B$9,Paramètres!$A$1:$I$89,3,0)*0.475*44/12</f>
        <v>6.4036644815925487E-3</v>
      </c>
      <c r="AC73" s="22">
        <f t="shared" si="57"/>
        <v>86.788356644112156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-2.8421709430404007E-13</v>
      </c>
      <c r="O74" s="13">
        <f>N74*VLOOKUP('Données projet'!$B$9,Paramètres!$A$1:$I$89,3,0)*VLOOKUP('Données projet'!$B$9,Paramètres!$A$1:$I$89,5,0)</f>
        <v>-1.69961822393816E-13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195.14508560011791</v>
      </c>
      <c r="T74" s="59">
        <f t="shared" si="88"/>
        <v>285.1531413455931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61.593327340989148</v>
      </c>
      <c r="AA74" s="21">
        <f>EXP(-LN(2)/25)*AA73+(1-EXP(-LN(2)/25))/(LN(2)/25)*Calculateur!V74*Calculateur!X74*VLOOKUP('Données projet'!$B$9,Paramètres!$A$1:$I$89,3,0)*0.475*44/12</f>
        <v>23.301563835722124</v>
      </c>
      <c r="AB74" s="21">
        <f>EXP(-LN(2)/2)*AB73+(1-EXP(-LN(2)/2))/(LN(2)/2)*V74*Y74*VLOOKUP('Données projet'!$B$9,Paramètres!$A$1:$I$89,3,0)*0.475*44/12</f>
        <v>4.5280745793775286E-3</v>
      </c>
      <c r="AC74" s="22">
        <f t="shared" si="57"/>
        <v>84.899419251290652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-2.8421709430404007E-13</v>
      </c>
      <c r="O75" s="13">
        <f>N75*VLOOKUP('Données projet'!$B$9,Paramètres!$A$1:$I$89,3,0)*VLOOKUP('Données projet'!$B$9,Paramètres!$A$1:$I$89,5,0)</f>
        <v>-1.69961822393816E-13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195.14508560011791</v>
      </c>
      <c r="T75" s="59">
        <f t="shared" si="88"/>
        <v>285.1531413455931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60.385519760052475</v>
      </c>
      <c r="AA75" s="21">
        <f>EXP(-LN(2)/25)*AA74+(1-EXP(-LN(2)/25))/(LN(2)/25)*Calculateur!V75*Calculateur!X75*VLOOKUP('Données projet'!$B$9,Paramètres!$A$1:$I$89,3,0)*0.475*44/12</f>
        <v>22.664381347258317</v>
      </c>
      <c r="AB75" s="21">
        <f>EXP(-LN(2)/2)*AB74+(1-EXP(-LN(2)/2))/(LN(2)/2)*V75*Y75*VLOOKUP('Données projet'!$B$9,Paramètres!$A$1:$I$89,3,0)*0.475*44/12</f>
        <v>3.2018322407962744E-3</v>
      </c>
      <c r="AC75" s="22">
        <f t="shared" si="57"/>
        <v>83.053102939551579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-2.8421709430404007E-13</v>
      </c>
      <c r="O76" s="13">
        <f>N76*VLOOKUP('Données projet'!$B$9,Paramètres!$A$1:$I$89,3,0)*VLOOKUP('Données projet'!$B$9,Paramètres!$A$1:$I$89,5,0)</f>
        <v>-1.69961822393816E-13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195.14508560011791</v>
      </c>
      <c r="T76" s="59">
        <f t="shared" si="88"/>
        <v>285.1531413455931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59.201396549088088</v>
      </c>
      <c r="AA76" s="21">
        <f>EXP(-LN(2)/25)*AA75+(1-EXP(-LN(2)/25))/(LN(2)/25)*Calculateur!V76*Calculateur!X76*VLOOKUP('Données projet'!$B$9,Paramètres!$A$1:$I$89,3,0)*0.475*44/12</f>
        <v>22.044622647449522</v>
      </c>
      <c r="AB76" s="21">
        <f>EXP(-LN(2)/2)*AB75+(1-EXP(-LN(2)/2))/(LN(2)/2)*V76*Y76*VLOOKUP('Données projet'!$B$9,Paramètres!$A$1:$I$89,3,0)*0.475*44/12</f>
        <v>2.2640372896887643E-3</v>
      </c>
      <c r="AC76" s="22">
        <f t="shared" si="57"/>
        <v>81.248283233827308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-2.8421709430404007E-13</v>
      </c>
      <c r="O77" s="13">
        <f>N77*VLOOKUP('Données projet'!$B$9,Paramètres!$A$1:$I$89,3,0)*VLOOKUP('Données projet'!$B$9,Paramètres!$A$1:$I$89,5,0)</f>
        <v>-1.69961822393816E-13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195.14508560011791</v>
      </c>
      <c r="T77" s="59">
        <f t="shared" si="88"/>
        <v>285.1531413455931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58.040493272046866</v>
      </c>
      <c r="AA77" s="21">
        <f>EXP(-LN(2)/25)*AA76+(1-EXP(-LN(2)/25))/(LN(2)/25)*Calculateur!V77*Calculateur!X77*VLOOKUP('Données projet'!$B$9,Paramètres!$A$1:$I$89,3,0)*0.475*44/12</f>
        <v>21.441811281878692</v>
      </c>
      <c r="AB77" s="21">
        <f>EXP(-LN(2)/2)*AB76+(1-EXP(-LN(2)/2))/(LN(2)/2)*V77*Y77*VLOOKUP('Données projet'!$B$9,Paramètres!$A$1:$I$89,3,0)*0.475*44/12</f>
        <v>1.6009161203981372E-3</v>
      </c>
      <c r="AC77" s="22">
        <f t="shared" si="57"/>
        <v>79.483905470045954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-2.8421709430404007E-13</v>
      </c>
      <c r="O78" s="13">
        <f>N78*VLOOKUP('Données projet'!$B$9,Paramètres!$A$1:$I$89,3,0)*VLOOKUP('Données projet'!$B$9,Paramètres!$A$1:$I$89,5,0)</f>
        <v>-1.69961822393816E-13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195.14508560011791</v>
      </c>
      <c r="T78" s="59">
        <f t="shared" si="88"/>
        <v>285.1531413455931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56.902354600187344</v>
      </c>
      <c r="AA78" s="21">
        <f>EXP(-LN(2)/25)*AA77+(1-EXP(-LN(2)/25))/(LN(2)/25)*Calculateur!V78*Calculateur!X78*VLOOKUP('Données projet'!$B$9,Paramètres!$A$1:$I$89,3,0)*0.475*44/12</f>
        <v>20.855483824799869</v>
      </c>
      <c r="AB78" s="21">
        <f>EXP(-LN(2)/2)*AB77+(1-EXP(-LN(2)/2))/(LN(2)/2)*V78*Y78*VLOOKUP('Données projet'!$B$9,Paramètres!$A$1:$I$89,3,0)*0.475*44/12</f>
        <v>1.1320186448443821E-3</v>
      </c>
      <c r="AC78" s="22">
        <f t="shared" si="57"/>
        <v>77.758970443632052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-2.8421709430404007E-13</v>
      </c>
      <c r="O79" s="13">
        <f>N79*VLOOKUP('Données projet'!$B$9,Paramètres!$A$1:$I$89,3,0)*VLOOKUP('Données projet'!$B$9,Paramètres!$A$1:$I$89,5,0)</f>
        <v>-1.69961822393816E-13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195.14508560011791</v>
      </c>
      <c r="T79" s="59">
        <f t="shared" si="88"/>
        <v>285.1531413455931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55.786534133486946</v>
      </c>
      <c r="AA79" s="21">
        <f>EXP(-LN(2)/25)*AA78+(1-EXP(-LN(2)/25))/(LN(2)/25)*Calculateur!V79*Calculateur!X79*VLOOKUP('Données projet'!$B$9,Paramètres!$A$1:$I$89,3,0)*0.475*44/12</f>
        <v>20.285189522868489</v>
      </c>
      <c r="AB79" s="21">
        <f>EXP(-LN(2)/2)*AB78+(1-EXP(-LN(2)/2))/(LN(2)/2)*V79*Y79*VLOOKUP('Données projet'!$B$9,Paramètres!$A$1:$I$89,3,0)*0.475*44/12</f>
        <v>8.0045806019906859E-4</v>
      </c>
      <c r="AC79" s="22">
        <f t="shared" si="57"/>
        <v>76.072524114415629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-2.8421709430404007E-13</v>
      </c>
      <c r="O80" s="13">
        <f>N80*VLOOKUP('Données projet'!$B$9,Paramètres!$A$1:$I$89,3,0)*VLOOKUP('Données projet'!$B$9,Paramètres!$A$1:$I$89,5,0)</f>
        <v>-1.69961822393816E-13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195.14508560011791</v>
      </c>
      <c r="T80" s="59">
        <f t="shared" si="88"/>
        <v>285.1531413455931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54.692594225555254</v>
      </c>
      <c r="AA80" s="21">
        <f>EXP(-LN(2)/25)*AA79+(1-EXP(-LN(2)/25))/(LN(2)/25)*Calculateur!V80*Calculateur!X80*VLOOKUP('Données projet'!$B$9,Paramètres!$A$1:$I$89,3,0)*0.475*44/12</f>
        <v>19.730489948613897</v>
      </c>
      <c r="AB80" s="21">
        <f>EXP(-LN(2)/2)*AB79+(1-EXP(-LN(2)/2))/(LN(2)/2)*V80*Y80*VLOOKUP('Données projet'!$B$9,Paramètres!$A$1:$I$89,3,0)*0.475*44/12</f>
        <v>5.6600932242219107E-4</v>
      </c>
      <c r="AC80" s="22">
        <f t="shared" si="57"/>
        <v>74.423650183491574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-2.8421709430404007E-13</v>
      </c>
      <c r="O81" s="13">
        <f>N81*VLOOKUP('Données projet'!$B$9,Paramètres!$A$1:$I$89,3,0)*VLOOKUP('Données projet'!$B$9,Paramètres!$A$1:$I$89,5,0)</f>
        <v>-1.69961822393816E-13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195.14508560011791</v>
      </c>
      <c r="T81" s="59">
        <f t="shared" si="88"/>
        <v>285.1531413455931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53.62010581198065</v>
      </c>
      <c r="AA81" s="21">
        <f>EXP(-LN(2)/25)*AA80+(1-EXP(-LN(2)/25))/(LN(2)/25)*Calculateur!V81*Calculateur!X81*VLOOKUP('Données projet'!$B$9,Paramètres!$A$1:$I$89,3,0)*0.475*44/12</f>
        <v>19.190958663387679</v>
      </c>
      <c r="AB81" s="21">
        <f>EXP(-LN(2)/2)*AB80+(1-EXP(-LN(2)/2))/(LN(2)/2)*V81*Y81*VLOOKUP('Données projet'!$B$9,Paramètres!$A$1:$I$89,3,0)*0.475*44/12</f>
        <v>4.0022903009953429E-4</v>
      </c>
      <c r="AC81" s="22">
        <f t="shared" si="57"/>
        <v>72.811464704398432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-2.8421709430404007E-13</v>
      </c>
      <c r="O82" s="13">
        <f>N82*VLOOKUP('Données projet'!$B$9,Paramètres!$A$1:$I$89,3,0)*VLOOKUP('Données projet'!$B$9,Paramètres!$A$1:$I$89,5,0)</f>
        <v>-1.69961822393816E-13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195.14508560011791</v>
      </c>
      <c r="T82" s="59">
        <f t="shared" si="88"/>
        <v>285.1531413455931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52.568648242042904</v>
      </c>
      <c r="AA82" s="21">
        <f>EXP(-LN(2)/25)*AA81+(1-EXP(-LN(2)/25))/(LN(2)/25)*Calculateur!V82*Calculateur!X82*VLOOKUP('Données projet'!$B$9,Paramètres!$A$1:$I$89,3,0)*0.475*44/12</f>
        <v>18.66618088952869</v>
      </c>
      <c r="AB82" s="21">
        <f>EXP(-LN(2)/2)*AB81+(1-EXP(-LN(2)/2))/(LN(2)/2)*V82*Y82*VLOOKUP('Données projet'!$B$9,Paramètres!$A$1:$I$89,3,0)*0.475*44/12</f>
        <v>2.8300466121109554E-4</v>
      </c>
      <c r="AC82" s="22">
        <f t="shared" si="57"/>
        <v>71.2351121362328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-2.8421709430404007E-13</v>
      </c>
      <c r="O83" s="13">
        <f>N83*VLOOKUP('Données projet'!$B$9,Paramètres!$A$1:$I$89,3,0)*VLOOKUP('Données projet'!$B$9,Paramètres!$A$1:$I$89,5,0)</f>
        <v>-1.69961822393816E-13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195.14508560011791</v>
      </c>
      <c r="T83" s="59">
        <f t="shared" si="88"/>
        <v>285.1531413455931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51.537809113725842</v>
      </c>
      <c r="AA83" s="21">
        <f>EXP(-LN(2)/25)*AA82+(1-EXP(-LN(2)/25))/(LN(2)/25)*Calculateur!V83*Calculateur!X83*VLOOKUP('Données projet'!$B$9,Paramètres!$A$1:$I$89,3,0)*0.475*44/12</f>
        <v>18.155753191492735</v>
      </c>
      <c r="AB83" s="21">
        <f>EXP(-LN(2)/2)*AB82+(1-EXP(-LN(2)/2))/(LN(2)/2)*V83*Y83*VLOOKUP('Données projet'!$B$9,Paramètres!$A$1:$I$89,3,0)*0.475*44/12</f>
        <v>2.0011451504976715E-4</v>
      </c>
      <c r="AC83" s="22">
        <f t="shared" si="57"/>
        <v>69.693762419733631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-2.8421709430404007E-13</v>
      </c>
      <c r="O84" s="13">
        <f>N84*VLOOKUP('Données projet'!$B$9,Paramètres!$A$1:$I$89,3,0)*VLOOKUP('Données projet'!$B$9,Paramètres!$A$1:$I$89,5,0)</f>
        <v>-1.69961822393816E-13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195.14508560011791</v>
      </c>
      <c r="T84" s="59">
        <f t="shared" si="88"/>
        <v>285.1531413455931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50.52718411196529</v>
      </c>
      <c r="AA84" s="21">
        <f>EXP(-LN(2)/25)*AA83+(1-EXP(-LN(2)/25))/(LN(2)/25)*Calculateur!V84*Calculateur!X84*VLOOKUP('Données projet'!$B$9,Paramètres!$A$1:$I$89,3,0)*0.475*44/12</f>
        <v>17.659283165701801</v>
      </c>
      <c r="AB84" s="21">
        <f>EXP(-LN(2)/2)*AB83+(1-EXP(-LN(2)/2))/(LN(2)/2)*V84*Y84*VLOOKUP('Données projet'!$B$9,Paramètres!$A$1:$I$89,3,0)*0.475*44/12</f>
        <v>1.4150233060554777E-4</v>
      </c>
      <c r="AC84" s="22">
        <f t="shared" si="57"/>
        <v>68.186608779997698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-2.8421709430404007E-13</v>
      </c>
      <c r="O85" s="13">
        <f>N85*VLOOKUP('Données projet'!$B$9,Paramètres!$A$1:$I$89,3,0)*VLOOKUP('Données projet'!$B$9,Paramètres!$A$1:$I$89,5,0)</f>
        <v>-1.69961822393816E-13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195.14508560011791</v>
      </c>
      <c r="T85" s="59">
        <f t="shared" si="88"/>
        <v>285.1531413455931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49.536376850068883</v>
      </c>
      <c r="AA85" s="21">
        <f>EXP(-LN(2)/25)*AA84+(1-EXP(-LN(2)/25))/(LN(2)/25)*Calculateur!V85*Calculateur!X85*VLOOKUP('Données projet'!$B$9,Paramètres!$A$1:$I$89,3,0)*0.475*44/12</f>
        <v>17.176389138874345</v>
      </c>
      <c r="AB85" s="21">
        <f>EXP(-LN(2)/2)*AB84+(1-EXP(-LN(2)/2))/(LN(2)/2)*V85*Y85*VLOOKUP('Données projet'!$B$9,Paramètres!$A$1:$I$89,3,0)*0.475*44/12</f>
        <v>1.0005725752488357E-4</v>
      </c>
      <c r="AC85" s="22">
        <f t="shared" si="57"/>
        <v>66.712866046200759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-2.8421709430404007E-13</v>
      </c>
      <c r="O86" s="13">
        <f>N86*VLOOKUP('Données projet'!$B$9,Paramètres!$A$1:$I$89,3,0)*VLOOKUP('Données projet'!$B$9,Paramètres!$A$1:$I$89,5,0)</f>
        <v>-1.69961822393816E-13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195.14508560011791</v>
      </c>
      <c r="T86" s="59">
        <f t="shared" si="88"/>
        <v>285.1531413455931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48.564998714245505</v>
      </c>
      <c r="AA86" s="21">
        <f>EXP(-LN(2)/25)*AA85+(1-EXP(-LN(2)/25))/(LN(2)/25)*Calculateur!V86*Calculateur!X86*VLOOKUP('Données projet'!$B$9,Paramètres!$A$1:$I$89,3,0)*0.475*44/12</f>
        <v>16.70669987460478</v>
      </c>
      <c r="AB86" s="21">
        <f>EXP(-LN(2)/2)*AB85+(1-EXP(-LN(2)/2))/(LN(2)/2)*V86*Y86*VLOOKUP('Données projet'!$B$9,Paramètres!$A$1:$I$89,3,0)*0.475*44/12</f>
        <v>7.0751165302773884E-5</v>
      </c>
      <c r="AC86" s="22">
        <f t="shared" si="57"/>
        <v>65.271769340015581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-2.8421709430404007E-13</v>
      </c>
      <c r="O87" s="13">
        <f>N87*VLOOKUP('Données projet'!$B$9,Paramètres!$A$1:$I$89,3,0)*VLOOKUP('Données projet'!$B$9,Paramètres!$A$1:$I$89,5,0)</f>
        <v>-1.69961822393816E-13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195.14508560011791</v>
      </c>
      <c r="T87" s="59">
        <f t="shared" si="88"/>
        <v>285.1531413455931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47.612668711183467</v>
      </c>
      <c r="AA87" s="21">
        <f>EXP(-LN(2)/25)*AA86+(1-EXP(-LN(2)/25))/(LN(2)/25)*Calculateur!V87*Calculateur!X87*VLOOKUP('Données projet'!$B$9,Paramètres!$A$1:$I$89,3,0)*0.475*44/12</f>
        <v>16.249854287966549</v>
      </c>
      <c r="AB87" s="21">
        <f>EXP(-LN(2)/2)*AB86+(1-EXP(-LN(2)/2))/(LN(2)/2)*V87*Y87*VLOOKUP('Données projet'!$B$9,Paramètres!$A$1:$I$89,3,0)*0.475*44/12</f>
        <v>5.0028628762441787E-5</v>
      </c>
      <c r="AC87" s="22">
        <f t="shared" si="57"/>
        <v>63.86257302777878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-2.8421709430404007E-13</v>
      </c>
      <c r="O88" s="13">
        <f>N88*VLOOKUP('Données projet'!$B$9,Paramètres!$A$1:$I$89,3,0)*VLOOKUP('Données projet'!$B$9,Paramètres!$A$1:$I$89,5,0)</f>
        <v>-1.69961822393816E-13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195.14508560011791</v>
      </c>
      <c r="T88" s="59">
        <f t="shared" si="88"/>
        <v>285.1531413455931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46.679013318617528</v>
      </c>
      <c r="AA88" s="21">
        <f>EXP(-LN(2)/25)*AA87+(1-EXP(-LN(2)/25))/(LN(2)/25)*Calculateur!V88*Calculateur!X88*VLOOKUP('Données projet'!$B$9,Paramètres!$A$1:$I$89,3,0)*0.475*44/12</f>
        <v>15.805501167919406</v>
      </c>
      <c r="AB88" s="21">
        <f>EXP(-LN(2)/2)*AB87+(1-EXP(-LN(2)/2))/(LN(2)/2)*V88*Y88*VLOOKUP('Données projet'!$B$9,Paramètres!$A$1:$I$89,3,0)*0.475*44/12</f>
        <v>3.5375582651386942E-5</v>
      </c>
      <c r="AC88" s="22">
        <f t="shared" si="57"/>
        <v>62.484549862119586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-2.8421709430404007E-13</v>
      </c>
      <c r="O89" s="13">
        <f>N89*VLOOKUP('Données projet'!$B$9,Paramètres!$A$1:$I$89,3,0)*VLOOKUP('Données projet'!$B$9,Paramètres!$A$1:$I$89,5,0)</f>
        <v>-1.69961822393816E-13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195.14508560011791</v>
      </c>
      <c r="T89" s="59">
        <f t="shared" si="88"/>
        <v>285.1531413455931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45.763666338826248</v>
      </c>
      <c r="AA89" s="21">
        <f>EXP(-LN(2)/25)*AA88+(1-EXP(-LN(2)/25))/(LN(2)/25)*Calculateur!V89*Calculateur!X89*VLOOKUP('Données projet'!$B$9,Paramètres!$A$1:$I$89,3,0)*0.475*44/12</f>
        <v>15.373298907307467</v>
      </c>
      <c r="AB89" s="21">
        <f>EXP(-LN(2)/2)*AB88+(1-EXP(-LN(2)/2))/(LN(2)/2)*V89*Y89*VLOOKUP('Données projet'!$B$9,Paramètres!$A$1:$I$89,3,0)*0.475*44/12</f>
        <v>2.5014314381220893E-5</v>
      </c>
      <c r="AC89" s="22">
        <f t="shared" si="57"/>
        <v>61.136990260448094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-2.8421709430404007E-13</v>
      </c>
      <c r="O90" s="13">
        <f>N90*VLOOKUP('Données projet'!$B$9,Paramètres!$A$1:$I$89,3,0)*VLOOKUP('Données projet'!$B$9,Paramètres!$A$1:$I$89,5,0)</f>
        <v>-1.69961822393816E-13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195.14508560011791</v>
      </c>
      <c r="T90" s="59">
        <f t="shared" si="88"/>
        <v>285.1531413455931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44.866268755002146</v>
      </c>
      <c r="AA90" s="21">
        <f>EXP(-LN(2)/25)*AA89+(1-EXP(-LN(2)/25))/(LN(2)/25)*Calculateur!V90*Calculateur!X90*VLOOKUP('Données projet'!$B$9,Paramètres!$A$1:$I$89,3,0)*0.475*44/12</f>
        <v>14.95291524024049</v>
      </c>
      <c r="AB90" s="21">
        <f>EXP(-LN(2)/2)*AB89+(1-EXP(-LN(2)/2))/(LN(2)/2)*V90*Y90*VLOOKUP('Données projet'!$B$9,Paramètres!$A$1:$I$89,3,0)*0.475*44/12</f>
        <v>1.7687791325693471E-5</v>
      </c>
      <c r="AC90" s="22">
        <f t="shared" si="57"/>
        <v>59.819201683033967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-2.8421709430404007E-13</v>
      </c>
      <c r="O91" s="13">
        <f>N91*VLOOKUP('Données projet'!$B$9,Paramètres!$A$1:$I$89,3,0)*VLOOKUP('Données projet'!$B$9,Paramètres!$A$1:$I$89,5,0)</f>
        <v>-1.69961822393816E-13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195.14508560011791</v>
      </c>
      <c r="T91" s="59">
        <f t="shared" si="88"/>
        <v>285.1531413455931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43.986468590438356</v>
      </c>
      <c r="AA91" s="21">
        <f>EXP(-LN(2)/25)*AA90+(1-EXP(-LN(2)/25))/(LN(2)/25)*Calculateur!V91*Calculateur!X91*VLOOKUP('Données projet'!$B$9,Paramètres!$A$1:$I$89,3,0)*0.475*44/12</f>
        <v>14.544026986656476</v>
      </c>
      <c r="AB91" s="21">
        <f>EXP(-LN(2)/2)*AB90+(1-EXP(-LN(2)/2))/(LN(2)/2)*V91*Y91*VLOOKUP('Données projet'!$B$9,Paramètres!$A$1:$I$89,3,0)*0.475*44/12</f>
        <v>1.2507157190610447E-5</v>
      </c>
      <c r="AC91" s="22">
        <f t="shared" si="57"/>
        <v>58.53050808425202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-2.8421709430404007E-13</v>
      </c>
      <c r="O92" s="13">
        <f>N92*VLOOKUP('Données projet'!$B$9,Paramètres!$A$1:$I$89,3,0)*VLOOKUP('Données projet'!$B$9,Paramètres!$A$1:$I$89,5,0)</f>
        <v>-1.69961822393816E-13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195.14508560011791</v>
      </c>
      <c r="T92" s="59">
        <f t="shared" si="88"/>
        <v>285.1531413455931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43.123920770476545</v>
      </c>
      <c r="AA92" s="21">
        <f>EXP(-LN(2)/25)*AA91+(1-EXP(-LN(2)/25))/(LN(2)/25)*Calculateur!V92*Calculateur!X92*VLOOKUP('Données projet'!$B$9,Paramètres!$A$1:$I$89,3,0)*0.475*44/12</f>
        <v>14.146319803869217</v>
      </c>
      <c r="AB92" s="21">
        <f>EXP(-LN(2)/2)*AB91+(1-EXP(-LN(2)/2))/(LN(2)/2)*V92*Y92*VLOOKUP('Données projet'!$B$9,Paramètres!$A$1:$I$89,3,0)*0.475*44/12</f>
        <v>8.8438956628467355E-6</v>
      </c>
      <c r="AC92" s="22">
        <f t="shared" si="57"/>
        <v>57.270249418241427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-2.8421709430404007E-13</v>
      </c>
      <c r="O93" s="13">
        <f>N93*VLOOKUP('Données projet'!$B$9,Paramètres!$A$1:$I$89,3,0)*VLOOKUP('Données projet'!$B$9,Paramètres!$A$1:$I$89,5,0)</f>
        <v>-1.69961822393816E-13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195.14508560011791</v>
      </c>
      <c r="T93" s="59">
        <f t="shared" si="88"/>
        <v>285.1531413455931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42.278286987161962</v>
      </c>
      <c r="AA93" s="21">
        <f>EXP(-LN(2)/25)*AA92+(1-EXP(-LN(2)/25))/(LN(2)/25)*Calculateur!V93*Calculateur!X93*VLOOKUP('Données projet'!$B$9,Paramètres!$A$1:$I$89,3,0)*0.475*44/12</f>
        <v>13.759487944909786</v>
      </c>
      <c r="AB93" s="21">
        <f>EXP(-LN(2)/2)*AB92+(1-EXP(-LN(2)/2))/(LN(2)/2)*V93*Y93*VLOOKUP('Données projet'!$B$9,Paramètres!$A$1:$I$89,3,0)*0.475*44/12</f>
        <v>6.2535785953052233E-6</v>
      </c>
      <c r="AC93" s="22">
        <f t="shared" si="57"/>
        <v>56.037781185650346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-2.8421709430404007E-13</v>
      </c>
      <c r="O94" s="13">
        <f>N94*VLOOKUP('Données projet'!$B$9,Paramètres!$A$1:$I$89,3,0)*VLOOKUP('Données projet'!$B$9,Paramètres!$A$1:$I$89,5,0)</f>
        <v>-1.69961822393816E-13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195.14508560011791</v>
      </c>
      <c r="T94" s="59">
        <f t="shared" si="88"/>
        <v>285.1531413455931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41.449235566552503</v>
      </c>
      <c r="AA94" s="21">
        <f>EXP(-LN(2)/25)*AA93+(1-EXP(-LN(2)/25))/(LN(2)/25)*Calculateur!V94*Calculateur!X94*VLOOKUP('Données projet'!$B$9,Paramètres!$A$1:$I$89,3,0)*0.475*44/12</f>
        <v>13.383234023476204</v>
      </c>
      <c r="AB94" s="21">
        <f>EXP(-LN(2)/2)*AB93+(1-EXP(-LN(2)/2))/(LN(2)/2)*V94*Y94*VLOOKUP('Données projet'!$B$9,Paramètres!$A$1:$I$89,3,0)*0.475*44/12</f>
        <v>4.4219478314233678E-6</v>
      </c>
      <c r="AC94" s="22">
        <f t="shared" si="57"/>
        <v>54.832474011976537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-2.8421709430404007E-13</v>
      </c>
      <c r="O95" s="13">
        <f>N95*VLOOKUP('Données projet'!$B$9,Paramètres!$A$1:$I$89,3,0)*VLOOKUP('Données projet'!$B$9,Paramètres!$A$1:$I$89,5,0)</f>
        <v>-1.69961822393816E-13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195.14508560011791</v>
      </c>
      <c r="T95" s="59">
        <f t="shared" si="88"/>
        <v>285.1531413455931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40.636441338629758</v>
      </c>
      <c r="AA95" s="21">
        <f>EXP(-LN(2)/25)*AA94+(1-EXP(-LN(2)/25))/(LN(2)/25)*Calculateur!V95*Calculateur!X95*VLOOKUP('Données projet'!$B$9,Paramètres!$A$1:$I$89,3,0)*0.475*44/12</f>
        <v>13.017268785310558</v>
      </c>
      <c r="AB95" s="21">
        <f>EXP(-LN(2)/2)*AB94+(1-EXP(-LN(2)/2))/(LN(2)/2)*V95*Y95*VLOOKUP('Données projet'!$B$9,Paramètres!$A$1:$I$89,3,0)*0.475*44/12</f>
        <v>3.1267892976526117E-6</v>
      </c>
      <c r="AC95" s="22">
        <f t="shared" si="57"/>
        <v>53.653713250729609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-2.8421709430404007E-13</v>
      </c>
      <c r="O96" s="13">
        <f>N96*VLOOKUP('Données projet'!$B$9,Paramètres!$A$1:$I$89,3,0)*VLOOKUP('Données projet'!$B$9,Paramètres!$A$1:$I$89,5,0)</f>
        <v>-1.69961822393816E-13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195.14508560011791</v>
      </c>
      <c r="T96" s="59">
        <f t="shared" si="88"/>
        <v>285.1531413455931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39.839585509761051</v>
      </c>
      <c r="AA96" s="21">
        <f>EXP(-LN(2)/25)*AA95+(1-EXP(-LN(2)/25))/(LN(2)/25)*Calculateur!V96*Calculateur!X96*VLOOKUP('Données projet'!$B$9,Paramètres!$A$1:$I$89,3,0)*0.475*44/12</f>
        <v>12.661310885827826</v>
      </c>
      <c r="AB96" s="21">
        <f>EXP(-LN(2)/2)*AB95+(1-EXP(-LN(2)/2))/(LN(2)/2)*V96*Y96*VLOOKUP('Données projet'!$B$9,Paramètres!$A$1:$I$89,3,0)*0.475*44/12</f>
        <v>2.2109739157116839E-6</v>
      </c>
      <c r="AC96" s="22">
        <f t="shared" si="57"/>
        <v>52.500898606562792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-2.8421709430404007E-13</v>
      </c>
      <c r="O97" s="13">
        <f>N97*VLOOKUP('Données projet'!$B$9,Paramètres!$A$1:$I$89,3,0)*VLOOKUP('Données projet'!$B$9,Paramètres!$A$1:$I$89,5,0)</f>
        <v>-1.69961822393816E-13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195.14508560011791</v>
      </c>
      <c r="T97" s="59">
        <f t="shared" si="88"/>
        <v>285.1531413455931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39.058355537662393</v>
      </c>
      <c r="AA97" s="21">
        <f>EXP(-LN(2)/25)*AA96+(1-EXP(-LN(2)/25))/(LN(2)/25)*Calculateur!V97*Calculateur!X97*VLOOKUP('Données projet'!$B$9,Paramètres!$A$1:$I$89,3,0)*0.475*44/12</f>
        <v>12.315086673825462</v>
      </c>
      <c r="AB97" s="21">
        <f>EXP(-LN(2)/2)*AB96+(1-EXP(-LN(2)/2))/(LN(2)/2)*V97*Y97*VLOOKUP('Données projet'!$B$9,Paramètres!$A$1:$I$89,3,0)*0.475*44/12</f>
        <v>1.5633946488263058E-6</v>
      </c>
      <c r="AC97" s="22">
        <f t="shared" si="57"/>
        <v>51.373443774882503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-2.8421709430404007E-13</v>
      </c>
      <c r="O98" s="13">
        <f>N98*VLOOKUP('Données projet'!$B$9,Paramètres!$A$1:$I$89,3,0)*VLOOKUP('Données projet'!$B$9,Paramètres!$A$1:$I$89,5,0)</f>
        <v>-1.69961822393816E-13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195.14508560011791</v>
      </c>
      <c r="T98" s="59">
        <f t="shared" si="88"/>
        <v>285.1531413455931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38.29244500881336</v>
      </c>
      <c r="AA98" s="21">
        <f>EXP(-LN(2)/25)*AA97+(1-EXP(-LN(2)/25))/(LN(2)/25)*Calculateur!V98*Calculateur!X98*VLOOKUP('Données projet'!$B$9,Paramètres!$A$1:$I$89,3,0)*0.475*44/12</f>
        <v>11.978329981107443</v>
      </c>
      <c r="AB98" s="21">
        <f>EXP(-LN(2)/2)*AB97+(1-EXP(-LN(2)/2))/(LN(2)/2)*V98*Y98*VLOOKUP('Données projet'!$B$9,Paramètres!$A$1:$I$89,3,0)*0.475*44/12</f>
        <v>1.1054869578558419E-6</v>
      </c>
      <c r="AC98" s="22">
        <f t="shared" si="57"/>
        <v>50.270776095407761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-2.8421709430404007E-13</v>
      </c>
      <c r="O99" s="13">
        <f>N99*VLOOKUP('Données projet'!$B$9,Paramètres!$A$1:$I$89,3,0)*VLOOKUP('Données projet'!$B$9,Paramètres!$A$1:$I$89,5,0)</f>
        <v>-1.69961822393816E-13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195.14508560011791</v>
      </c>
      <c r="T99" s="59">
        <f t="shared" si="88"/>
        <v>285.1531413455931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37.541553518275762</v>
      </c>
      <c r="AA99" s="21">
        <f>EXP(-LN(2)/25)*AA98+(1-EXP(-LN(2)/25))/(LN(2)/25)*Calculateur!V99*Calculateur!X99*VLOOKUP('Données projet'!$B$9,Paramètres!$A$1:$I$89,3,0)*0.475*44/12</f>
        <v>11.650781917861062</v>
      </c>
      <c r="AB99" s="21">
        <f>EXP(-LN(2)/2)*AB98+(1-EXP(-LN(2)/2))/(LN(2)/2)*V99*Y99*VLOOKUP('Données projet'!$B$9,Paramètres!$A$1:$I$89,3,0)*0.475*44/12</f>
        <v>7.8169732441315292E-7</v>
      </c>
      <c r="AC99" s="22">
        <f t="shared" si="57"/>
        <v>49.192336217834146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-2.8421709430404007E-13</v>
      </c>
      <c r="O100" s="13">
        <f>N100*VLOOKUP('Données projet'!$B$9,Paramètres!$A$1:$I$89,3,0)*VLOOKUP('Données projet'!$B$9,Paramètres!$A$1:$I$89,5,0)</f>
        <v>-1.69961822393816E-13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195.14508560011791</v>
      </c>
      <c r="T100" s="59">
        <f t="shared" si="88"/>
        <v>285.1531413455931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36.80538655186902</v>
      </c>
      <c r="AA100" s="21">
        <f>EXP(-LN(2)/25)*AA99+(1-EXP(-LN(2)/25))/(LN(2)/25)*Calculateur!V100*Calculateur!X100*VLOOKUP('Données projet'!$B$9,Paramètres!$A$1:$I$89,3,0)*0.475*44/12</f>
        <v>11.332190673629158</v>
      </c>
      <c r="AB100" s="21">
        <f>EXP(-LN(2)/2)*AB99+(1-EXP(-LN(2)/2))/(LN(2)/2)*V100*Y100*VLOOKUP('Données projet'!$B$9,Paramètres!$A$1:$I$89,3,0)*0.475*44/12</f>
        <v>5.5274347892792097E-7</v>
      </c>
      <c r="AC100" s="22">
        <f t="shared" si="57"/>
        <v>48.137577778241656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-2.8421709430404007E-13</v>
      </c>
      <c r="O101" s="13">
        <f>N101*VLOOKUP('Données projet'!$B$9,Paramètres!$A$1:$I$89,3,0)*VLOOKUP('Données projet'!$B$9,Paramètres!$A$1:$I$89,5,0)</f>
        <v>-1.69961822393816E-13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195.14508560011791</v>
      </c>
      <c r="T101" s="59">
        <f t="shared" si="88"/>
        <v>285.1531413455931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36.083655370656004</v>
      </c>
      <c r="AA101" s="21">
        <f>EXP(-LN(2)/25)*AA100+(1-EXP(-LN(2)/25))/(LN(2)/25)*Calculateur!V101*Calculateur!X101*VLOOKUP('Données projet'!$B$9,Paramètres!$A$1:$I$89,3,0)*0.475*44/12</f>
        <v>11.022311323724761</v>
      </c>
      <c r="AB101" s="21">
        <f>EXP(-LN(2)/2)*AB100+(1-EXP(-LN(2)/2))/(LN(2)/2)*V101*Y101*VLOOKUP('Données projet'!$B$9,Paramètres!$A$1:$I$89,3,0)*0.475*44/12</f>
        <v>3.9084866220657646E-7</v>
      </c>
      <c r="AC101" s="22">
        <f t="shared" si="57"/>
        <v>47.10596708522943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-2.8421709430404007E-13</v>
      </c>
      <c r="O102" s="13">
        <f>N102*VLOOKUP('Données projet'!$B$9,Paramètres!$A$1:$I$89,3,0)*VLOOKUP('Données projet'!$B$9,Paramètres!$A$1:$I$89,5,0)</f>
        <v>-1.69961822393816E-13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195.14508560011791</v>
      </c>
      <c r="T102" s="59">
        <f t="shared" si="88"/>
        <v>285.1531413455931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35.37607689769402</v>
      </c>
      <c r="AA102" s="21">
        <f>EXP(-LN(2)/25)*AA101+(1-EXP(-LN(2)/25))/(LN(2)/25)*Calculateur!V102*Calculateur!X102*VLOOKUP('Données projet'!$B$9,Paramètres!$A$1:$I$89,3,0)*0.475*44/12</f>
        <v>10.720905640939346</v>
      </c>
      <c r="AB102" s="21">
        <f>EXP(-LN(2)/2)*AB101+(1-EXP(-LN(2)/2))/(LN(2)/2)*V102*Y102*VLOOKUP('Données projet'!$B$9,Paramètres!$A$1:$I$89,3,0)*0.475*44/12</f>
        <v>2.7637173946396048E-7</v>
      </c>
      <c r="AC102" s="22">
        <f t="shared" si="57"/>
        <v>46.096982815005106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-2.8421709430404007E-13</v>
      </c>
      <c r="O103" s="13">
        <f>N103*VLOOKUP('Données projet'!$B$9,Paramètres!$A$1:$I$89,3,0)*VLOOKUP('Données projet'!$B$9,Paramètres!$A$1:$I$89,5,0)</f>
        <v>-1.69961822393816E-13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195.14508560011791</v>
      </c>
      <c r="T103" s="59">
        <f t="shared" si="88"/>
        <v>285.1531413455931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34.682373607006568</v>
      </c>
      <c r="AA103" s="21">
        <f>EXP(-LN(2)/25)*AA102+(1-EXP(-LN(2)/25))/(LN(2)/25)*Calculateur!V103*Calculateur!X103*VLOOKUP('Données projet'!$B$9,Paramètres!$A$1:$I$89,3,0)*0.475*44/12</f>
        <v>10.427741912399934</v>
      </c>
      <c r="AB103" s="21">
        <f>EXP(-LN(2)/2)*AB102+(1-EXP(-LN(2)/2))/(LN(2)/2)*V103*Y103*VLOOKUP('Données projet'!$B$9,Paramètres!$A$1:$I$89,3,0)*0.475*44/12</f>
        <v>1.9542433110328823E-7</v>
      </c>
      <c r="AC103" s="22">
        <f t="shared" si="57"/>
        <v>45.11011571483084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-2.8421709430404007E-13</v>
      </c>
      <c r="O104" s="13">
        <f>N104*VLOOKUP('Données projet'!$B$9,Paramètres!$A$1:$I$89,3,0)*VLOOKUP('Données projet'!$B$9,Paramètres!$A$1:$I$89,5,0)</f>
        <v>-1.69961822393816E-13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195.14508560011791</v>
      </c>
      <c r="T104" s="59">
        <f t="shared" si="88"/>
        <v>285.1531413455931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34.002273414732272</v>
      </c>
      <c r="AA104" s="21">
        <f>EXP(-LN(2)/25)*AA103+(1-EXP(-LN(2)/25))/(LN(2)/25)*Calculateur!V104*Calculateur!X104*VLOOKUP('Données projet'!$B$9,Paramètres!$A$1:$I$89,3,0)*0.475*44/12</f>
        <v>10.142594761434244</v>
      </c>
      <c r="AB104" s="21">
        <f>EXP(-LN(2)/2)*AB103+(1-EXP(-LN(2)/2))/(LN(2)/2)*V104*Y104*VLOOKUP('Données projet'!$B$9,Paramètres!$A$1:$I$89,3,0)*0.475*44/12</f>
        <v>1.3818586973198024E-7</v>
      </c>
      <c r="AC104" s="22">
        <f t="shared" si="57"/>
        <v>44.144868314352387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-2.8421709430404007E-13</v>
      </c>
      <c r="O105" s="13">
        <f>N105*VLOOKUP('Données projet'!$B$9,Paramètres!$A$1:$I$89,3,0)*VLOOKUP('Données projet'!$B$9,Paramètres!$A$1:$I$89,5,0)</f>
        <v>-1.69961822393816E-13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195.14508560011791</v>
      </c>
      <c r="T105" s="59">
        <f t="shared" si="88"/>
        <v>285.1531413455931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33.335509572408313</v>
      </c>
      <c r="AA105" s="21">
        <f>EXP(-LN(2)/25)*AA104+(1-EXP(-LN(2)/25))/(LN(2)/25)*Calculateur!V105*Calculateur!X105*VLOOKUP('Données projet'!$B$9,Paramètres!$A$1:$I$89,3,0)*0.475*44/12</f>
        <v>9.8652449743069486</v>
      </c>
      <c r="AB105" s="21">
        <f>EXP(-LN(2)/2)*AB104+(1-EXP(-LN(2)/2))/(LN(2)/2)*V105*Y105*VLOOKUP('Données projet'!$B$9,Paramètres!$A$1:$I$89,3,0)*0.475*44/12</f>
        <v>9.7712165551644115E-8</v>
      </c>
      <c r="AC105" s="22">
        <f t="shared" si="57"/>
        <v>43.200754644427427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-2.8421709430404007E-13</v>
      </c>
      <c r="O106" s="13">
        <f>N106*VLOOKUP('Données projet'!$B$9,Paramètres!$A$1:$I$89,3,0)*VLOOKUP('Données projet'!$B$9,Paramètres!$A$1:$I$89,5,0)</f>
        <v>-1.69961822393816E-13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195.14508560011791</v>
      </c>
      <c r="T106" s="59">
        <f t="shared" si="88"/>
        <v>285.1531413455931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32.681820562346545</v>
      </c>
      <c r="AA106" s="21">
        <f>EXP(-LN(2)/25)*AA105+(1-EXP(-LN(2)/25))/(LN(2)/25)*Calculateur!V106*Calculateur!X106*VLOOKUP('Données projet'!$B$9,Paramètres!$A$1:$I$89,3,0)*0.475*44/12</f>
        <v>9.5954793316938396</v>
      </c>
      <c r="AB106" s="21">
        <f>EXP(-LN(2)/2)*AB105+(1-EXP(-LN(2)/2))/(LN(2)/2)*V106*Y106*VLOOKUP('Données projet'!$B$9,Paramètres!$A$1:$I$89,3,0)*0.475*44/12</f>
        <v>6.9092934865990121E-8</v>
      </c>
      <c r="AC106" s="22">
        <f t="shared" si="57"/>
        <v>42.277299963133316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-2.8421709430404007E-13</v>
      </c>
      <c r="O107" s="13">
        <f>N107*VLOOKUP('Données projet'!$B$9,Paramètres!$A$1:$I$89,3,0)*VLOOKUP('Données projet'!$B$9,Paramètres!$A$1:$I$89,5,0)</f>
        <v>-1.69961822393816E-13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195.14508560011791</v>
      </c>
      <c r="T107" s="59">
        <f t="shared" si="88"/>
        <v>285.1531413455931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32.040949995061162</v>
      </c>
      <c r="AA107" s="21">
        <f>EXP(-LN(2)/25)*AA106+(1-EXP(-LN(2)/25))/(LN(2)/25)*Calculateur!V107*Calculateur!X107*VLOOKUP('Données projet'!$B$9,Paramètres!$A$1:$I$89,3,0)*0.475*44/12</f>
        <v>9.3330904447643448</v>
      </c>
      <c r="AB107" s="21">
        <f>EXP(-LN(2)/2)*AB106+(1-EXP(-LN(2)/2))/(LN(2)/2)*V107*Y107*VLOOKUP('Données projet'!$B$9,Paramètres!$A$1:$I$89,3,0)*0.475*44/12</f>
        <v>4.8856082775822057E-8</v>
      </c>
      <c r="AC107" s="22">
        <f t="shared" si="57"/>
        <v>41.374040488681587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-2.8421709430404007E-13</v>
      </c>
      <c r="O108" s="13">
        <f>N108*VLOOKUP('Données projet'!$B$9,Paramètres!$A$1:$I$89,3,0)*VLOOKUP('Données projet'!$B$9,Paramètres!$A$1:$I$89,5,0)</f>
        <v>-1.69961822393816E-13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195.14508560011791</v>
      </c>
      <c r="T108" s="59">
        <f t="shared" si="88"/>
        <v>285.1531413455931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31.412646508707795</v>
      </c>
      <c r="AA108" s="21">
        <f>EXP(-LN(2)/25)*AA107+(1-EXP(-LN(2)/25))/(LN(2)/25)*Calculateur!V108*Calculateur!X108*VLOOKUP('Données projet'!$B$9,Paramètres!$A$1:$I$89,3,0)*0.475*44/12</f>
        <v>9.0778765957463676</v>
      </c>
      <c r="AB108" s="21">
        <f>EXP(-LN(2)/2)*AB107+(1-EXP(-LN(2)/2))/(LN(2)/2)*V108*Y108*VLOOKUP('Données projet'!$B$9,Paramètres!$A$1:$I$89,3,0)*0.475*44/12</f>
        <v>3.4546467432995061E-8</v>
      </c>
      <c r="AC108" s="22">
        <f t="shared" si="57"/>
        <v>40.490523139000629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-2.8421709430404007E-13</v>
      </c>
      <c r="O109" s="13">
        <f>N109*VLOOKUP('Données projet'!$B$9,Paramètres!$A$1:$I$89,3,0)*VLOOKUP('Données projet'!$B$9,Paramètres!$A$1:$I$89,5,0)</f>
        <v>-1.69961822393816E-13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195.14508560011791</v>
      </c>
      <c r="T109" s="59">
        <f t="shared" si="88"/>
        <v>285.1531413455931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30.796663670494528</v>
      </c>
      <c r="AA109" s="21">
        <f>EXP(-LN(2)/25)*AA108+(1-EXP(-LN(2)/25))/(LN(2)/25)*Calculateur!V109*Calculateur!X109*VLOOKUP('Données projet'!$B$9,Paramètres!$A$1:$I$89,3,0)*0.475*44/12</f>
        <v>8.8296415828509005</v>
      </c>
      <c r="AB109" s="21">
        <f>EXP(-LN(2)/2)*AB108+(1-EXP(-LN(2)/2))/(LN(2)/2)*V109*Y109*VLOOKUP('Données projet'!$B$9,Paramètres!$A$1:$I$89,3,0)*0.475*44/12</f>
        <v>2.4428041387911029E-8</v>
      </c>
      <c r="AC109" s="22">
        <f t="shared" si="57"/>
        <v>39.626305277773469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-2.8421709430404007E-13</v>
      </c>
      <c r="O110" s="13">
        <f>N110*VLOOKUP('Données projet'!$B$9,Paramètres!$A$1:$I$89,3,0)*VLOOKUP('Données projet'!$B$9,Paramètres!$A$1:$I$89,5,0)</f>
        <v>-1.69961822393816E-13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195.14508560011791</v>
      </c>
      <c r="T110" s="59">
        <f t="shared" si="88"/>
        <v>285.1531413455931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30.192759880026191</v>
      </c>
      <c r="AA110" s="21">
        <f>EXP(-LN(2)/25)*AA109+(1-EXP(-LN(2)/25))/(LN(2)/25)*Calculateur!V110*Calculateur!X110*VLOOKUP('Données projet'!$B$9,Paramètres!$A$1:$I$89,3,0)*0.475*44/12</f>
        <v>8.5881945694371726</v>
      </c>
      <c r="AB110" s="21">
        <f>EXP(-LN(2)/2)*AB109+(1-EXP(-LN(2)/2))/(LN(2)/2)*V110*Y110*VLOOKUP('Données projet'!$B$9,Paramètres!$A$1:$I$89,3,0)*0.475*44/12</f>
        <v>1.727323371649753E-8</v>
      </c>
      <c r="AC110" s="22">
        <f t="shared" si="57"/>
        <v>38.780954466736603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-2.8421709430404007E-13</v>
      </c>
      <c r="O111" s="13">
        <f>N111*VLOOKUP('Données projet'!$B$9,Paramètres!$A$1:$I$89,3,0)*VLOOKUP('Données projet'!$B$9,Paramètres!$A$1:$I$89,5,0)</f>
        <v>-1.69961822393816E-13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195.14508560011791</v>
      </c>
      <c r="T111" s="59">
        <f t="shared" si="88"/>
        <v>285.1531413455931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29.600698274543998</v>
      </c>
      <c r="AA111" s="21">
        <f>EXP(-LN(2)/25)*AA110+(1-EXP(-LN(2)/25))/(LN(2)/25)*Calculateur!V111*Calculateur!X111*VLOOKUP('Données projet'!$B$9,Paramètres!$A$1:$I$89,3,0)*0.475*44/12</f>
        <v>8.3533499373023901</v>
      </c>
      <c r="AB111" s="21">
        <f>EXP(-LN(2)/2)*AB110+(1-EXP(-LN(2)/2))/(LN(2)/2)*V111*Y111*VLOOKUP('Données projet'!$B$9,Paramètres!$A$1:$I$89,3,0)*0.475*44/12</f>
        <v>1.2214020693955514E-8</v>
      </c>
      <c r="AC111" s="22">
        <f t="shared" si="57"/>
        <v>37.954048224060408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-2.8421709430404007E-13</v>
      </c>
      <c r="O112" s="13">
        <f>N112*VLOOKUP('Données projet'!$B$9,Paramètres!$A$1:$I$89,3,0)*VLOOKUP('Données projet'!$B$9,Paramètres!$A$1:$I$89,5,0)</f>
        <v>-1.69961822393816E-13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195.14508560011791</v>
      </c>
      <c r="T112" s="59">
        <f t="shared" si="88"/>
        <v>285.1531413455931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29.020246636023391</v>
      </c>
      <c r="AA112" s="21">
        <f>EXP(-LN(2)/25)*AA111+(1-EXP(-LN(2)/25))/(LN(2)/25)*Calculateur!V112*Calculateur!X112*VLOOKUP('Données projet'!$B$9,Paramètres!$A$1:$I$89,3,0)*0.475*44/12</f>
        <v>8.1249271439832746</v>
      </c>
      <c r="AB112" s="21">
        <f>EXP(-LN(2)/2)*AB111+(1-EXP(-LN(2)/2))/(LN(2)/2)*V112*Y112*VLOOKUP('Données projet'!$B$9,Paramètres!$A$1:$I$89,3,0)*0.475*44/12</f>
        <v>8.6366168582487651E-9</v>
      </c>
      <c r="AC112" s="22">
        <f t="shared" si="57"/>
        <v>37.145173788643284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-2.8421709430404007E-13</v>
      </c>
      <c r="O113" s="13">
        <f>N113*VLOOKUP('Données projet'!$B$9,Paramètres!$A$1:$I$89,3,0)*VLOOKUP('Données projet'!$B$9,Paramètres!$A$1:$I$89,5,0)</f>
        <v>-1.69961822393816E-13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195.14508560011791</v>
      </c>
      <c r="T113" s="59">
        <f t="shared" si="88"/>
        <v>285.1531413455931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28.451177300093629</v>
      </c>
      <c r="AA113" s="21">
        <f>EXP(-LN(2)/25)*AA112+(1-EXP(-LN(2)/25))/(LN(2)/25)*Calculateur!V113*Calculateur!X113*VLOOKUP('Données projet'!$B$9,Paramètres!$A$1:$I$89,3,0)*0.475*44/12</f>
        <v>7.902750583959703</v>
      </c>
      <c r="AB113" s="21">
        <f>EXP(-LN(2)/2)*AB112+(1-EXP(-LN(2)/2))/(LN(2)/2)*V113*Y113*VLOOKUP('Données projet'!$B$9,Paramètres!$A$1:$I$89,3,0)*0.475*44/12</f>
        <v>6.1070103469777572E-9</v>
      </c>
      <c r="AC113" s="22">
        <f t="shared" si="57"/>
        <v>36.353927890160342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-2.8421709430404007E-13</v>
      </c>
      <c r="O114" s="13">
        <f>N114*VLOOKUP('Données projet'!$B$9,Paramètres!$A$1:$I$89,3,0)*VLOOKUP('Données projet'!$B$9,Paramètres!$A$1:$I$89,5,0)</f>
        <v>-1.69961822393816E-13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195.14508560011791</v>
      </c>
      <c r="T114" s="59">
        <f t="shared" si="88"/>
        <v>285.1531413455931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27.89326706674343</v>
      </c>
      <c r="AA114" s="21">
        <f>EXP(-LN(2)/25)*AA113+(1-EXP(-LN(2)/25))/(LN(2)/25)*Calculateur!V114*Calculateur!X114*VLOOKUP('Données projet'!$B$9,Paramètres!$A$1:$I$89,3,0)*0.475*44/12</f>
        <v>7.6866494536537333</v>
      </c>
      <c r="AB114" s="21">
        <f>EXP(-LN(2)/2)*AB113+(1-EXP(-LN(2)/2))/(LN(2)/2)*V114*Y114*VLOOKUP('Données projet'!$B$9,Paramètres!$A$1:$I$89,3,0)*0.475*44/12</f>
        <v>4.3183084291243826E-9</v>
      </c>
      <c r="AC114" s="22">
        <f t="shared" si="57"/>
        <v>35.579916524715472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-2.8421709430404007E-13</v>
      </c>
      <c r="O115" s="13">
        <f>N115*VLOOKUP('Données projet'!$B$9,Paramètres!$A$1:$I$89,3,0)*VLOOKUP('Données projet'!$B$9,Paramètres!$A$1:$I$89,5,0)</f>
        <v>-1.69961822393816E-13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195.14508560011791</v>
      </c>
      <c r="T115" s="59">
        <f t="shared" si="88"/>
        <v>285.1531413455931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27.346297112777588</v>
      </c>
      <c r="AA115" s="21">
        <f>EXP(-LN(2)/25)*AA114+(1-EXP(-LN(2)/25))/(LN(2)/25)*Calculateur!V115*Calculateur!X115*VLOOKUP('Données projet'!$B$9,Paramètres!$A$1:$I$89,3,0)*0.475*44/12</f>
        <v>7.4764576201202448</v>
      </c>
      <c r="AB115" s="21">
        <f>EXP(-LN(2)/2)*AB114+(1-EXP(-LN(2)/2))/(LN(2)/2)*V115*Y115*VLOOKUP('Données projet'!$B$9,Paramètres!$A$1:$I$89,3,0)*0.475*44/12</f>
        <v>3.0535051734888786E-9</v>
      </c>
      <c r="AC115" s="22">
        <f t="shared" si="57"/>
        <v>34.822754735951342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-2.8421709430404007E-13</v>
      </c>
      <c r="O116" s="13">
        <f>N116*VLOOKUP('Données projet'!$B$9,Paramètres!$A$1:$I$89,3,0)*VLOOKUP('Données projet'!$B$9,Paramètres!$A$1:$I$89,5,0)</f>
        <v>-1.69961822393816E-13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195.14508560011791</v>
      </c>
      <c r="T116" s="59">
        <f t="shared" si="88"/>
        <v>285.1531413455931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26.810052905990286</v>
      </c>
      <c r="AA116" s="21">
        <f>EXP(-LN(2)/25)*AA115+(1-EXP(-LN(2)/25))/(LN(2)/25)*Calculateur!V116*Calculateur!X116*VLOOKUP('Données projet'!$B$9,Paramètres!$A$1:$I$89,3,0)*0.475*44/12</f>
        <v>7.2720134933282381</v>
      </c>
      <c r="AB116" s="21">
        <f>EXP(-LN(2)/2)*AB115+(1-EXP(-LN(2)/2))/(LN(2)/2)*V116*Y116*VLOOKUP('Données projet'!$B$9,Paramètres!$A$1:$I$89,3,0)*0.475*44/12</f>
        <v>2.1591542145621913E-9</v>
      </c>
      <c r="AC116" s="22">
        <f t="shared" si="57"/>
        <v>34.082066401477675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-2.8421709430404007E-13</v>
      </c>
      <c r="O117" s="13">
        <f>N117*VLOOKUP('Données projet'!$B$9,Paramètres!$A$1:$I$89,3,0)*VLOOKUP('Données projet'!$B$9,Paramètres!$A$1:$I$89,5,0)</f>
        <v>-1.69961822393816E-13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195.14508560011791</v>
      </c>
      <c r="T117" s="59">
        <f t="shared" si="88"/>
        <v>285.1531413455931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26.284324121021413</v>
      </c>
      <c r="AA117" s="21">
        <f>EXP(-LN(2)/25)*AA116+(1-EXP(-LN(2)/25))/(LN(2)/25)*Calculateur!V117*Calculateur!X117*VLOOKUP('Données projet'!$B$9,Paramètres!$A$1:$I$89,3,0)*0.475*44/12</f>
        <v>7.0731599019346083</v>
      </c>
      <c r="AB117" s="21">
        <f>EXP(-LN(2)/2)*AB116+(1-EXP(-LN(2)/2))/(LN(2)/2)*V117*Y117*VLOOKUP('Données projet'!$B$9,Paramètres!$A$1:$I$89,3,0)*0.475*44/12</f>
        <v>1.5267525867444393E-9</v>
      </c>
      <c r="AC117" s="22">
        <f t="shared" si="57"/>
        <v>33.357484024482773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-2.8421709430404007E-13</v>
      </c>
      <c r="O118" s="13">
        <f>N118*VLOOKUP('Données projet'!$B$9,Paramètres!$A$1:$I$89,3,0)*VLOOKUP('Données projet'!$B$9,Paramètres!$A$1:$I$89,5,0)</f>
        <v>-1.69961822393816E-13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195.14508560011791</v>
      </c>
      <c r="T118" s="59">
        <f t="shared" si="88"/>
        <v>285.1531413455931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25.768904556862882</v>
      </c>
      <c r="AA118" s="21">
        <f>EXP(-LN(2)/25)*AA117+(1-EXP(-LN(2)/25))/(LN(2)/25)*Calculateur!V118*Calculateur!X118*VLOOKUP('Données projet'!$B$9,Paramètres!$A$1:$I$89,3,0)*0.475*44/12</f>
        <v>6.879743972454893</v>
      </c>
      <c r="AB118" s="21">
        <f>EXP(-LN(2)/2)*AB117+(1-EXP(-LN(2)/2))/(LN(2)/2)*V118*Y118*VLOOKUP('Données projet'!$B$9,Paramètres!$A$1:$I$89,3,0)*0.475*44/12</f>
        <v>1.0795771072810956E-9</v>
      </c>
      <c r="AC118" s="22">
        <f t="shared" si="57"/>
        <v>32.648648530397352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-2.8421709430404007E-13</v>
      </c>
      <c r="O119" s="13">
        <f>N119*VLOOKUP('Données projet'!$B$9,Paramètres!$A$1:$I$89,3,0)*VLOOKUP('Données projet'!$B$9,Paramètres!$A$1:$I$89,5,0)</f>
        <v>-1.69961822393816E-13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195.14508560011791</v>
      </c>
      <c r="T119" s="59">
        <f t="shared" si="88"/>
        <v>285.1531413455931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25.26359205598261</v>
      </c>
      <c r="AA119" s="21">
        <f>EXP(-LN(2)/25)*AA118+(1-EXP(-LN(2)/25))/(LN(2)/25)*Calculateur!V119*Calculateur!X119*VLOOKUP('Données projet'!$B$9,Paramètres!$A$1:$I$89,3,0)*0.475*44/12</f>
        <v>6.691617011738102</v>
      </c>
      <c r="AB119" s="21">
        <f>EXP(-LN(2)/2)*AB118+(1-EXP(-LN(2)/2))/(LN(2)/2)*V119*Y119*VLOOKUP('Données projet'!$B$9,Paramètres!$A$1:$I$89,3,0)*0.475*44/12</f>
        <v>7.6337629337221965E-10</v>
      </c>
      <c r="AC119" s="22">
        <f t="shared" si="57"/>
        <v>31.955209068484088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-2.8421709430404007E-13</v>
      </c>
      <c r="O120" s="13">
        <f>N120*VLOOKUP('Données projet'!$B$9,Paramètres!$A$1:$I$89,3,0)*VLOOKUP('Données projet'!$B$9,Paramètres!$A$1:$I$89,5,0)</f>
        <v>-1.69961822393816E-13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195.14508560011791</v>
      </c>
      <c r="T120" s="59">
        <f t="shared" si="88"/>
        <v>285.1531413455931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24.768188425034406</v>
      </c>
      <c r="AA120" s="21">
        <f>EXP(-LN(2)/25)*AA119+(1-EXP(-LN(2)/25))/(LN(2)/25)*Calculateur!V120*Calculateur!X120*VLOOKUP('Données projet'!$B$9,Paramètres!$A$1:$I$89,3,0)*0.475*44/12</f>
        <v>6.5086343926552788</v>
      </c>
      <c r="AB120" s="21">
        <f>EXP(-LN(2)/2)*AB119+(1-EXP(-LN(2)/2))/(LN(2)/2)*V120*Y120*VLOOKUP('Données projet'!$B$9,Paramètres!$A$1:$I$89,3,0)*0.475*44/12</f>
        <v>5.3978855364054782E-10</v>
      </c>
      <c r="AC120" s="22">
        <f t="shared" si="57"/>
        <v>31.276822818229473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-2.8421709430404007E-13</v>
      </c>
      <c r="O121" s="13">
        <f>N121*VLOOKUP('Données projet'!$B$9,Paramètres!$A$1:$I$89,3,0)*VLOOKUP('Données projet'!$B$9,Paramètres!$A$1:$I$89,5,0)</f>
        <v>-1.69961822393816E-13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195.14508560011791</v>
      </c>
      <c r="T121" s="59">
        <f t="shared" si="88"/>
        <v>285.1531413455931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24.282499357122717</v>
      </c>
      <c r="AA121" s="21">
        <f>EXP(-LN(2)/25)*AA120+(1-EXP(-LN(2)/25))/(LN(2)/25)*Calculateur!V121*Calculateur!X121*VLOOKUP('Données projet'!$B$9,Paramètres!$A$1:$I$89,3,0)*0.475*44/12</f>
        <v>6.3306554429139128</v>
      </c>
      <c r="AB121" s="21">
        <f>EXP(-LN(2)/2)*AB120+(1-EXP(-LN(2)/2))/(LN(2)/2)*V121*Y121*VLOOKUP('Données projet'!$B$9,Paramètres!$A$1:$I$89,3,0)*0.475*44/12</f>
        <v>3.8168814668610982E-10</v>
      </c>
      <c r="AC121" s="22">
        <f t="shared" si="57"/>
        <v>30.613154800418318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-2.8421709430404007E-13</v>
      </c>
      <c r="O122" s="13">
        <f>N122*VLOOKUP('Données projet'!$B$9,Paramètres!$A$1:$I$89,3,0)*VLOOKUP('Données projet'!$B$9,Paramètres!$A$1:$I$89,5,0)</f>
        <v>-1.69961822393816E-13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195.14508560011791</v>
      </c>
      <c r="T122" s="59">
        <f t="shared" si="88"/>
        <v>285.1531413455931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23.806334355591698</v>
      </c>
      <c r="AA122" s="21">
        <f>EXP(-LN(2)/25)*AA121+(1-EXP(-LN(2)/25))/(LN(2)/25)*Calculateur!V122*Calculateur!X122*VLOOKUP('Données projet'!$B$9,Paramètres!$A$1:$I$89,3,0)*0.475*44/12</f>
        <v>6.157543336912731</v>
      </c>
      <c r="AB122" s="21">
        <f>EXP(-LN(2)/2)*AB121+(1-EXP(-LN(2)/2))/(LN(2)/2)*V122*Y122*VLOOKUP('Données projet'!$B$9,Paramètres!$A$1:$I$89,3,0)*0.475*44/12</f>
        <v>2.6989427682027391E-10</v>
      </c>
      <c r="AC122" s="22">
        <f t="shared" si="57"/>
        <v>29.963877692774322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-2.8421709430404007E-13</v>
      </c>
      <c r="O123" s="13">
        <f>N123*VLOOKUP('Données projet'!$B$9,Paramètres!$A$1:$I$89,3,0)*VLOOKUP('Données projet'!$B$9,Paramètres!$A$1:$I$89,5,0)</f>
        <v>-1.69961822393816E-13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195.14508560011791</v>
      </c>
      <c r="T123" s="59">
        <f t="shared" si="88"/>
        <v>285.1531413455931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23.339506659308729</v>
      </c>
      <c r="AA123" s="21">
        <f>EXP(-LN(2)/25)*AA122+(1-EXP(-LN(2)/25))/(LN(2)/25)*Calculateur!V123*Calculateur!X123*VLOOKUP('Données projet'!$B$9,Paramètres!$A$1:$I$89,3,0)*0.475*44/12</f>
        <v>5.9891649905537214</v>
      </c>
      <c r="AB123" s="21">
        <f>EXP(-LN(2)/2)*AB122+(1-EXP(-LN(2)/2))/(LN(2)/2)*V123*Y123*VLOOKUP('Données projet'!$B$9,Paramètres!$A$1:$I$89,3,0)*0.475*44/12</f>
        <v>1.9084407334305491E-10</v>
      </c>
      <c r="AC123" s="22">
        <f t="shared" si="57"/>
        <v>29.328671650053295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-1.69961822393816E-13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195.14508560011791</v>
      </c>
      <c r="T124" s="59">
        <f t="shared" si="88"/>
        <v>285.1531413455931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22.881833169413088</v>
      </c>
      <c r="AA124" s="21">
        <f>EXP(-LN(2)/25)*AA123+(1-EXP(-LN(2)/25))/(LN(2)/25)*Calculateur!V124*Calculateur!X124*VLOOKUP('Données projet'!$B$9,Paramètres!$A$1:$I$89,3,0)*0.475*44/12</f>
        <v>5.825390958930531</v>
      </c>
      <c r="AB124" s="21">
        <f>EXP(-LN(2)/2)*AB123+(1-EXP(-LN(2)/2))/(LN(2)/2)*V124*Y124*VLOOKUP('Données projet'!$B$9,Paramètres!$A$1:$I$89,3,0)*0.475*44/12</f>
        <v>1.3494713841013696E-10</v>
      </c>
      <c r="AC124" s="22">
        <f t="shared" si="57"/>
        <v>28.707224128478565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-1.69961822393816E-13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195.14508560011791</v>
      </c>
      <c r="T125" s="59">
        <f t="shared" si="88"/>
        <v>285.1531413455931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22.433134377501037</v>
      </c>
      <c r="AA125" s="21">
        <f>EXP(-LN(2)/25)*AA124+(1-EXP(-LN(2)/25))/(LN(2)/25)*Calculateur!V125*Calculateur!X125*VLOOKUP('Données projet'!$B$9,Paramètres!$A$1:$I$89,3,0)*0.475*44/12</f>
        <v>5.6660953368145792</v>
      </c>
      <c r="AB125" s="21">
        <f>EXP(-LN(2)/2)*AB124+(1-EXP(-LN(2)/2))/(LN(2)/2)*V125*Y125*VLOOKUP('Données projet'!$B$9,Paramètres!$A$1:$I$89,3,0)*0.475*44/12</f>
        <v>9.5422036671527456E-11</v>
      </c>
      <c r="AC125" s="22">
        <f t="shared" si="57"/>
        <v>28.099229714411038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-1.69961822393816E-13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195.14508560011791</v>
      </c>
      <c r="T126" s="59">
        <f t="shared" si="88"/>
        <v>285.1531413455931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21.993234295219143</v>
      </c>
      <c r="AA126" s="21">
        <f>EXP(-LN(2)/25)*AA125+(1-EXP(-LN(2)/25))/(LN(2)/25)*Calculateur!V126*Calculateur!X126*VLOOKUP('Données projet'!$B$9,Paramètres!$A$1:$I$89,3,0)*0.475*44/12</f>
        <v>5.5111556618623805</v>
      </c>
      <c r="AB126" s="21">
        <f>EXP(-LN(2)/2)*AB125+(1-EXP(-LN(2)/2))/(LN(2)/2)*V126*Y126*VLOOKUP('Données projet'!$B$9,Paramètres!$A$1:$I$89,3,0)*0.475*44/12</f>
        <v>6.7473569205068478E-11</v>
      </c>
      <c r="AC126" s="22">
        <f t="shared" si="57"/>
        <v>27.504389957148994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-1.69961822393816E-13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195.14508560011791</v>
      </c>
      <c r="T127" s="59">
        <f t="shared" si="88"/>
        <v>285.1531413455931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21.56196038523824</v>
      </c>
      <c r="AA127" s="21">
        <f>EXP(-LN(2)/25)*AA126+(1-EXP(-LN(2)/25))/(LN(2)/25)*Calculateur!V127*Calculateur!X127*VLOOKUP('Données projet'!$B$9,Paramètres!$A$1:$I$89,3,0)*0.475*44/12</f>
        <v>5.3604528204696731</v>
      </c>
      <c r="AB127" s="21">
        <f>EXP(-LN(2)/2)*AB126+(1-EXP(-LN(2)/2))/(LN(2)/2)*V127*Y127*VLOOKUP('Données projet'!$B$9,Paramètres!$A$1:$I$89,3,0)*0.475*44/12</f>
        <v>4.7711018335763728E-11</v>
      </c>
      <c r="AC127" s="22">
        <f t="shared" si="57"/>
        <v>26.922413205755621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-1.69961822393816E-13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195.14508560011791</v>
      </c>
      <c r="T128" s="59">
        <f t="shared" si="88"/>
        <v>285.1531413455931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21.139143493580953</v>
      </c>
      <c r="AA128" s="21">
        <f>EXP(-LN(2)/25)*AA127+(1-EXP(-LN(2)/25))/(LN(2)/25)*Calculateur!V128*Calculateur!X128*VLOOKUP('Données projet'!$B$9,Paramètres!$A$1:$I$89,3,0)*0.475*44/12</f>
        <v>5.2138709561999672</v>
      </c>
      <c r="AB128" s="21">
        <f>EXP(-LN(2)/2)*AB127+(1-EXP(-LN(2)/2))/(LN(2)/2)*V128*Y128*VLOOKUP('Données projet'!$B$9,Paramètres!$A$1:$I$89,3,0)*0.475*44/12</f>
        <v>3.3736784602534239E-11</v>
      </c>
      <c r="AC128" s="22">
        <f t="shared" si="57"/>
        <v>26.353014449814658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-1.69961822393816E-13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195.14508560011791</v>
      </c>
      <c r="T129" s="59">
        <f t="shared" si="88"/>
        <v>285.1531413455931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20.724617783276223</v>
      </c>
      <c r="AA129" s="21">
        <f>EXP(-LN(2)/25)*AA128+(1-EXP(-LN(2)/25))/(LN(2)/25)*Calculateur!V129*Calculateur!X129*VLOOKUP('Données projet'!$B$9,Paramètres!$A$1:$I$89,3,0)*0.475*44/12</f>
        <v>5.0712973807171222</v>
      </c>
      <c r="AB129" s="21">
        <f>EXP(-LN(2)/2)*AB128+(1-EXP(-LN(2)/2))/(LN(2)/2)*V129*Y129*VLOOKUP('Données projet'!$B$9,Paramètres!$A$1:$I$89,3,0)*0.475*44/12</f>
        <v>2.3855509167881864E-11</v>
      </c>
      <c r="AC129" s="22">
        <f t="shared" si="57"/>
        <v>25.795915164017202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-1.69961822393816E-13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195.14508560011791</v>
      </c>
      <c r="T130" s="59">
        <f t="shared" si="88"/>
        <v>285.1531413455931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20.318220669314851</v>
      </c>
      <c r="AA130" s="21">
        <f>EXP(-LN(2)/25)*AA129+(1-EXP(-LN(2)/25))/(LN(2)/25)*Calculateur!V130*Calculateur!X130*VLOOKUP('Données projet'!$B$9,Paramètres!$A$1:$I$89,3,0)*0.475*44/12</f>
        <v>4.9326224871534743</v>
      </c>
      <c r="AB130" s="21">
        <f>EXP(-LN(2)/2)*AB129+(1-EXP(-LN(2)/2))/(LN(2)/2)*V130*Y130*VLOOKUP('Données projet'!$B$9,Paramètres!$A$1:$I$89,3,0)*0.475*44/12</f>
        <v>1.6868392301267119E-11</v>
      </c>
      <c r="AC130" s="22">
        <f t="shared" si="57"/>
        <v>25.250843156485193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-1.69961822393816E-13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195.14508560011791</v>
      </c>
      <c r="T131" s="59">
        <f t="shared" si="88"/>
        <v>285.1531413455931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19.919792754880497</v>
      </c>
      <c r="AA131" s="21">
        <f>EXP(-LN(2)/25)*AA130+(1-EXP(-LN(2)/25))/(LN(2)/25)*Calculateur!V131*Calculateur!X131*VLOOKUP('Données projet'!$B$9,Paramètres!$A$1:$I$89,3,0)*0.475*44/12</f>
        <v>4.7977396658469198</v>
      </c>
      <c r="AB131" s="21">
        <f>EXP(-LN(2)/2)*AB130+(1-EXP(-LN(2)/2))/(LN(2)/2)*V131*Y131*VLOOKUP('Données projet'!$B$9,Paramètres!$A$1:$I$89,3,0)*0.475*44/12</f>
        <v>1.1927754583940932E-11</v>
      </c>
      <c r="AC131" s="22">
        <f t="shared" si="57"/>
        <v>24.717532420739342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-1.69961822393816E-13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195.14508560011791</v>
      </c>
      <c r="T132" s="59">
        <f t="shared" si="88"/>
        <v>285.1531413455931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19.529177768831172</v>
      </c>
      <c r="AA132" s="21">
        <f>EXP(-LN(2)/25)*AA131+(1-EXP(-LN(2)/25))/(LN(2)/25)*Calculateur!V132*Calculateur!X132*VLOOKUP('Données projet'!$B$9,Paramètres!$A$1:$I$89,3,0)*0.475*44/12</f>
        <v>4.6665452223821724</v>
      </c>
      <c r="AB132" s="21">
        <f>EXP(-LN(2)/2)*AB131+(1-EXP(-LN(2)/2))/(LN(2)/2)*V132*Y132*VLOOKUP('Données projet'!$B$9,Paramètres!$A$1:$I$89,3,0)*0.475*44/12</f>
        <v>8.4341961506335597E-12</v>
      </c>
      <c r="AC132" s="22">
        <f t="shared" ref="AC132:AC153" si="111">SUM(Z132:AB132)</f>
        <v>24.195722991221778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-1.69961822393816E-13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195.14508560011791</v>
      </c>
      <c r="T133" s="59">
        <f t="shared" ref="T133:T196" si="142">$T$3</f>
        <v>285.1531413455931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19.146222504406655</v>
      </c>
      <c r="AA133" s="21">
        <f>EXP(-LN(2)/25)*AA132+(1-EXP(-LN(2)/25))/(LN(2)/25)*Calculateur!V133*Calculateur!X133*VLOOKUP('Données projet'!$B$9,Paramètres!$A$1:$I$89,3,0)*0.475*44/12</f>
        <v>4.5389382978731838</v>
      </c>
      <c r="AB133" s="21">
        <f>EXP(-LN(2)/2)*AB132+(1-EXP(-LN(2)/2))/(LN(2)/2)*V133*Y133*VLOOKUP('Données projet'!$B$9,Paramètres!$A$1:$I$89,3,0)*0.475*44/12</f>
        <v>5.963877291970466E-12</v>
      </c>
      <c r="AC133" s="22">
        <f t="shared" si="111"/>
        <v>23.685160802285804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-1.69961822393816E-13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195.14508560011791</v>
      </c>
      <c r="T134" s="59">
        <f t="shared" si="142"/>
        <v>285.1531413455931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18.770776759137856</v>
      </c>
      <c r="AA134" s="21">
        <f>EXP(-LN(2)/25)*AA133+(1-EXP(-LN(2)/25))/(LN(2)/25)*Calculateur!V134*Calculateur!X134*VLOOKUP('Données projet'!$B$9,Paramètres!$A$1:$I$89,3,0)*0.475*44/12</f>
        <v>4.4148207914254503</v>
      </c>
      <c r="AB134" s="21">
        <f>EXP(-LN(2)/2)*AB133+(1-EXP(-LN(2)/2))/(LN(2)/2)*V134*Y134*VLOOKUP('Données projet'!$B$9,Paramètres!$A$1:$I$89,3,0)*0.475*44/12</f>
        <v>4.2170980753167799E-12</v>
      </c>
      <c r="AC134" s="22">
        <f t="shared" si="111"/>
        <v>23.185597550567525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-1.69961822393816E-13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195.14508560011791</v>
      </c>
      <c r="T135" s="59">
        <f t="shared" si="142"/>
        <v>285.1531413455931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18.402693275934485</v>
      </c>
      <c r="AA135" s="21">
        <f>EXP(-LN(2)/25)*AA134+(1-EXP(-LN(2)/25))/(LN(2)/25)*Calculateur!V135*Calculateur!X135*VLOOKUP('Données projet'!$B$9,Paramètres!$A$1:$I$89,3,0)*0.475*44/12</f>
        <v>4.2940972847185863</v>
      </c>
      <c r="AB135" s="21">
        <f>EXP(-LN(2)/2)*AB134+(1-EXP(-LN(2)/2))/(LN(2)/2)*V135*Y135*VLOOKUP('Données projet'!$B$9,Paramètres!$A$1:$I$89,3,0)*0.475*44/12</f>
        <v>2.981938645985233E-12</v>
      </c>
      <c r="AC135" s="22">
        <f t="shared" si="111"/>
        <v>22.696790560656051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-1.69961822393816E-13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195.14508560011791</v>
      </c>
      <c r="T136" s="59">
        <f t="shared" si="142"/>
        <v>285.1531413455931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18.041827685327977</v>
      </c>
      <c r="AA136" s="21">
        <f>EXP(-LN(2)/25)*AA135+(1-EXP(-LN(2)/25))/(LN(2)/25)*Calculateur!V136*Calculateur!X136*VLOOKUP('Données projet'!$B$9,Paramètres!$A$1:$I$89,3,0)*0.475*44/12</f>
        <v>4.176674968651195</v>
      </c>
      <c r="AB136" s="21">
        <f>EXP(-LN(2)/2)*AB135+(1-EXP(-LN(2)/2))/(LN(2)/2)*V136*Y136*VLOOKUP('Données projet'!$B$9,Paramètres!$A$1:$I$89,3,0)*0.475*44/12</f>
        <v>2.1085490376583899E-12</v>
      </c>
      <c r="AC136" s="22">
        <f t="shared" si="111"/>
        <v>22.218502653981282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-1.69961822393816E-13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195.14508560011791</v>
      </c>
      <c r="T137" s="59">
        <f t="shared" si="142"/>
        <v>285.1531413455931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17.688038448846985</v>
      </c>
      <c r="AA137" s="21">
        <f>EXP(-LN(2)/25)*AA136+(1-EXP(-LN(2)/25))/(LN(2)/25)*Calculateur!V137*Calculateur!X137*VLOOKUP('Données projet'!$B$9,Paramètres!$A$1:$I$89,3,0)*0.475*44/12</f>
        <v>4.0624635719916373</v>
      </c>
      <c r="AB137" s="21">
        <f>EXP(-LN(2)/2)*AB136+(1-EXP(-LN(2)/2))/(LN(2)/2)*V137*Y137*VLOOKUP('Données projet'!$B$9,Paramètres!$A$1:$I$89,3,0)*0.475*44/12</f>
        <v>1.4909693229926165E-12</v>
      </c>
      <c r="AC137" s="22">
        <f t="shared" si="111"/>
        <v>21.750502020840116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-1.69961822393816E-13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195.14508560011791</v>
      </c>
      <c r="T138" s="59">
        <f t="shared" si="142"/>
        <v>285.1531413455931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17.341186803503259</v>
      </c>
      <c r="AA138" s="21">
        <f>EXP(-LN(2)/25)*AA137+(1-EXP(-LN(2)/25))/(LN(2)/25)*Calculateur!V138*Calculateur!X138*VLOOKUP('Données projet'!$B$9,Paramètres!$A$1:$I$89,3,0)*0.475*44/12</f>
        <v>3.9513752919798515</v>
      </c>
      <c r="AB138" s="21">
        <f>EXP(-LN(2)/2)*AB137+(1-EXP(-LN(2)/2))/(LN(2)/2)*V138*Y138*VLOOKUP('Données projet'!$B$9,Paramètres!$A$1:$I$89,3,0)*0.475*44/12</f>
        <v>1.054274518829195E-12</v>
      </c>
      <c r="AC138" s="22">
        <f t="shared" si="111"/>
        <v>21.292562095484165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-1.69961822393816E-13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195.14508560011791</v>
      </c>
      <c r="T139" s="59">
        <f t="shared" si="142"/>
        <v>285.1531413455931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17.001136707366111</v>
      </c>
      <c r="AA139" s="21">
        <f>EXP(-LN(2)/25)*AA138+(1-EXP(-LN(2)/25))/(LN(2)/25)*Calculateur!V139*Calculateur!X139*VLOOKUP('Données projet'!$B$9,Paramètres!$A$1:$I$89,3,0)*0.475*44/12</f>
        <v>3.8433247268268667</v>
      </c>
      <c r="AB139" s="21">
        <f>EXP(-LN(2)/2)*AB138+(1-EXP(-LN(2)/2))/(LN(2)/2)*V139*Y139*VLOOKUP('Données projet'!$B$9,Paramètres!$A$1:$I$89,3,0)*0.475*44/12</f>
        <v>7.4548466149630825E-13</v>
      </c>
      <c r="AC139" s="22">
        <f t="shared" si="111"/>
        <v>20.844461434193725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-1.69961822393816E-13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195.14508560011791</v>
      </c>
      <c r="T140" s="59">
        <f t="shared" si="142"/>
        <v>285.1531413455931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16.667754786204135</v>
      </c>
      <c r="AA140" s="21">
        <f>EXP(-LN(2)/25)*AA139+(1-EXP(-LN(2)/25))/(LN(2)/25)*Calculateur!V140*Calculateur!X140*VLOOKUP('Données projet'!$B$9,Paramètres!$A$1:$I$89,3,0)*0.475*44/12</f>
        <v>3.7382288100601224</v>
      </c>
      <c r="AB140" s="21">
        <f>EXP(-LN(2)/2)*AB139+(1-EXP(-LN(2)/2))/(LN(2)/2)*V140*Y140*VLOOKUP('Données projet'!$B$9,Paramètres!$A$1:$I$89,3,0)*0.475*44/12</f>
        <v>5.2713725941459748E-13</v>
      </c>
      <c r="AC140" s="22">
        <f t="shared" si="111"/>
        <v>20.405983596264782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-1.69961822393816E-13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195.14508560011791</v>
      </c>
      <c r="T141" s="59">
        <f t="shared" si="142"/>
        <v>285.1531413455931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16.340910281173251</v>
      </c>
      <c r="AA141" s="21">
        <f>EXP(-LN(2)/25)*AA140+(1-EXP(-LN(2)/25))/(LN(2)/25)*Calculateur!V141*Calculateur!X141*VLOOKUP('Données projet'!$B$9,Paramètres!$A$1:$I$89,3,0)*0.475*44/12</f>
        <v>3.636006746664119</v>
      </c>
      <c r="AB141" s="21">
        <f>EXP(-LN(2)/2)*AB140+(1-EXP(-LN(2)/2))/(LN(2)/2)*V141*Y141*VLOOKUP('Données projet'!$B$9,Paramètres!$A$1:$I$89,3,0)*0.475*44/12</f>
        <v>3.7274233074815412E-13</v>
      </c>
      <c r="AC141" s="22">
        <f t="shared" si="111"/>
        <v>19.976917027837743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-1.69961822393816E-13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195.14508560011791</v>
      </c>
      <c r="T142" s="59">
        <f t="shared" si="142"/>
        <v>285.1531413455931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16.02047499753056</v>
      </c>
      <c r="AA142" s="21">
        <f>EXP(-LN(2)/25)*AA141+(1-EXP(-LN(2)/25))/(LN(2)/25)*Calculateur!V142*Calculateur!X142*VLOOKUP('Données projet'!$B$9,Paramètres!$A$1:$I$89,3,0)*0.475*44/12</f>
        <v>3.5365799509673042</v>
      </c>
      <c r="AB142" s="21">
        <f>EXP(-LN(2)/2)*AB141+(1-EXP(-LN(2)/2))/(LN(2)/2)*V142*Y142*VLOOKUP('Données projet'!$B$9,Paramètres!$A$1:$I$89,3,0)*0.475*44/12</f>
        <v>2.6356862970729874E-13</v>
      </c>
      <c r="AC142" s="22">
        <f t="shared" si="111"/>
        <v>19.557054948498127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-1.69961822393816E-13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195.14508560011791</v>
      </c>
      <c r="T143" s="59">
        <f t="shared" si="142"/>
        <v>285.1531413455931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15.706323254353876</v>
      </c>
      <c r="AA143" s="21">
        <f>EXP(-LN(2)/25)*AA142+(1-EXP(-LN(2)/25))/(LN(2)/25)*Calculateur!V143*Calculateur!X143*VLOOKUP('Données projet'!$B$9,Paramètres!$A$1:$I$89,3,0)*0.475*44/12</f>
        <v>3.4398719862274465</v>
      </c>
      <c r="AB143" s="21">
        <f>EXP(-LN(2)/2)*AB142+(1-EXP(-LN(2)/2))/(LN(2)/2)*V143*Y143*VLOOKUP('Données projet'!$B$9,Paramètres!$A$1:$I$89,3,0)*0.475*44/12</f>
        <v>1.8637116537407706E-13</v>
      </c>
      <c r="AC143" s="22">
        <f t="shared" si="111"/>
        <v>19.146195240581505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-1.69961822393816E-13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195.14508560011791</v>
      </c>
      <c r="T144" s="59">
        <f t="shared" si="142"/>
        <v>285.1531413455931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15.398331835247244</v>
      </c>
      <c r="AA144" s="21">
        <f>EXP(-LN(2)/25)*AA143+(1-EXP(-LN(2)/25))/(LN(2)/25)*Calculateur!V144*Calculateur!X144*VLOOKUP('Données projet'!$B$9,Paramètres!$A$1:$I$89,3,0)*0.475*44/12</f>
        <v>3.345808505869051</v>
      </c>
      <c r="AB144" s="21">
        <f>EXP(-LN(2)/2)*AB143+(1-EXP(-LN(2)/2))/(LN(2)/2)*V144*Y144*VLOOKUP('Données projet'!$B$9,Paramètres!$A$1:$I$89,3,0)*0.475*44/12</f>
        <v>1.3178431485364937E-13</v>
      </c>
      <c r="AC144" s="22">
        <f t="shared" si="111"/>
        <v>18.744140341116427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-1.69961822393816E-13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195.14508560011791</v>
      </c>
      <c r="T145" s="59">
        <f t="shared" si="142"/>
        <v>285.1531413455931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15.096379940013078</v>
      </c>
      <c r="AA145" s="21">
        <f>EXP(-LN(2)/25)*AA144+(1-EXP(-LN(2)/25))/(LN(2)/25)*Calculateur!V145*Calculateur!X145*VLOOKUP('Données projet'!$B$9,Paramètres!$A$1:$I$89,3,0)*0.475*44/12</f>
        <v>3.2543171963276394</v>
      </c>
      <c r="AB145" s="21">
        <f>EXP(-LN(2)/2)*AB144+(1-EXP(-LN(2)/2))/(LN(2)/2)*V145*Y145*VLOOKUP('Données projet'!$B$9,Paramètres!$A$1:$I$89,3,0)*0.475*44/12</f>
        <v>9.3185582687038531E-14</v>
      </c>
      <c r="AC145" s="22">
        <f t="shared" si="111"/>
        <v>18.350697136340809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-1.69961822393816E-13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195.14508560011791</v>
      </c>
      <c r="T146" s="59">
        <f t="shared" si="142"/>
        <v>285.1531413455931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14.800349137271981</v>
      </c>
      <c r="AA146" s="21">
        <f>EXP(-LN(2)/25)*AA145+(1-EXP(-LN(2)/25))/(LN(2)/25)*Calculateur!V146*Calculateur!X146*VLOOKUP('Données projet'!$B$9,Paramètres!$A$1:$I$89,3,0)*0.475*44/12</f>
        <v>3.1653277214569564</v>
      </c>
      <c r="AB146" s="21">
        <f>EXP(-LN(2)/2)*AB145+(1-EXP(-LN(2)/2))/(LN(2)/2)*V146*Y146*VLOOKUP('Données projet'!$B$9,Paramètres!$A$1:$I$89,3,0)*0.475*44/12</f>
        <v>6.5892157426824685E-14</v>
      </c>
      <c r="AC146" s="22">
        <f t="shared" si="111"/>
        <v>17.965676858729005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-1.69961822393816E-13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195.14508560011791</v>
      </c>
      <c r="T147" s="59">
        <f t="shared" si="142"/>
        <v>285.1531413455931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14.510123318011678</v>
      </c>
      <c r="AA147" s="21">
        <f>EXP(-LN(2)/25)*AA146+(1-EXP(-LN(2)/25))/(LN(2)/25)*Calculateur!V147*Calculateur!X147*VLOOKUP('Données projet'!$B$9,Paramètres!$A$1:$I$89,3,0)*0.475*44/12</f>
        <v>3.0787716684563655</v>
      </c>
      <c r="AB147" s="21">
        <f>EXP(-LN(2)/2)*AB146+(1-EXP(-LN(2)/2))/(LN(2)/2)*V147*Y147*VLOOKUP('Données projet'!$B$9,Paramètres!$A$1:$I$89,3,0)*0.475*44/12</f>
        <v>4.6592791343519266E-14</v>
      </c>
      <c r="AC147" s="22">
        <f t="shared" si="111"/>
        <v>17.588894986468087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-1.69961822393816E-13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195.14508560011791</v>
      </c>
      <c r="T148" s="59">
        <f t="shared" si="142"/>
        <v>285.1531413455931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14.225588650046799</v>
      </c>
      <c r="AA148" s="21">
        <f>EXP(-LN(2)/25)*AA147+(1-EXP(-LN(2)/25))/(LN(2)/25)*Calculateur!V148*Calculateur!X148*VLOOKUP('Données projet'!$B$9,Paramètres!$A$1:$I$89,3,0)*0.475*44/12</f>
        <v>2.9945824952768607</v>
      </c>
      <c r="AB148" s="21">
        <f>EXP(-LN(2)/2)*AB147+(1-EXP(-LN(2)/2))/(LN(2)/2)*V148*Y148*VLOOKUP('Données projet'!$B$9,Paramètres!$A$1:$I$89,3,0)*0.475*44/12</f>
        <v>3.2946078713412343E-14</v>
      </c>
      <c r="AC148" s="22">
        <f t="shared" si="111"/>
        <v>17.220171145323693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-1.69961822393816E-13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195.14508560011791</v>
      </c>
      <c r="T149" s="59">
        <f t="shared" si="142"/>
        <v>285.1531413455931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13.946633533371699</v>
      </c>
      <c r="AA149" s="21">
        <f>EXP(-LN(2)/25)*AA148+(1-EXP(-LN(2)/25))/(LN(2)/25)*Calculateur!V149*Calculateur!X149*VLOOKUP('Données projet'!$B$9,Paramètres!$A$1:$I$89,3,0)*0.475*44/12</f>
        <v>2.9126954794652655</v>
      </c>
      <c r="AB149" s="21">
        <f>EXP(-LN(2)/2)*AB148+(1-EXP(-LN(2)/2))/(LN(2)/2)*V149*Y149*VLOOKUP('Données projet'!$B$9,Paramètres!$A$1:$I$89,3,0)*0.475*44/12</f>
        <v>2.3296395671759633E-14</v>
      </c>
      <c r="AC149" s="22">
        <f t="shared" si="111"/>
        <v>16.859329012836991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-1.69961822393816E-13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195.14508560011791</v>
      </c>
      <c r="T150" s="59">
        <f t="shared" si="142"/>
        <v>285.1531413455931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13.673148556388778</v>
      </c>
      <c r="AA150" s="21">
        <f>EXP(-LN(2)/25)*AA149+(1-EXP(-LN(2)/25))/(LN(2)/25)*Calculateur!V150*Calculateur!X150*VLOOKUP('Données projet'!$B$9,Paramètres!$A$1:$I$89,3,0)*0.475*44/12</f>
        <v>2.8330476684072896</v>
      </c>
      <c r="AB150" s="21">
        <f>EXP(-LN(2)/2)*AB149+(1-EXP(-LN(2)/2))/(LN(2)/2)*V150*Y150*VLOOKUP('Données projet'!$B$9,Paramètres!$A$1:$I$89,3,0)*0.475*44/12</f>
        <v>1.6473039356706171E-14</v>
      </c>
      <c r="AC150" s="22">
        <f t="shared" si="111"/>
        <v>16.506196224796085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-1.69961822393816E-13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195.14508560011791</v>
      </c>
      <c r="T151" s="59">
        <f t="shared" si="142"/>
        <v>285.1531413455931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13.405026452995127</v>
      </c>
      <c r="AA151" s="21">
        <f>EXP(-LN(2)/25)*AA150+(1-EXP(-LN(2)/25))/(LN(2)/25)*Calculateur!V151*Calculateur!X151*VLOOKUP('Données projet'!$B$9,Paramètres!$A$1:$I$89,3,0)*0.475*44/12</f>
        <v>2.7555778309311902</v>
      </c>
      <c r="AB151" s="21">
        <f>EXP(-LN(2)/2)*AB150+(1-EXP(-LN(2)/2))/(LN(2)/2)*V151*Y151*VLOOKUP('Données projet'!$B$9,Paramètres!$A$1:$I$89,3,0)*0.475*44/12</f>
        <v>1.1648197835879816E-14</v>
      </c>
      <c r="AC151" s="22">
        <f t="shared" si="111"/>
        <v>16.160604283926329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-1.69961822393816E-13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195.14508560011791</v>
      </c>
      <c r="T152" s="59">
        <f t="shared" si="142"/>
        <v>285.1531413455931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13.142162060510691</v>
      </c>
      <c r="AA152" s="21">
        <f>EXP(-LN(2)/25)*AA151+(1-EXP(-LN(2)/25))/(LN(2)/25)*Calculateur!V152*Calculateur!X152*VLOOKUP('Données projet'!$B$9,Paramètres!$A$1:$I$89,3,0)*0.475*44/12</f>
        <v>2.6802264102348365</v>
      </c>
      <c r="AB152" s="21">
        <f>EXP(-LN(2)/2)*AB151+(1-EXP(-LN(2)/2))/(LN(2)/2)*V152*Y152*VLOOKUP('Données projet'!$B$9,Paramètres!$A$1:$I$89,3,0)*0.475*44/12</f>
        <v>8.2365196783530857E-15</v>
      </c>
      <c r="AC152" s="22">
        <f t="shared" si="111"/>
        <v>15.822388470745535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-1.69961822393816E-13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195.14508560011791</v>
      </c>
      <c r="T153" s="59">
        <f t="shared" si="142"/>
        <v>285.1531413455931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12.884452278431425</v>
      </c>
      <c r="AA153" s="21">
        <f>EXP(-LN(2)/25)*AA152+(1-EXP(-LN(2)/25))/(LN(2)/25)*Calculateur!V153*Calculateur!X153*VLOOKUP('Données projet'!$B$9,Paramètres!$A$1:$I$89,3,0)*0.475*44/12</f>
        <v>2.6069354780999836</v>
      </c>
      <c r="AB153" s="21">
        <f>EXP(-LN(2)/2)*AB152+(1-EXP(-LN(2)/2))/(LN(2)/2)*V153*Y153*VLOOKUP('Données projet'!$B$9,Paramètres!$A$1:$I$89,3,0)*0.475*44/12</f>
        <v>5.8240989179399082E-15</v>
      </c>
      <c r="AC153" s="22">
        <f t="shared" si="111"/>
        <v>15.491387756531415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-1.69961822393816E-13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195.14508560011791</v>
      </c>
      <c r="T154" s="59">
        <f t="shared" si="142"/>
        <v>285.1531413455931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12.631796027991289</v>
      </c>
      <c r="AA154" s="21">
        <f>EXP(-LN(2)/25)*AA153+(1-EXP(-LN(2)/25))/(LN(2)/25)*Calculateur!V154*Calculateur!X154*VLOOKUP('Données projet'!$B$9,Paramètres!$A$1:$I$89,3,0)*0.475*44/12</f>
        <v>2.5356486903585611</v>
      </c>
      <c r="AB154" s="21">
        <f>EXP(-LN(2)/2)*AB153+(1-EXP(-LN(2)/2))/(LN(2)/2)*V154*Y154*VLOOKUP('Données projet'!$B$9,Paramètres!$A$1:$I$89,3,0)*0.475*44/12</f>
        <v>4.1182598391765428E-15</v>
      </c>
      <c r="AC154" s="22">
        <f t="shared" ref="AC154:AC203" si="163">SUM(Z154:AB154)</f>
        <v>15.167444718349854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-1.69961822393816E-13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195.14508560011791</v>
      </c>
      <c r="T155" s="59">
        <f t="shared" si="142"/>
        <v>285.1531413455931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12.384094212517187</v>
      </c>
      <c r="AA155" s="21">
        <f>EXP(-LN(2)/25)*AA154+(1-EXP(-LN(2)/25))/(LN(2)/25)*Calculateur!V155*Calculateur!X155*VLOOKUP('Données projet'!$B$9,Paramètres!$A$1:$I$89,3,0)*0.475*44/12</f>
        <v>2.4663112435767371</v>
      </c>
      <c r="AB155" s="21">
        <f>EXP(-LN(2)/2)*AB154+(1-EXP(-LN(2)/2))/(LN(2)/2)*V155*Y155*VLOOKUP('Données projet'!$B$9,Paramètres!$A$1:$I$89,3,0)*0.475*44/12</f>
        <v>2.9120494589699541E-15</v>
      </c>
      <c r="AC155" s="22">
        <f t="shared" si="163"/>
        <v>14.850405456093927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-1.69961822393816E-13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195.14508560011791</v>
      </c>
      <c r="T156" s="59">
        <f t="shared" si="142"/>
        <v>285.1531413455931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12.141249678561344</v>
      </c>
      <c r="AA156" s="21">
        <f>EXP(-LN(2)/25)*AA155+(1-EXP(-LN(2)/25))/(LN(2)/25)*Calculateur!V156*Calculateur!X156*VLOOKUP('Données projet'!$B$9,Paramètres!$A$1:$I$89,3,0)*0.475*44/12</f>
        <v>2.3988698329234599</v>
      </c>
      <c r="AB156" s="21">
        <f>EXP(-LN(2)/2)*AB155+(1-EXP(-LN(2)/2))/(LN(2)/2)*V156*Y156*VLOOKUP('Données projet'!$B$9,Paramètres!$A$1:$I$89,3,0)*0.475*44/12</f>
        <v>2.0591299195882714E-15</v>
      </c>
      <c r="AC156" s="22">
        <f t="shared" si="163"/>
        <v>14.540119511484805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-1.69961822393816E-13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195.14508560011791</v>
      </c>
      <c r="T157" s="59">
        <f t="shared" si="142"/>
        <v>285.1531413455931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11.903167177795835</v>
      </c>
      <c r="AA157" s="21">
        <f>EXP(-LN(2)/25)*AA156+(1-EXP(-LN(2)/25))/(LN(2)/25)*Calculateur!V157*Calculateur!X157*VLOOKUP('Données projet'!$B$9,Paramètres!$A$1:$I$89,3,0)*0.475*44/12</f>
        <v>2.3332726111910862</v>
      </c>
      <c r="AB157" s="21">
        <f>EXP(-LN(2)/2)*AB156+(1-EXP(-LN(2)/2))/(LN(2)/2)*V157*Y157*VLOOKUP('Données projet'!$B$9,Paramètres!$A$1:$I$89,3,0)*0.475*44/12</f>
        <v>1.456024729484977E-15</v>
      </c>
      <c r="AC157" s="22">
        <f t="shared" si="163"/>
        <v>14.236439788986923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-1.69961822393816E-13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195.14508560011791</v>
      </c>
      <c r="T158" s="59">
        <f t="shared" si="142"/>
        <v>285.1531413455931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11.66975332965435</v>
      </c>
      <c r="AA158" s="21">
        <f>EXP(-LN(2)/25)*AA157+(1-EXP(-LN(2)/25))/(LN(2)/25)*Calculateur!V158*Calculateur!X158*VLOOKUP('Données projet'!$B$9,Paramètres!$A$1:$I$89,3,0)*0.475*44/12</f>
        <v>2.2694691489365919</v>
      </c>
      <c r="AB158" s="21">
        <f>EXP(-LN(2)/2)*AB157+(1-EXP(-LN(2)/2))/(LN(2)/2)*V158*Y158*VLOOKUP('Données projet'!$B$9,Paramètres!$A$1:$I$89,3,0)*0.475*44/12</f>
        <v>1.0295649597941357E-15</v>
      </c>
      <c r="AC158" s="22">
        <f t="shared" si="163"/>
        <v>13.939222478590944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-1.69961822393816E-13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195.14508560011791</v>
      </c>
      <c r="T159" s="59">
        <f t="shared" si="142"/>
        <v>285.1531413455931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11.44091658470653</v>
      </c>
      <c r="AA159" s="21">
        <f>EXP(-LN(2)/25)*AA158+(1-EXP(-LN(2)/25))/(LN(2)/25)*Calculateur!V159*Calculateur!X159*VLOOKUP('Données projet'!$B$9,Paramètres!$A$1:$I$89,3,0)*0.475*44/12</f>
        <v>2.2074103957127251</v>
      </c>
      <c r="AB159" s="21">
        <f>EXP(-LN(2)/2)*AB158+(1-EXP(-LN(2)/2))/(LN(2)/2)*V159*Y159*VLOOKUP('Données projet'!$B$9,Paramètres!$A$1:$I$89,3,0)*0.475*44/12</f>
        <v>7.2801236474248852E-16</v>
      </c>
      <c r="AC159" s="22">
        <f t="shared" si="163"/>
        <v>13.648326980419256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-1.69961822393816E-13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195.14508560011791</v>
      </c>
      <c r="T160" s="59">
        <f t="shared" si="142"/>
        <v>285.1531413455931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11.216567188750505</v>
      </c>
      <c r="AA160" s="21">
        <f>EXP(-LN(2)/25)*AA159+(1-EXP(-LN(2)/25))/(LN(2)/25)*Calculateur!V160*Calculateur!X160*VLOOKUP('Données projet'!$B$9,Paramètres!$A$1:$I$89,3,0)*0.475*44/12</f>
        <v>2.1470486423592932</v>
      </c>
      <c r="AB160" s="21">
        <f>EXP(-LN(2)/2)*AB159+(1-EXP(-LN(2)/2))/(LN(2)/2)*V160*Y160*VLOOKUP('Données projet'!$B$9,Paramètres!$A$1:$I$89,3,0)*0.475*44/12</f>
        <v>5.1478247989706785E-16</v>
      </c>
      <c r="AC160" s="22">
        <f t="shared" si="163"/>
        <v>13.363615831109797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-1.69961822393816E-13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195.14508560011791</v>
      </c>
      <c r="T161" s="59">
        <f t="shared" si="142"/>
        <v>285.1531413455931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10.996617147609557</v>
      </c>
      <c r="AA161" s="21">
        <f>EXP(-LN(2)/25)*AA160+(1-EXP(-LN(2)/25))/(LN(2)/25)*Calculateur!V161*Calculateur!X161*VLOOKUP('Données projet'!$B$9,Paramètres!$A$1:$I$89,3,0)*0.475*44/12</f>
        <v>2.0883374843255975</v>
      </c>
      <c r="AB161" s="21">
        <f>EXP(-LN(2)/2)*AB160+(1-EXP(-LN(2)/2))/(LN(2)/2)*V161*Y161*VLOOKUP('Données projet'!$B$9,Paramètres!$A$1:$I$89,3,0)*0.475*44/12</f>
        <v>3.6400618237124426E-16</v>
      </c>
      <c r="AC161" s="22">
        <f t="shared" si="163"/>
        <v>13.084954631935155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-1.69961822393816E-13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195.14508560011791</v>
      </c>
      <c r="T162" s="59">
        <f t="shared" si="142"/>
        <v>285.1531413455931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10.780980192619106</v>
      </c>
      <c r="AA162" s="21">
        <f>EXP(-LN(2)/25)*AA161+(1-EXP(-LN(2)/25))/(LN(2)/25)*Calculateur!V162*Calculateur!X162*VLOOKUP('Données projet'!$B$9,Paramètres!$A$1:$I$89,3,0)*0.475*44/12</f>
        <v>2.0312317859958187</v>
      </c>
      <c r="AB162" s="21">
        <f>EXP(-LN(2)/2)*AB161+(1-EXP(-LN(2)/2))/(LN(2)/2)*V162*Y162*VLOOKUP('Données projet'!$B$9,Paramètres!$A$1:$I$89,3,0)*0.475*44/12</f>
        <v>2.5739123994853393E-16</v>
      </c>
      <c r="AC162" s="22">
        <f t="shared" si="163"/>
        <v>12.812211978614926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-1.69961822393816E-13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195.14508560011791</v>
      </c>
      <c r="T163" s="59">
        <f t="shared" si="142"/>
        <v>285.1531413455931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10.569571746790462</v>
      </c>
      <c r="AA163" s="21">
        <f>EXP(-LN(2)/25)*AA162+(1-EXP(-LN(2)/25))/(LN(2)/25)*Calculateur!V163*Calculateur!X163*VLOOKUP('Données projet'!$B$9,Paramètres!$A$1:$I$89,3,0)*0.475*44/12</f>
        <v>1.9756876459899257</v>
      </c>
      <c r="AB163" s="21">
        <f>EXP(-LN(2)/2)*AB162+(1-EXP(-LN(2)/2))/(LN(2)/2)*V163*Y163*VLOOKUP('Données projet'!$B$9,Paramètres!$A$1:$I$89,3,0)*0.475*44/12</f>
        <v>1.8200309118562213E-16</v>
      </c>
      <c r="AC163" s="22">
        <f t="shared" si="163"/>
        <v>12.545259392780387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-1.69961822393816E-13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195.14508560011791</v>
      </c>
      <c r="T164" s="59">
        <f t="shared" si="142"/>
        <v>285.1531413455931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10.362308891638097</v>
      </c>
      <c r="AA164" s="21">
        <f>EXP(-LN(2)/25)*AA163+(1-EXP(-LN(2)/25))/(LN(2)/25)*Calculateur!V164*Calculateur!X164*VLOOKUP('Données projet'!$B$9,Paramètres!$A$1:$I$89,3,0)*0.475*44/12</f>
        <v>1.9216623634134333</v>
      </c>
      <c r="AB164" s="21">
        <f>EXP(-LN(2)/2)*AB163+(1-EXP(-LN(2)/2))/(LN(2)/2)*V164*Y164*VLOOKUP('Données projet'!$B$9,Paramètres!$A$1:$I$89,3,0)*0.475*44/12</f>
        <v>1.2869561997426696E-16</v>
      </c>
      <c r="AC164" s="22">
        <f t="shared" si="163"/>
        <v>12.283971255051531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-1.69961822393816E-13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195.14508560011791</v>
      </c>
      <c r="T165" s="59">
        <f t="shared" si="142"/>
        <v>285.1531413455931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10.159110334657411</v>
      </c>
      <c r="AA165" s="21">
        <f>EXP(-LN(2)/25)*AA164+(1-EXP(-LN(2)/25))/(LN(2)/25)*Calculateur!V165*Calculateur!X165*VLOOKUP('Données projet'!$B$9,Paramètres!$A$1:$I$89,3,0)*0.475*44/12</f>
        <v>1.8691144050300612</v>
      </c>
      <c r="AB165" s="21">
        <f>EXP(-LN(2)/2)*AB164+(1-EXP(-LN(2)/2))/(LN(2)/2)*V165*Y165*VLOOKUP('Données projet'!$B$9,Paramètres!$A$1:$I$89,3,0)*0.475*44/12</f>
        <v>9.1001545592811066E-17</v>
      </c>
      <c r="AC165" s="22">
        <f t="shared" si="163"/>
        <v>12.028224739687472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-1.69961822393816E-13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195.14508560011791</v>
      </c>
      <c r="T166" s="59">
        <f t="shared" si="142"/>
        <v>285.1531413455931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9.959896377440236</v>
      </c>
      <c r="AA166" s="21">
        <f>EXP(-LN(2)/25)*AA165+(1-EXP(-LN(2)/25))/(LN(2)/25)*Calculateur!V166*Calculateur!X166*VLOOKUP('Données projet'!$B$9,Paramètres!$A$1:$I$89,3,0)*0.475*44/12</f>
        <v>1.8180033733320595</v>
      </c>
      <c r="AB166" s="21">
        <f>EXP(-LN(2)/2)*AB165+(1-EXP(-LN(2)/2))/(LN(2)/2)*V166*Y166*VLOOKUP('Données projet'!$B$9,Paramètres!$A$1:$I$89,3,0)*0.475*44/12</f>
        <v>6.4347809987133482E-17</v>
      </c>
      <c r="AC166" s="22">
        <f t="shared" si="163"/>
        <v>11.777899750772296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-1.69961822393816E-13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195.14508560011791</v>
      </c>
      <c r="T167" s="59">
        <f t="shared" si="142"/>
        <v>285.1531413455931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9.7645888844155735</v>
      </c>
      <c r="AA167" s="21">
        <f>EXP(-LN(2)/25)*AA166+(1-EXP(-LN(2)/25))/(LN(2)/25)*Calculateur!V167*Calculateur!X167*VLOOKUP('Données projet'!$B$9,Paramètres!$A$1:$I$89,3,0)*0.475*44/12</f>
        <v>1.7682899754836521</v>
      </c>
      <c r="AB167" s="21">
        <f>EXP(-LN(2)/2)*AB166+(1-EXP(-LN(2)/2))/(LN(2)/2)*V167*Y167*VLOOKUP('Données projet'!$B$9,Paramètres!$A$1:$I$89,3,0)*0.475*44/12</f>
        <v>4.5500772796405533E-17</v>
      </c>
      <c r="AC167" s="22">
        <f t="shared" si="163"/>
        <v>11.532878859899226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-1.69961822393816E-13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195.14508560011791</v>
      </c>
      <c r="T168" s="59">
        <f t="shared" si="142"/>
        <v>285.1531413455931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9.5731112522033168</v>
      </c>
      <c r="AA168" s="21">
        <f>EXP(-LN(2)/25)*AA167+(1-EXP(-LN(2)/25))/(LN(2)/25)*Calculateur!V168*Calculateur!X168*VLOOKUP('Données projet'!$B$9,Paramètres!$A$1:$I$89,3,0)*0.475*44/12</f>
        <v>1.7199359931137232</v>
      </c>
      <c r="AB168" s="21">
        <f>EXP(-LN(2)/2)*AB167+(1-EXP(-LN(2)/2))/(LN(2)/2)*V168*Y168*VLOOKUP('Données projet'!$B$9,Paramètres!$A$1:$I$89,3,0)*0.475*44/12</f>
        <v>3.2173904993566741E-17</v>
      </c>
      <c r="AC168" s="22">
        <f t="shared" si="163"/>
        <v>11.293047245317041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-1.69961822393816E-13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195.14508560011791</v>
      </c>
      <c r="T169" s="59">
        <f t="shared" si="142"/>
        <v>285.1531413455931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9.3853883795689175</v>
      </c>
      <c r="AA169" s="21">
        <f>EXP(-LN(2)/25)*AA168+(1-EXP(-LN(2)/25))/(LN(2)/25)*Calculateur!V169*Calculateur!X169*VLOOKUP('Données projet'!$B$9,Paramètres!$A$1:$I$89,3,0)*0.475*44/12</f>
        <v>1.6729042529345255</v>
      </c>
      <c r="AB169" s="21">
        <f>EXP(-LN(2)/2)*AB168+(1-EXP(-LN(2)/2))/(LN(2)/2)*V169*Y169*VLOOKUP('Données projet'!$B$9,Paramètres!$A$1:$I$89,3,0)*0.475*44/12</f>
        <v>2.2750386398202766E-17</v>
      </c>
      <c r="AC169" s="22">
        <f t="shared" si="163"/>
        <v>11.058292632503443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-1.69961822393816E-13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195.14508560011791</v>
      </c>
      <c r="T170" s="59">
        <f t="shared" si="142"/>
        <v>285.1531413455931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9.2013466379672337</v>
      </c>
      <c r="AA170" s="21">
        <f>EXP(-LN(2)/25)*AA169+(1-EXP(-LN(2)/25))/(LN(2)/25)*Calculateur!V170*Calculateur!X170*VLOOKUP('Données projet'!$B$9,Paramètres!$A$1:$I$89,3,0)*0.475*44/12</f>
        <v>1.6271585981638197</v>
      </c>
      <c r="AB170" s="21">
        <f>EXP(-LN(2)/2)*AB169+(1-EXP(-LN(2)/2))/(LN(2)/2)*V170*Y170*VLOOKUP('Données projet'!$B$9,Paramètres!$A$1:$I$89,3,0)*0.475*44/12</f>
        <v>1.608695249678337E-17</v>
      </c>
      <c r="AC170" s="22">
        <f t="shared" si="163"/>
        <v>10.828505236131054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-1.69961822393816E-13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195.14508560011791</v>
      </c>
      <c r="T171" s="59">
        <f t="shared" si="142"/>
        <v>285.1531413455931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9.0209138426639797</v>
      </c>
      <c r="AA171" s="21">
        <f>EXP(-LN(2)/25)*AA170+(1-EXP(-LN(2)/25))/(LN(2)/25)*Calculateur!V171*Calculateur!X171*VLOOKUP('Données projet'!$B$9,Paramètres!$A$1:$I$89,3,0)*0.475*44/12</f>
        <v>1.5826638607284782</v>
      </c>
      <c r="AB171" s="21">
        <f>EXP(-LN(2)/2)*AB170+(1-EXP(-LN(2)/2))/(LN(2)/2)*V171*Y171*VLOOKUP('Données projet'!$B$9,Paramètres!$A$1:$I$89,3,0)*0.475*44/12</f>
        <v>1.1375193199101383E-17</v>
      </c>
      <c r="AC171" s="22">
        <f t="shared" si="163"/>
        <v>10.603577703392459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-1.69961822393816E-13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195.14508560011791</v>
      </c>
      <c r="T172" s="59">
        <f t="shared" si="142"/>
        <v>285.1531413455931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8.8440192244234836</v>
      </c>
      <c r="AA172" s="21">
        <f>EXP(-LN(2)/25)*AA171+(1-EXP(-LN(2)/25))/(LN(2)/25)*Calculateur!V172*Calculateur!X172*VLOOKUP('Données projet'!$B$9,Paramètres!$A$1:$I$89,3,0)*0.475*44/12</f>
        <v>1.5393858342281828</v>
      </c>
      <c r="AB172" s="21">
        <f>EXP(-LN(2)/2)*AB171+(1-EXP(-LN(2)/2))/(LN(2)/2)*V172*Y172*VLOOKUP('Données projet'!$B$9,Paramètres!$A$1:$I$89,3,0)*0.475*44/12</f>
        <v>8.0434762483916852E-18</v>
      </c>
      <c r="AC172" s="22">
        <f t="shared" si="163"/>
        <v>10.383405058651666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-1.69961822393816E-13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195.14508560011791</v>
      </c>
      <c r="T173" s="59">
        <f t="shared" si="142"/>
        <v>285.1531413455931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8.6705934017516206</v>
      </c>
      <c r="AA173" s="21">
        <f>EXP(-LN(2)/25)*AA172+(1-EXP(-LN(2)/25))/(LN(2)/25)*Calculateur!V173*Calculateur!X173*VLOOKUP('Données projet'!$B$9,Paramètres!$A$1:$I$89,3,0)*0.475*44/12</f>
        <v>1.4972912476384304</v>
      </c>
      <c r="AB173" s="21">
        <f>EXP(-LN(2)/2)*AB172+(1-EXP(-LN(2)/2))/(LN(2)/2)*V173*Y173*VLOOKUP('Données projet'!$B$9,Paramètres!$A$1:$I$89,3,0)*0.475*44/12</f>
        <v>5.6875965995506916E-18</v>
      </c>
      <c r="AC173" s="22">
        <f t="shared" si="163"/>
        <v>10.16788464939005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-1.69961822393816E-13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195.14508560011791</v>
      </c>
      <c r="T174" s="59">
        <f t="shared" si="142"/>
        <v>285.1531413455931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8.5005683536830468</v>
      </c>
      <c r="AA174" s="21">
        <f>EXP(-LN(2)/25)*AA173+(1-EXP(-LN(2)/25))/(LN(2)/25)*Calculateur!V174*Calculateur!X174*VLOOKUP('Données projet'!$B$9,Paramètres!$A$1:$I$89,3,0)*0.475*44/12</f>
        <v>1.4563477397326328</v>
      </c>
      <c r="AB174" s="21">
        <f>EXP(-LN(2)/2)*AB173+(1-EXP(-LN(2)/2))/(LN(2)/2)*V174*Y174*VLOOKUP('Données projet'!$B$9,Paramètres!$A$1:$I$89,3,0)*0.475*44/12</f>
        <v>4.0217381241958426E-18</v>
      </c>
      <c r="AC174" s="22">
        <f t="shared" si="163"/>
        <v>9.9569160934156802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-1.69961822393816E-13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195.14508560011791</v>
      </c>
      <c r="T175" s="59">
        <f t="shared" si="142"/>
        <v>285.1531413455931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8.3338773931020587</v>
      </c>
      <c r="AA175" s="21">
        <f>EXP(-LN(2)/25)*AA174+(1-EXP(-LN(2)/25))/(LN(2)/25)*Calculateur!V175*Calculateur!X175*VLOOKUP('Données projet'!$B$9,Paramètres!$A$1:$I$89,3,0)*0.475*44/12</f>
        <v>1.4165238342036448</v>
      </c>
      <c r="AB175" s="21">
        <f>EXP(-LN(2)/2)*AB174+(1-EXP(-LN(2)/2))/(LN(2)/2)*V175*Y175*VLOOKUP('Données projet'!$B$9,Paramètres!$A$1:$I$89,3,0)*0.475*44/12</f>
        <v>2.8437982997753458E-18</v>
      </c>
      <c r="AC175" s="22">
        <f t="shared" si="163"/>
        <v>9.7504012273057032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-1.69961822393816E-13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195.14508560011791</v>
      </c>
      <c r="T176" s="59">
        <f t="shared" si="142"/>
        <v>285.1531413455931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8.1704551405866166</v>
      </c>
      <c r="AA176" s="21">
        <f>EXP(-LN(2)/25)*AA175+(1-EXP(-LN(2)/25))/(LN(2)/25)*Calculateur!V176*Calculateur!X176*VLOOKUP('Données projet'!$B$9,Paramètres!$A$1:$I$89,3,0)*0.475*44/12</f>
        <v>1.3777889154655951</v>
      </c>
      <c r="AB176" s="21">
        <f>EXP(-LN(2)/2)*AB175+(1-EXP(-LN(2)/2))/(LN(2)/2)*V176*Y176*VLOOKUP('Données projet'!$B$9,Paramètres!$A$1:$I$89,3,0)*0.475*44/12</f>
        <v>2.0108690620979213E-18</v>
      </c>
      <c r="AC176" s="22">
        <f t="shared" si="163"/>
        <v>9.5482440560522122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-1.69961822393816E-13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195.14508560011791</v>
      </c>
      <c r="T177" s="59">
        <f t="shared" si="142"/>
        <v>285.1531413455931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8.0102374987652709</v>
      </c>
      <c r="AA177" s="21">
        <f>EXP(-LN(2)/25)*AA176+(1-EXP(-LN(2)/25))/(LN(2)/25)*Calculateur!V177*Calculateur!X177*VLOOKUP('Données projet'!$B$9,Paramètres!$A$1:$I$89,3,0)*0.475*44/12</f>
        <v>1.3401132051174183</v>
      </c>
      <c r="AB177" s="21">
        <f>EXP(-LN(2)/2)*AB176+(1-EXP(-LN(2)/2))/(LN(2)/2)*V177*Y177*VLOOKUP('Données projet'!$B$9,Paramètres!$A$1:$I$89,3,0)*0.475*44/12</f>
        <v>1.4218991498876729E-18</v>
      </c>
      <c r="AC177" s="22">
        <f t="shared" si="163"/>
        <v>9.3503507038826896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-1.69961822393816E-13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195.14508560011791</v>
      </c>
      <c r="T178" s="59">
        <f t="shared" si="142"/>
        <v>285.1531413455931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7.8531616271769291</v>
      </c>
      <c r="AA178" s="21">
        <f>EXP(-LN(2)/25)*AA177+(1-EXP(-LN(2)/25))/(LN(2)/25)*Calculateur!V178*Calculateur!X178*VLOOKUP('Données projet'!$B$9,Paramètres!$A$1:$I$89,3,0)*0.475*44/12</f>
        <v>1.3034677390499918</v>
      </c>
      <c r="AB178" s="21">
        <f>EXP(-LN(2)/2)*AB177+(1-EXP(-LN(2)/2))/(LN(2)/2)*V178*Y178*VLOOKUP('Données projet'!$B$9,Paramètres!$A$1:$I$89,3,0)*0.475*44/12</f>
        <v>1.0054345310489607E-18</v>
      </c>
      <c r="AC178" s="22">
        <f t="shared" si="163"/>
        <v>9.1566293662269214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-1.69961822393816E-13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195.14508560011791</v>
      </c>
      <c r="T179" s="59">
        <f t="shared" si="142"/>
        <v>285.1531413455931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7.6991659176236134</v>
      </c>
      <c r="AA179" s="21">
        <f>EXP(-LN(2)/25)*AA178+(1-EXP(-LN(2)/25))/(LN(2)/25)*Calculateur!V179*Calculateur!X179*VLOOKUP('Données projet'!$B$9,Paramètres!$A$1:$I$89,3,0)*0.475*44/12</f>
        <v>1.2678243451792806</v>
      </c>
      <c r="AB179" s="21">
        <f>EXP(-LN(2)/2)*AB178+(1-EXP(-LN(2)/2))/(LN(2)/2)*V179*Y179*VLOOKUP('Données projet'!$B$9,Paramètres!$A$1:$I$89,3,0)*0.475*44/12</f>
        <v>7.1094957494383645E-19</v>
      </c>
      <c r="AC179" s="22">
        <f t="shared" si="163"/>
        <v>8.9669902628028932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-1.69961822393816E-13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195.14508560011791</v>
      </c>
      <c r="T180" s="59">
        <f t="shared" si="142"/>
        <v>285.1531413455931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7.54818997000653</v>
      </c>
      <c r="AA180" s="21">
        <f>EXP(-LN(2)/25)*AA179+(1-EXP(-LN(2)/25))/(LN(2)/25)*Calculateur!V180*Calculateur!X180*VLOOKUP('Données projet'!$B$9,Paramètres!$A$1:$I$89,3,0)*0.475*44/12</f>
        <v>1.2331556217883686</v>
      </c>
      <c r="AB180" s="21">
        <f>EXP(-LN(2)/2)*AB179+(1-EXP(-LN(2)/2))/(LN(2)/2)*V180*Y180*VLOOKUP('Données projet'!$B$9,Paramètres!$A$1:$I$89,3,0)*0.475*44/12</f>
        <v>5.0271726552448033E-19</v>
      </c>
      <c r="AC180" s="22">
        <f t="shared" si="163"/>
        <v>8.7813455917948993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-1.69961822393816E-13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195.14508560011791</v>
      </c>
      <c r="T181" s="59">
        <f t="shared" si="142"/>
        <v>285.1531413455931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7.4001745686359826</v>
      </c>
      <c r="AA181" s="21">
        <f>EXP(-LN(2)/25)*AA180+(1-EXP(-LN(2)/25))/(LN(2)/25)*Calculateur!V181*Calculateur!X181*VLOOKUP('Données projet'!$B$9,Paramètres!$A$1:$I$89,3,0)*0.475*44/12</f>
        <v>1.1994349164617299</v>
      </c>
      <c r="AB181" s="21">
        <f>EXP(-LN(2)/2)*AB180+(1-EXP(-LN(2)/2))/(LN(2)/2)*V181*Y181*VLOOKUP('Données projet'!$B$9,Paramètres!$A$1:$I$89,3,0)*0.475*44/12</f>
        <v>3.5547478747191822E-19</v>
      </c>
      <c r="AC181" s="22">
        <f t="shared" si="163"/>
        <v>8.5996094850977123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-1.69961822393816E-13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195.14508560011791</v>
      </c>
      <c r="T182" s="59">
        <f t="shared" si="142"/>
        <v>285.1531413455931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7.2550616590058308</v>
      </c>
      <c r="AA182" s="21">
        <f>EXP(-LN(2)/25)*AA181+(1-EXP(-LN(2)/25))/(LN(2)/25)*Calculateur!V182*Calculateur!X182*VLOOKUP('Données projet'!$B$9,Paramètres!$A$1:$I$89,3,0)*0.475*44/12</f>
        <v>1.1666363055955431</v>
      </c>
      <c r="AB182" s="21">
        <f>EXP(-LN(2)/2)*AB181+(1-EXP(-LN(2)/2))/(LN(2)/2)*V182*Y182*VLOOKUP('Données projet'!$B$9,Paramètres!$A$1:$I$89,3,0)*0.475*44/12</f>
        <v>2.5135863276224016E-19</v>
      </c>
      <c r="AC182" s="22">
        <f t="shared" si="163"/>
        <v>8.4216979646013748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-1.69961822393816E-13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195.14508560011791</v>
      </c>
      <c r="T183" s="59">
        <f t="shared" si="142"/>
        <v>285.1531413455931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7.1127943250233914</v>
      </c>
      <c r="AA183" s="21">
        <f>EXP(-LN(2)/25)*AA182+(1-EXP(-LN(2)/25))/(LN(2)/25)*Calculateur!V183*Calculateur!X183*VLOOKUP('Données projet'!$B$9,Paramètres!$A$1:$I$89,3,0)*0.475*44/12</f>
        <v>1.134734574468296</v>
      </c>
      <c r="AB183" s="21">
        <f>EXP(-LN(2)/2)*AB182+(1-EXP(-LN(2)/2))/(LN(2)/2)*V183*Y183*VLOOKUP('Données projet'!$B$9,Paramètres!$A$1:$I$89,3,0)*0.475*44/12</f>
        <v>1.7773739373595911E-19</v>
      </c>
      <c r="AC183" s="22">
        <f t="shared" si="163"/>
        <v>8.2475288994916873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-1.69961822393816E-13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195.14508560011791</v>
      </c>
      <c r="T184" s="59">
        <f t="shared" si="142"/>
        <v>285.1531413455931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6.9733167666858416</v>
      </c>
      <c r="AA184" s="21">
        <f>EXP(-LN(2)/25)*AA183+(1-EXP(-LN(2)/25))/(LN(2)/25)*Calculateur!V184*Calculateur!X184*VLOOKUP('Données projet'!$B$9,Paramètres!$A$1:$I$89,3,0)*0.475*44/12</f>
        <v>1.1037051978563626</v>
      </c>
      <c r="AB184" s="21">
        <f>EXP(-LN(2)/2)*AB183+(1-EXP(-LN(2)/2))/(LN(2)/2)*V184*Y184*VLOOKUP('Données projet'!$B$9,Paramètres!$A$1:$I$89,3,0)*0.475*44/12</f>
        <v>1.2567931638112008E-19</v>
      </c>
      <c r="AC184" s="22">
        <f t="shared" si="163"/>
        <v>8.0770219645422046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-1.69961822393816E-13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195.14508560011791</v>
      </c>
      <c r="T185" s="59">
        <f t="shared" si="142"/>
        <v>285.1531413455931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6.836574278194381</v>
      </c>
      <c r="AA185" s="21">
        <f>EXP(-LN(2)/25)*AA184+(1-EXP(-LN(2)/25))/(LN(2)/25)*Calculateur!V185*Calculateur!X185*VLOOKUP('Données projet'!$B$9,Paramètres!$A$1:$I$89,3,0)*0.475*44/12</f>
        <v>1.0735243211796466</v>
      </c>
      <c r="AB185" s="21">
        <f>EXP(-LN(2)/2)*AB184+(1-EXP(-LN(2)/2))/(LN(2)/2)*V185*Y185*VLOOKUP('Données projet'!$B$9,Paramètres!$A$1:$I$89,3,0)*0.475*44/12</f>
        <v>8.8868696867979556E-20</v>
      </c>
      <c r="AC185" s="22">
        <f t="shared" si="163"/>
        <v>7.9100985993740274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-1.69961822393816E-13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195.14508560011791</v>
      </c>
      <c r="T186" s="59">
        <f t="shared" si="142"/>
        <v>285.1531413455931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6.7025132264975555</v>
      </c>
      <c r="AA186" s="21">
        <f>EXP(-LN(2)/25)*AA185+(1-EXP(-LN(2)/25))/(LN(2)/25)*Calculateur!V186*Calculateur!X186*VLOOKUP('Données projet'!$B$9,Paramètres!$A$1:$I$89,3,0)*0.475*44/12</f>
        <v>1.0441687421627988</v>
      </c>
      <c r="AB186" s="21">
        <f>EXP(-LN(2)/2)*AB185+(1-EXP(-LN(2)/2))/(LN(2)/2)*V186*Y186*VLOOKUP('Données projet'!$B$9,Paramètres!$A$1:$I$89,3,0)*0.475*44/12</f>
        <v>6.2839658190560041E-20</v>
      </c>
      <c r="AC186" s="22">
        <f t="shared" si="163"/>
        <v>7.7466819686603543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-1.69961822393816E-13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195.14508560011791</v>
      </c>
      <c r="T187" s="59">
        <f t="shared" si="142"/>
        <v>285.1531413455931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6.5710810302553373</v>
      </c>
      <c r="AA187" s="21">
        <f>EXP(-LN(2)/25)*AA186+(1-EXP(-LN(2)/25))/(LN(2)/25)*Calculateur!V187*Calculateur!X187*VLOOKUP('Données projet'!$B$9,Paramètres!$A$1:$I$89,3,0)*0.475*44/12</f>
        <v>1.0156158929979093</v>
      </c>
      <c r="AB187" s="21">
        <f>EXP(-LN(2)/2)*AB186+(1-EXP(-LN(2)/2))/(LN(2)/2)*V187*Y187*VLOOKUP('Données projet'!$B$9,Paramètres!$A$1:$I$89,3,0)*0.475*44/12</f>
        <v>4.4434348433989778E-20</v>
      </c>
      <c r="AC187" s="22">
        <f t="shared" si="163"/>
        <v>7.5866969232532462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-1.69961822393816E-13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195.14508560011791</v>
      </c>
      <c r="T188" s="59">
        <f t="shared" si="142"/>
        <v>285.1531413455931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6.4422261392157054</v>
      </c>
      <c r="AA188" s="21">
        <f>EXP(-LN(2)/25)*AA187+(1-EXP(-LN(2)/25))/(LN(2)/25)*Calculateur!V188*Calculateur!X188*VLOOKUP('Données projet'!$B$9,Paramètres!$A$1:$I$89,3,0)*0.475*44/12</f>
        <v>0.98784382299496287</v>
      </c>
      <c r="AB188" s="21">
        <f>EXP(-LN(2)/2)*AB187+(1-EXP(-LN(2)/2))/(LN(2)/2)*V188*Y188*VLOOKUP('Données projet'!$B$9,Paramètres!$A$1:$I$89,3,0)*0.475*44/12</f>
        <v>3.141982909528002E-20</v>
      </c>
      <c r="AC188" s="22">
        <f t="shared" si="163"/>
        <v>7.4300699622106681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-1.69961822393816E-13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195.14508560011791</v>
      </c>
      <c r="T189" s="59">
        <f t="shared" si="142"/>
        <v>285.1531413455931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6.3158980139956373</v>
      </c>
      <c r="AA189" s="21">
        <f>EXP(-LN(2)/25)*AA188+(1-EXP(-LN(2)/25))/(LN(2)/25)*Calculateur!V189*Calculateur!X189*VLOOKUP('Données projet'!$B$9,Paramètres!$A$1:$I$89,3,0)*0.475*44/12</f>
        <v>0.96083118170671666</v>
      </c>
      <c r="AB189" s="21">
        <f>EXP(-LN(2)/2)*AB188+(1-EXP(-LN(2)/2))/(LN(2)/2)*V189*Y189*VLOOKUP('Données projet'!$B$9,Paramètres!$A$1:$I$89,3,0)*0.475*44/12</f>
        <v>2.2217174216994889E-20</v>
      </c>
      <c r="AC189" s="22">
        <f t="shared" si="163"/>
        <v>7.2767291957023543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-1.69961822393816E-13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195.14508560011791</v>
      </c>
      <c r="T190" s="59">
        <f t="shared" si="142"/>
        <v>285.1531413455931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6.1920471062585865</v>
      </c>
      <c r="AA190" s="21">
        <f>EXP(-LN(2)/25)*AA189+(1-EXP(-LN(2)/25))/(LN(2)/25)*Calculateur!V190*Calculateur!X190*VLOOKUP('Données projet'!$B$9,Paramètres!$A$1:$I$89,3,0)*0.475*44/12</f>
        <v>0.93455720251503061</v>
      </c>
      <c r="AB190" s="21">
        <f>EXP(-LN(2)/2)*AB189+(1-EXP(-LN(2)/2))/(LN(2)/2)*V190*Y190*VLOOKUP('Données projet'!$B$9,Paramètres!$A$1:$I$89,3,0)*0.475*44/12</f>
        <v>1.570991454764001E-20</v>
      </c>
      <c r="AC190" s="22">
        <f t="shared" si="163"/>
        <v>7.1266043087736168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-1.69961822393816E-13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195.14508560011791</v>
      </c>
      <c r="T191" s="59">
        <f t="shared" si="142"/>
        <v>285.1531413455931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6.070624839280665</v>
      </c>
      <c r="AA191" s="21">
        <f>EXP(-LN(2)/25)*AA190+(1-EXP(-LN(2)/25))/(LN(2)/25)*Calculateur!V191*Calculateur!X191*VLOOKUP('Données projet'!$B$9,Paramètres!$A$1:$I$89,3,0)*0.475*44/12</f>
        <v>0.90900168666602976</v>
      </c>
      <c r="AB191" s="21">
        <f>EXP(-LN(2)/2)*AB190+(1-EXP(-LN(2)/2))/(LN(2)/2)*V191*Y191*VLOOKUP('Données projet'!$B$9,Paramètres!$A$1:$I$89,3,0)*0.475*44/12</f>
        <v>1.1108587108497445E-20</v>
      </c>
      <c r="AC191" s="22">
        <f t="shared" si="163"/>
        <v>6.9796265259466947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-1.69961822393816E-13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195.14508560011791</v>
      </c>
      <c r="T192" s="59">
        <f t="shared" si="142"/>
        <v>285.1531413455931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5.9515835888979103</v>
      </c>
      <c r="AA192" s="21">
        <f>EXP(-LN(2)/25)*AA191+(1-EXP(-LN(2)/25))/(LN(2)/25)*Calculateur!V192*Calculateur!X192*VLOOKUP('Données projet'!$B$9,Paramètres!$A$1:$I$89,3,0)*0.475*44/12</f>
        <v>0.88414498774182604</v>
      </c>
      <c r="AB192" s="21">
        <f>EXP(-LN(2)/2)*AB191+(1-EXP(-LN(2)/2))/(LN(2)/2)*V192*Y192*VLOOKUP('Données projet'!$B$9,Paramètres!$A$1:$I$89,3,0)*0.475*44/12</f>
        <v>7.8549572738200051E-21</v>
      </c>
      <c r="AC192" s="22">
        <f t="shared" si="163"/>
        <v>6.8357285766397364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-1.69961822393816E-13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195.14508560011791</v>
      </c>
      <c r="T193" s="59">
        <f t="shared" si="142"/>
        <v>285.1531413455931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5.8348766648271679</v>
      </c>
      <c r="AA193" s="21">
        <f>EXP(-LN(2)/25)*AA192+(1-EXP(-LN(2)/25))/(LN(2)/25)*Calculateur!V193*Calculateur!X193*VLOOKUP('Données projet'!$B$9,Paramètres!$A$1:$I$89,3,0)*0.475*44/12</f>
        <v>0.85996799655686162</v>
      </c>
      <c r="AB193" s="21">
        <f>EXP(-LN(2)/2)*AB192+(1-EXP(-LN(2)/2))/(LN(2)/2)*V193*Y193*VLOOKUP('Données projet'!$B$9,Paramètres!$A$1:$I$89,3,0)*0.475*44/12</f>
        <v>5.5542935542487223E-21</v>
      </c>
      <c r="AC193" s="22">
        <f t="shared" si="163"/>
        <v>6.69484466138403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-1.69961822393816E-13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195.14508560011791</v>
      </c>
      <c r="T194" s="59">
        <f t="shared" si="142"/>
        <v>285.1531413455931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5.7204582923532579</v>
      </c>
      <c r="AA194" s="21">
        <f>EXP(-LN(2)/25)*AA193+(1-EXP(-LN(2)/25))/(LN(2)/25)*Calculateur!V194*Calculateur!X194*VLOOKUP('Données projet'!$B$9,Paramètres!$A$1:$I$89,3,0)*0.475*44/12</f>
        <v>0.83645212646726275</v>
      </c>
      <c r="AB194" s="21">
        <f>EXP(-LN(2)/2)*AB193+(1-EXP(-LN(2)/2))/(LN(2)/2)*V194*Y194*VLOOKUP('Données projet'!$B$9,Paramètres!$A$1:$I$89,3,0)*0.475*44/12</f>
        <v>3.9274786369100025E-21</v>
      </c>
      <c r="AC194" s="22">
        <f t="shared" si="163"/>
        <v>6.5569104188205207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-1.69961822393816E-13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195.14508560011791</v>
      </c>
      <c r="T195" s="59">
        <f t="shared" si="142"/>
        <v>285.1531413455931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5.6082835943752452</v>
      </c>
      <c r="AA195" s="21">
        <f>EXP(-LN(2)/25)*AA194+(1-EXP(-LN(2)/25))/(LN(2)/25)*Calculateur!V195*Calculateur!X195*VLOOKUP('Données projet'!$B$9,Paramètres!$A$1:$I$89,3,0)*0.475*44/12</f>
        <v>0.81357929908190985</v>
      </c>
      <c r="AB195" s="21">
        <f>EXP(-LN(2)/2)*AB194+(1-EXP(-LN(2)/2))/(LN(2)/2)*V195*Y195*VLOOKUP('Données projet'!$B$9,Paramètres!$A$1:$I$89,3,0)*0.475*44/12</f>
        <v>2.7771467771243611E-21</v>
      </c>
      <c r="AC195" s="22">
        <f t="shared" si="163"/>
        <v>6.4218628934571553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-1.69961822393816E-13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195.14508560011791</v>
      </c>
      <c r="T196" s="59">
        <f t="shared" si="142"/>
        <v>285.1531413455931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5.4983085738047714</v>
      </c>
      <c r="AA196" s="21">
        <f>EXP(-LN(2)/25)*AA195+(1-EXP(-LN(2)/25))/(LN(2)/25)*Calculateur!V196*Calculateur!X196*VLOOKUP('Données projet'!$B$9,Paramètres!$A$1:$I$89,3,0)*0.475*44/12</f>
        <v>0.7913319303642391</v>
      </c>
      <c r="AB196" s="21">
        <f>EXP(-LN(2)/2)*AB195+(1-EXP(-LN(2)/2))/(LN(2)/2)*V196*Y196*VLOOKUP('Données projet'!$B$9,Paramètres!$A$1:$I$89,3,0)*0.475*44/12</f>
        <v>1.9637393184550013E-21</v>
      </c>
      <c r="AC196" s="22">
        <f t="shared" si="163"/>
        <v>6.2896405041690109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-1.69961822393816E-13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195.14508560011791</v>
      </c>
      <c r="T197" s="59">
        <f t="shared" ref="T197:T203" si="204">$T$3</f>
        <v>285.1531413455931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5.3904900963095459</v>
      </c>
      <c r="AA197" s="21">
        <f>EXP(-LN(2)/25)*AA196+(1-EXP(-LN(2)/25))/(LN(2)/25)*Calculateur!V197*Calculateur!X197*VLOOKUP('Données projet'!$B$9,Paramètres!$A$1:$I$89,3,0)*0.475*44/12</f>
        <v>0.76969291711409138</v>
      </c>
      <c r="AB197" s="21">
        <f>EXP(-LN(2)/2)*AB196+(1-EXP(-LN(2)/2))/(LN(2)/2)*V197*Y197*VLOOKUP('Données projet'!$B$9,Paramètres!$A$1:$I$89,3,0)*0.475*44/12</f>
        <v>1.3885733885621806E-21</v>
      </c>
      <c r="AC197" s="22">
        <f t="shared" si="163"/>
        <v>6.1601830134236373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-1.69961822393816E-13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195.14508560011791</v>
      </c>
      <c r="T198" s="59">
        <f t="shared" si="204"/>
        <v>285.1531413455931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5.284785873395224</v>
      </c>
      <c r="AA198" s="21">
        <f>EXP(-LN(2)/25)*AA197+(1-EXP(-LN(2)/25))/(LN(2)/25)*Calculateur!V198*Calculateur!X198*VLOOKUP('Données projet'!$B$9,Paramètres!$A$1:$I$89,3,0)*0.475*44/12</f>
        <v>0.74864562381921518</v>
      </c>
      <c r="AB198" s="21">
        <f>EXP(-LN(2)/2)*AB197+(1-EXP(-LN(2)/2))/(LN(2)/2)*V198*Y198*VLOOKUP('Données projet'!$B$9,Paramètres!$A$1:$I$89,3,0)*0.475*44/12</f>
        <v>9.8186965922750064E-22</v>
      </c>
      <c r="AC198" s="22">
        <f t="shared" si="163"/>
        <v>6.0334314972144387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-1.69961822393816E-13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195.14508560011791</v>
      </c>
      <c r="T199" s="59">
        <f t="shared" si="204"/>
        <v>285.1531413455931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5.1811544458190424</v>
      </c>
      <c r="AA199" s="21">
        <f>EXP(-LN(2)/25)*AA198+(1-EXP(-LN(2)/25))/(LN(2)/25)*Calculateur!V199*Calculateur!X199*VLOOKUP('Données projet'!$B$9,Paramètres!$A$1:$I$89,3,0)*0.475*44/12</f>
        <v>0.72817386986631638</v>
      </c>
      <c r="AB199" s="21">
        <f>EXP(-LN(2)/2)*AB198+(1-EXP(-LN(2)/2))/(LN(2)/2)*V199*Y199*VLOOKUP('Données projet'!$B$9,Paramètres!$A$1:$I$89,3,0)*0.475*44/12</f>
        <v>6.9428669428109028E-22</v>
      </c>
      <c r="AC199" s="22">
        <f t="shared" si="163"/>
        <v>5.9093283156853591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-1.69961822393816E-13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195.14508560011791</v>
      </c>
      <c r="T200" s="59">
        <f t="shared" si="204"/>
        <v>285.1531413455931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5.0795551673287003</v>
      </c>
      <c r="AA200" s="21">
        <f>EXP(-LN(2)/25)*AA199+(1-EXP(-LN(2)/25))/(LN(2)/25)*Calculateur!V200*Calculateur!X200*VLOOKUP('Données projet'!$B$9,Paramètres!$A$1:$I$89,3,0)*0.475*44/12</f>
        <v>0.7082619171018224</v>
      </c>
      <c r="AB200" s="21">
        <f>EXP(-LN(2)/2)*AB199+(1-EXP(-LN(2)/2))/(LN(2)/2)*V200*Y200*VLOOKUP('Données projet'!$B$9,Paramètres!$A$1:$I$89,3,0)*0.475*44/12</f>
        <v>4.9093482961375032E-22</v>
      </c>
      <c r="AC200" s="22">
        <f t="shared" si="163"/>
        <v>5.7878170844305226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-1.69961822393816E-13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195.14508560011791</v>
      </c>
      <c r="T201" s="59">
        <f t="shared" si="204"/>
        <v>285.1531413455931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4.9799481887201127</v>
      </c>
      <c r="AA201" s="21">
        <f>EXP(-LN(2)/25)*AA200+(1-EXP(-LN(2)/25))/(LN(2)/25)*Calculateur!V201*Calculateur!X201*VLOOKUP('Données projet'!$B$9,Paramètres!$A$1:$I$89,3,0)*0.475*44/12</f>
        <v>0.68889445773279756</v>
      </c>
      <c r="AB201" s="21">
        <f>EXP(-LN(2)/2)*AB200+(1-EXP(-LN(2)/2))/(LN(2)/2)*V201*Y201*VLOOKUP('Données projet'!$B$9,Paramètres!$A$1:$I$89,3,0)*0.475*44/12</f>
        <v>3.4714334714054514E-22</v>
      </c>
      <c r="AC201" s="22">
        <f t="shared" si="163"/>
        <v>5.6688426464529105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-1.69961822393816E-13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195.14508560011791</v>
      </c>
      <c r="T202" s="59">
        <f t="shared" si="204"/>
        <v>285.1531413455931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4.8822944422077814</v>
      </c>
      <c r="AA202" s="21">
        <f>EXP(-LN(2)/25)*AA201+(1-EXP(-LN(2)/25))/(LN(2)/25)*Calculateur!V202*Calculateur!X202*VLOOKUP('Données projet'!$B$9,Paramètres!$A$1:$I$89,3,0)*0.475*44/12</f>
        <v>0.67005660255870914</v>
      </c>
      <c r="AB202" s="21">
        <f>EXP(-LN(2)/2)*AB201+(1-EXP(-LN(2)/2))/(LN(2)/2)*V202*Y202*VLOOKUP('Données projet'!$B$9,Paramètres!$A$1:$I$89,3,0)*0.475*44/12</f>
        <v>2.4546741480687516E-22</v>
      </c>
      <c r="AC202" s="22">
        <f t="shared" si="163"/>
        <v>5.5523510447664908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-1.69961822393816E-13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195.14508560011791</v>
      </c>
      <c r="T203" s="59">
        <f t="shared" si="204"/>
        <v>285.1531413455931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4.7865556261016531</v>
      </c>
      <c r="AA203" s="21">
        <f>EXP(-LN(2)/25)*AA202+(1-EXP(-LN(2)/25))/(LN(2)/25)*Calculateur!V203*Calculateur!X203*VLOOKUP('Données projet'!$B$9,Paramètres!$A$1:$I$89,3,0)*0.475*44/12</f>
        <v>0.6517338695249959</v>
      </c>
      <c r="AB203" s="21">
        <f>EXP(-LN(2)/2)*AB202+(1-EXP(-LN(2)/2))/(LN(2)/2)*V203*Y203*VLOOKUP('Données projet'!$B$9,Paramètres!$A$1:$I$89,3,0)*0.475*44/12</f>
        <v>1.7357167357027257E-22</v>
      </c>
      <c r="AC203" s="22">
        <f t="shared" si="163"/>
        <v>5.4382894956266492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1.401971325755863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19" zoomScale="90" zoomScaleNormal="90" workbookViewId="0">
      <selection activeCell="M18" sqref="M1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4.7699999999999996</v>
      </c>
      <c r="C6" s="147">
        <f ca="1">IF(OR('Données projet'!B9="",'Données projet'!C9="",'Données projet'!C9=0%),0,Calculateur!S3)</f>
        <v>195.14508560011791</v>
      </c>
      <c r="D6" s="147">
        <f>IF(OR('Données projet'!B9="",'Données projet'!C9="",'Données projet'!C9=0%),0,Calculateur!T3)</f>
        <v>285.1531413455931</v>
      </c>
      <c r="E6" s="147">
        <f ca="1">MIN(C6,D6)</f>
        <v>195.14508560011791</v>
      </c>
      <c r="F6" s="147">
        <f ca="1">E6*B6</f>
        <v>930.84205831256236</v>
      </c>
      <c r="G6" s="147">
        <f ca="1">F6*(100%-'Données projet'!$C$24)*(100%-'Données projet'!$C$25)*(100%-'Données projet'!$C$26)*(100%-'Données projet'!$C$27)</f>
        <v>712.09417460911015</v>
      </c>
      <c r="H6" s="148">
        <f>IF(OR('Données projet'!B9="",'Données projet'!C9="",'Données projet'!C9=0%),0,AVERAGE(Calculateur!$AC$3:$AC$33)*B6)</f>
        <v>62.96010629758814</v>
      </c>
      <c r="I6" s="149">
        <f>H6*(100%-'Données projet'!$C$24)*(100%-'Données projet'!$C$25)*(100%-'Données projet'!$C$26)*(100%-'Données projet'!$C$27)</f>
        <v>48.164481317654932</v>
      </c>
      <c r="J6" s="150">
        <f>IF(OR('Données projet'!B9="",'Données projet'!C9="",'Données projet'!C9=0%),0,SUM(Calculateur!$V$3:$V$33)*VLOOKUP('Données projet'!$B$9,Paramètres!$A$1:$I$89,9,0)*B6)</f>
        <v>404.63139461538458</v>
      </c>
      <c r="K6" s="151">
        <f>J6*(100%-'Données projet'!$C$24)*(100%-'Données projet'!$C$25)*(100%-'Données projet'!$C$26)*(100%-'Données projet'!$C$27)</f>
        <v>309.54301688076919</v>
      </c>
      <c r="L6" s="152">
        <f ca="1">G6+I6+K6</f>
        <v>1069.8016728075343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930.84205831256236</v>
      </c>
      <c r="G16" s="166">
        <f t="shared" ca="1" si="3"/>
        <v>712.09417460911015</v>
      </c>
      <c r="H16" s="167">
        <f t="shared" si="3"/>
        <v>62.96010629758814</v>
      </c>
      <c r="I16" s="167">
        <f t="shared" si="3"/>
        <v>48.164481317654932</v>
      </c>
      <c r="J16" s="168">
        <f t="shared" si="3"/>
        <v>404.63139461538458</v>
      </c>
      <c r="K16" s="168">
        <f t="shared" si="3"/>
        <v>309.54301688076919</v>
      </c>
      <c r="L16" s="169">
        <f t="shared" ca="1" si="3"/>
        <v>1069.8016728075343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23" zoomScale="80" zoomScaleNormal="80" workbookViewId="0">
      <selection activeCell="R48" sqref="R48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2405.7240317305632</v>
      </c>
      <c r="U10" s="178">
        <f>'Données projet'!D9</f>
        <v>4.7699999999999996</v>
      </c>
      <c r="V10" s="177">
        <f>U10*T10</f>
        <v>11475.303631354785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2619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14</v>
      </c>
      <c r="B23" s="181">
        <f>'Données projet'!D36</f>
        <v>35.969230769230769</v>
      </c>
      <c r="C23" s="193">
        <v>8</v>
      </c>
      <c r="D23" s="182">
        <f>B23*C23</f>
        <v>287.75384615384615</v>
      </c>
      <c r="E23" s="193">
        <v>300</v>
      </c>
      <c r="F23" s="230"/>
      <c r="H23" s="190">
        <v>4</v>
      </c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-479.36622510454436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19</v>
      </c>
      <c r="B24" s="181">
        <f>'Données projet'!D37</f>
        <v>54.907692307692301</v>
      </c>
      <c r="C24" s="193">
        <v>10</v>
      </c>
      <c r="D24" s="182">
        <f t="shared" ref="D24:D42" si="2">B24*C24</f>
        <v>549.07692307692298</v>
      </c>
      <c r="E24" s="193">
        <v>300</v>
      </c>
      <c r="F24" s="233"/>
      <c r="H24" s="190">
        <v>5</v>
      </c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52.9</v>
      </c>
      <c r="C25" s="193">
        <v>16</v>
      </c>
      <c r="D25" s="182">
        <f t="shared" si="2"/>
        <v>846.4</v>
      </c>
      <c r="E25" s="193">
        <v>300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299">
        <f ca="1">T23-T24</f>
        <v>-479.36622510454436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63.899999999999991</v>
      </c>
      <c r="C26" s="193">
        <v>23</v>
      </c>
      <c r="D26" s="182">
        <f t="shared" si="2"/>
        <v>1469.6999999999998</v>
      </c>
      <c r="E26" s="193">
        <v>300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412.49230769230769</v>
      </c>
      <c r="C27" s="193">
        <v>33</v>
      </c>
      <c r="D27" s="182">
        <f t="shared" si="2"/>
        <v>13612.246153846154</v>
      </c>
      <c r="E27" s="193">
        <v>300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32ACBF-0596-4849-B361-598D23C68D24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62B858B3-7C71-4D94-B59A-278E2E368187}"/>
</file>

<file path=customXml/itemProps3.xml><?xml version="1.0" encoding="utf-8"?>
<ds:datastoreItem xmlns:ds="http://schemas.openxmlformats.org/officeDocument/2006/customXml" ds:itemID="{44D080DA-78C4-44F5-B420-07E0A52FCF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Lou Gabrigs</cp:lastModifiedBy>
  <dcterms:created xsi:type="dcterms:W3CDTF">2021-02-01T08:22:39Z</dcterms:created>
  <dcterms:modified xsi:type="dcterms:W3CDTF">2024-09-27T14:45:22Z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