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ESCROUX (81) - GF de La Fajole\Dossier à déposer\"/>
    </mc:Choice>
  </mc:AlternateContent>
  <xr:revisionPtr revIDLastSave="0" documentId="13_ncr:1_{6FFABC67-703B-4584-A9A6-FB96936E79F1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99" i="2" a="1"/>
  <c r="AH199" i="2" s="1"/>
  <c r="AH151" i="2" a="1"/>
  <c r="AH151" i="2" s="1"/>
  <c r="AH163" i="2" a="1"/>
  <c r="AH163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<sst xmlns="http://schemas.openxmlformats.org/spreadsheetml/2006/main" count="1170" uniqueCount="324">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</sst>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5" zoomScale="90" zoomScaleNormal="90" workbookViewId="0">
      <selection activeCell="F70" sqref="F7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4.3499999999999996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0.5</v>
      </c>
      <c r="D9" s="36">
        <f t="shared" ref="D9:D18" si="0">C9*$C$5</f>
        <v>2.1749999999999998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0.11</v>
      </c>
      <c r="D10" s="36">
        <f t="shared" si="0"/>
        <v>0.47849999999999998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0.39</v>
      </c>
      <c r="D11" s="36">
        <f t="shared" si="0"/>
        <v>1.6964999999999999</v>
      </c>
      <c r="E11" s="37">
        <v>82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4.3499999999999996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>
        <v>0.4</v>
      </c>
      <c r="F36" s="54">
        <v>0.45</v>
      </c>
      <c r="G36" s="54">
        <v>0.15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>
        <v>0.7</v>
      </c>
      <c r="F37" s="54">
        <v>0.15</v>
      </c>
      <c r="G37" s="54">
        <v>0.15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19</v>
      </c>
      <c r="B62" s="63">
        <v>162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8.526315789473685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335</v>
      </c>
      <c r="C63" s="63">
        <v>2</v>
      </c>
      <c r="D63" s="63">
        <v>54</v>
      </c>
      <c r="E63" s="54">
        <v>0.25</v>
      </c>
      <c r="F63" s="54"/>
      <c r="G63" s="54">
        <v>0.75</v>
      </c>
      <c r="H63" s="54"/>
      <c r="I63" s="52">
        <f>IF(A63&lt;&gt;0,(B63-(B62-D62))/(A63-A62),"")</f>
        <v>28.833333333333332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421</v>
      </c>
      <c r="C64" s="63">
        <v>3</v>
      </c>
      <c r="D64" s="63">
        <v>54</v>
      </c>
      <c r="E64" s="54">
        <v>0.25</v>
      </c>
      <c r="F64" s="54"/>
      <c r="G64" s="54">
        <v>0.75</v>
      </c>
      <c r="H64" s="54"/>
      <c r="I64" s="52">
        <f>IF(A64&lt;&gt;0,(B64-(B63-D63))/(A64-A63),"")</f>
        <v>28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505</v>
      </c>
      <c r="C65" s="63">
        <v>4</v>
      </c>
      <c r="D65" s="63">
        <v>69</v>
      </c>
      <c r="E65" s="54"/>
      <c r="F65" s="54"/>
      <c r="G65" s="54"/>
      <c r="H65" s="54"/>
      <c r="I65" s="52">
        <f>IF(A65&lt;&gt;0,(B65-(B64-D64))/(A65-A64),"")</f>
        <v>27.6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564</v>
      </c>
      <c r="C66" s="63">
        <v>5</v>
      </c>
      <c r="D66" s="63">
        <v>72</v>
      </c>
      <c r="E66" s="54"/>
      <c r="F66" s="54"/>
      <c r="G66" s="54"/>
      <c r="H66" s="54"/>
      <c r="I66" s="52">
        <f t="shared" ref="I66:I81" si="2">IF(A66&lt;&gt;0,(B66-(B65-D65))/(A66-A65),"")</f>
        <v>25.6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606</v>
      </c>
      <c r="C67" s="63">
        <v>6</v>
      </c>
      <c r="D67" s="63">
        <v>66</v>
      </c>
      <c r="E67" s="54"/>
      <c r="F67" s="54"/>
      <c r="G67" s="54"/>
      <c r="H67" s="54"/>
      <c r="I67" s="52">
        <f t="shared" si="2"/>
        <v>22.8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629</v>
      </c>
      <c r="C68" s="63">
        <v>7</v>
      </c>
      <c r="D68" s="63">
        <v>48</v>
      </c>
      <c r="E68" s="54"/>
      <c r="F68" s="54"/>
      <c r="G68" s="54"/>
      <c r="H68" s="54"/>
      <c r="I68" s="52">
        <f t="shared" si="2"/>
        <v>17.8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650</v>
      </c>
      <c r="C69" s="53">
        <v>8</v>
      </c>
      <c r="D69" s="53">
        <v>35</v>
      </c>
      <c r="E69" s="54"/>
      <c r="F69" s="54"/>
      <c r="G69" s="54"/>
      <c r="H69" s="54"/>
      <c r="I69" s="52">
        <f t="shared" si="2"/>
        <v>13.8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666</v>
      </c>
      <c r="C70" s="53">
        <v>9</v>
      </c>
      <c r="D70" s="53">
        <v>666</v>
      </c>
      <c r="E70" s="54"/>
      <c r="F70" s="54"/>
      <c r="G70" s="54"/>
      <c r="H70" s="54"/>
      <c r="I70" s="52">
        <f t="shared" si="2"/>
        <v>10.199999999999999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22</v>
      </c>
      <c r="B88" s="63">
        <v>123</v>
      </c>
      <c r="C88" s="63">
        <v>1</v>
      </c>
      <c r="D88" s="63">
        <v>16</v>
      </c>
      <c r="E88" s="54"/>
      <c r="F88" s="54"/>
      <c r="G88" s="54">
        <v>1</v>
      </c>
      <c r="H88" s="93"/>
      <c r="I88" s="56">
        <f>IFERROR(B88/A88,"")</f>
        <v>5.5909090909090908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144</v>
      </c>
      <c r="C89" s="63">
        <v>2</v>
      </c>
      <c r="D89" s="63">
        <v>17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12.333333333333334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194</v>
      </c>
      <c r="C90" s="63">
        <v>3</v>
      </c>
      <c r="D90" s="63">
        <v>34</v>
      </c>
      <c r="E90" s="93">
        <v>0.4</v>
      </c>
      <c r="F90" s="93"/>
      <c r="G90" s="93">
        <v>0.6</v>
      </c>
      <c r="H90" s="93"/>
      <c r="I90" s="56">
        <f t="shared" si="3"/>
        <v>13.4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233</v>
      </c>
      <c r="C91" s="63">
        <v>4</v>
      </c>
      <c r="D91" s="63">
        <v>41</v>
      </c>
      <c r="E91" s="93">
        <v>0.45</v>
      </c>
      <c r="F91" s="93"/>
      <c r="G91" s="93">
        <v>0.55000000000000004</v>
      </c>
      <c r="H91" s="93"/>
      <c r="I91" s="56">
        <f t="shared" si="3"/>
        <v>14.6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264</v>
      </c>
      <c r="C92" s="63">
        <v>5</v>
      </c>
      <c r="D92" s="63">
        <v>41</v>
      </c>
      <c r="E92" s="93"/>
      <c r="F92" s="93"/>
      <c r="G92" s="93"/>
      <c r="H92" s="93"/>
      <c r="I92" s="56">
        <f t="shared" si="3"/>
        <v>14.4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306</v>
      </c>
      <c r="C93" s="63">
        <v>6</v>
      </c>
      <c r="D93" s="63">
        <v>53</v>
      </c>
      <c r="E93" s="93"/>
      <c r="F93" s="93"/>
      <c r="G93" s="93"/>
      <c r="H93" s="93"/>
      <c r="I93" s="56">
        <f t="shared" si="3"/>
        <v>16.600000000000001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340</v>
      </c>
      <c r="C94" s="63">
        <v>7</v>
      </c>
      <c r="D94" s="63">
        <v>53</v>
      </c>
      <c r="E94" s="93"/>
      <c r="F94" s="93"/>
      <c r="G94" s="93"/>
      <c r="H94" s="93"/>
      <c r="I94" s="56">
        <f t="shared" si="3"/>
        <v>17.399999999999999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58</v>
      </c>
      <c r="B95" s="63">
        <v>428</v>
      </c>
      <c r="C95" s="63">
        <v>8</v>
      </c>
      <c r="D95" s="63">
        <v>78</v>
      </c>
      <c r="E95" s="93"/>
      <c r="F95" s="93"/>
      <c r="G95" s="93"/>
      <c r="H95" s="93"/>
      <c r="I95" s="56">
        <f t="shared" si="3"/>
        <v>17.625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66</v>
      </c>
      <c r="B96" s="63">
        <v>483</v>
      </c>
      <c r="C96" s="63">
        <v>9</v>
      </c>
      <c r="D96" s="63">
        <v>65</v>
      </c>
      <c r="E96" s="93"/>
      <c r="F96" s="93"/>
      <c r="G96" s="93"/>
      <c r="H96" s="93"/>
      <c r="I96" s="56">
        <f t="shared" si="3"/>
        <v>16.625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74</v>
      </c>
      <c r="B97" s="63">
        <v>521</v>
      </c>
      <c r="C97" s="63">
        <v>10</v>
      </c>
      <c r="D97" s="63">
        <v>37</v>
      </c>
      <c r="E97" s="93"/>
      <c r="F97" s="93"/>
      <c r="G97" s="93"/>
      <c r="H97" s="93"/>
      <c r="I97" s="56">
        <f t="shared" si="3"/>
        <v>12.875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82</v>
      </c>
      <c r="B98" s="63">
        <v>555</v>
      </c>
      <c r="C98" s="63">
        <v>11</v>
      </c>
      <c r="D98" s="63">
        <v>555</v>
      </c>
      <c r="E98" s="93"/>
      <c r="F98" s="93"/>
      <c r="G98" s="93"/>
      <c r="H98" s="93"/>
      <c r="I98" s="56">
        <f t="shared" si="3"/>
        <v>8.875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Douglas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laricio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310.95287409903602</v>
      </c>
      <c r="T3" s="62">
        <f>IF('Données projet'!E9&gt;30,$R$33-$H$33,LOOKUP('Données projet'!$E$9,$A$3:$A$203,R3:R203)-LOOKUP('Données projet'!$E$9,$A$3:$A$203,$H$3:$H$203))</f>
        <v>224.10083380795163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382.55387448074327</v>
      </c>
      <c r="AO3" s="62">
        <f>IF('Données projet'!E10&gt;30,$AM$33-$H$33,LOOKUP('Données projet'!$E$10,$A$3:$A$203,AM3:AM203)-LOOKUP('Données projet'!$E$10,$A$3:$A$203,$H$3:$H$203))</f>
        <v>476.29465646955543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287.69656598881124</v>
      </c>
      <c r="BJ3" s="62">
        <f>IF('Données projet'!E11&gt;30,$BH$33-$H$33,LOOKUP('Données projet'!$E$11,$A$3:$A$203,BH3:BH203)-LOOKUP('Données projet'!$E$11,$A$3:$A$203,$H$3:$H$203))</f>
        <v>221.9773436301067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294.89641891074018</v>
      </c>
      <c r="S4" s="62">
        <f ca="1">AVERAGE(OFFSET($R$3,0,0,'Données projet'!$E$9+1,1))-AVERAGE(OFFSET($H$3,0,0,'Données projet'!$E$9+1,1))</f>
        <v>310.95287409903602</v>
      </c>
      <c r="T4" s="62">
        <f>$T$3</f>
        <v>224.10083380795163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8.526315789473685</v>
      </c>
      <c r="AI4" s="14">
        <f>IF('Données projet'!$A$62&gt;35,AI3+AH4-AQ3,IF(A4&lt;'Données projet'!$A$62,$AF$205^A4,IF(A4='Données projet'!$A$62,'Données projet'!$B$62,AI3+AH4-AQ3)))</f>
        <v>1.3070441688874561</v>
      </c>
      <c r="AJ4" s="14">
        <f>AI4*VLOOKUP('Données projet'!$B$10,Paramètres!$A$1:$I$89,3,0)*VLOOKUP('Données projet'!$B$10,Paramètres!$A$1:$I$89,5,0)</f>
        <v>0.73063769040808801</v>
      </c>
      <c r="AK4" s="14">
        <f>EXP(-1.0587+0.8836*LN(AJ4)+0.284)</f>
        <v>0.34923616900555043</v>
      </c>
      <c r="AL4" s="22">
        <f t="shared" ref="AL4:AL67" si="4">(AJ4+AK4)*0.475*44/12</f>
        <v>1.8807803051454206</v>
      </c>
      <c r="AM4" s="62">
        <f t="shared" ref="AM4:AM67" si="5">AL4+(AD4+AE4)*44/12</f>
        <v>295.21411363847875</v>
      </c>
      <c r="AN4" s="62">
        <f ca="1">AVERAGE(OFFSET($AM$3,0,0,'Données projet'!$E$10+1,1))-AVERAGE(OFFSET($H$3,0,0,'Données projet'!$E$10+1,1))</f>
        <v>382.55387448074327</v>
      </c>
      <c r="AO4" s="62">
        <f>$AO$3</f>
        <v>476.29465646955543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5.5909090909090908</v>
      </c>
      <c r="BD4" s="13">
        <f>IF('Données projet'!$A$88&gt;35,BD3+BC4-BL3,IF(A4&lt;'Données projet'!$A$88,$BA$205^A4,IF(A4='Données projet'!$A$88,'Données projet'!$B$88,BD3+BC4-BL3)))</f>
        <v>1.244502252163008</v>
      </c>
      <c r="BE4" s="14">
        <f>BD4*VLOOKUP('Données projet'!$B$11,Paramètres!$A$1:$I$89,3,0)*VLOOKUP('Données projet'!$B$11,Paramètres!$A$1:$I$89,5,0)</f>
        <v>0.74421234679347892</v>
      </c>
      <c r="BF4" s="14">
        <f>EXP(-1.0587+0.8836*LN(BE4)+0.284)</f>
        <v>0.3549632728022305</v>
      </c>
      <c r="BG4" s="22">
        <f t="shared" ref="BG4:BG67" si="7">(BE4+BF4)*0.475*44/12</f>
        <v>1.9143975374625271</v>
      </c>
      <c r="BH4" s="62">
        <f t="shared" ref="BH4:BH67" si="8">BG4+(AY4+AZ4)*44/12</f>
        <v>295.24773087079586</v>
      </c>
      <c r="BI4" s="62">
        <f ca="1">AVERAGE(OFFSET($BH$3,0,0,'Données projet'!$E$11+1,1))-AVERAGE(OFFSET($H$3,0,0,'Données projet'!$E$11+1,1))</f>
        <v>287.69656598881124</v>
      </c>
      <c r="BJ4" s="62">
        <f>$BJ$3</f>
        <v>221.9773436301067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295.32747390874374</v>
      </c>
      <c r="S5" s="62">
        <f ca="1">AVERAGE(OFFSET($R$3,0,0,'Données projet'!$E$9+1,1))-AVERAGE(OFFSET($H$3,0,0,'Données projet'!$E$9+1,1))</f>
        <v>310.95287409903602</v>
      </c>
      <c r="T5" s="62">
        <f t="shared" ref="T5:T68" si="34">$T$3</f>
        <v>224.10083380795163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8.526315789473685</v>
      </c>
      <c r="AI5" s="14">
        <f>IF('Données projet'!$A$62&gt;35,AI4+AH5-AQ4,IF(A5&lt;'Données projet'!$A$62,$AF$205^A5,IF(A5='Données projet'!$A$62,'Données projet'!$B$62,AI4+AH5-AQ4)))</f>
        <v>1.708364459422701</v>
      </c>
      <c r="AJ5" s="14">
        <f>AI5*VLOOKUP('Données projet'!$B$10,Paramètres!$A$1:$I$89,3,0)*VLOOKUP('Données projet'!$B$10,Paramètres!$A$1:$I$89,5,0)</f>
        <v>0.95497573281728976</v>
      </c>
      <c r="AK5" s="14">
        <f t="shared" ref="AK5:AK68" si="35">EXP(-1.0587+0.8836*LN(AJ5)+0.284)</f>
        <v>0.44245926414263009</v>
      </c>
      <c r="AL5" s="22">
        <f t="shared" si="4"/>
        <v>2.4338659530385267</v>
      </c>
      <c r="AM5" s="62">
        <f t="shared" si="5"/>
        <v>295.76719928637186</v>
      </c>
      <c r="AN5" s="62">
        <f ca="1">AVERAGE(OFFSET($AM$3,0,0,'Données projet'!$E$10+1,1))-AVERAGE(OFFSET($H$3,0,0,'Données projet'!$E$10+1,1))</f>
        <v>382.55387448074327</v>
      </c>
      <c r="AO5" s="62">
        <f t="shared" ref="AO5:AO68" si="36">$AO$3</f>
        <v>476.29465646955543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5.5909090909090908</v>
      </c>
      <c r="BD5" s="13">
        <f>IF('Données projet'!$A$88&gt;35,BD4+BC5-BL4,IF(A5&lt;'Données projet'!$A$88,$BA$205^A5,IF(A5='Données projet'!$A$88,'Données projet'!$B$88,BD4+BC5-BL4)))</f>
        <v>1.5487858556387992</v>
      </c>
      <c r="BE5" s="14">
        <f>BD5*VLOOKUP('Données projet'!$B$11,Paramètres!$A$1:$I$89,3,0)*VLOOKUP('Données projet'!$B$11,Paramètres!$A$1:$I$89,5,0)</f>
        <v>0.92617394167200195</v>
      </c>
      <c r="BF5" s="14">
        <f t="shared" ref="BF5:BF68" si="37">EXP(-1.0587+0.8836*LN(BE5)+0.284)</f>
        <v>0.43064718121421069</v>
      </c>
      <c r="BG5" s="22">
        <f t="shared" si="7"/>
        <v>2.3631301223601535</v>
      </c>
      <c r="BH5" s="62">
        <f t="shared" si="8"/>
        <v>295.69646345569345</v>
      </c>
      <c r="BI5" s="62">
        <f ca="1">AVERAGE(OFFSET($BH$3,0,0,'Données projet'!$E$11+1,1))-AVERAGE(OFFSET($H$3,0,0,'Données projet'!$E$11+1,1))</f>
        <v>287.69656598881124</v>
      </c>
      <c r="BJ5" s="62">
        <f t="shared" ref="BJ5:BJ68" si="38">$BJ$3</f>
        <v>221.9773436301067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295.8778838402435</v>
      </c>
      <c r="S6" s="62">
        <f ca="1">AVERAGE(OFFSET($R$3,0,0,'Données projet'!$E$9+1,1))-AVERAGE(OFFSET($H$3,0,0,'Données projet'!$E$9+1,1))</f>
        <v>310.95287409903602</v>
      </c>
      <c r="T6" s="62">
        <f t="shared" si="34"/>
        <v>224.10083380795163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8.526315789473685</v>
      </c>
      <c r="AI6" s="14">
        <f>IF('Données projet'!$A$62&gt;35,AI5+AH6-AQ5,IF(A6&lt;'Données projet'!$A$62,$AF$205^A6,IF(A6='Données projet'!$A$62,'Données projet'!$B$62,AI5+AH6-AQ5)))</f>
        <v>2.2329078050230127</v>
      </c>
      <c r="AJ6" s="14">
        <f>AI6*VLOOKUP('Données projet'!$B$10,Paramètres!$A$1:$I$89,3,0)*VLOOKUP('Données projet'!$B$10,Paramètres!$A$1:$I$89,5,0)</f>
        <v>1.248195463007864</v>
      </c>
      <c r="AK6" s="14">
        <f t="shared" si="35"/>
        <v>0.56056679634040518</v>
      </c>
      <c r="AL6" s="22">
        <f t="shared" si="4"/>
        <v>3.1502609350315693</v>
      </c>
      <c r="AM6" s="62">
        <f t="shared" si="5"/>
        <v>296.48359426836487</v>
      </c>
      <c r="AN6" s="62">
        <f ca="1">AVERAGE(OFFSET($AM$3,0,0,'Données projet'!$E$10+1,1))-AVERAGE(OFFSET($H$3,0,0,'Données projet'!$E$10+1,1))</f>
        <v>382.55387448074327</v>
      </c>
      <c r="AO6" s="62">
        <f t="shared" si="36"/>
        <v>476.29465646955543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5.5909090909090908</v>
      </c>
      <c r="BD6" s="13">
        <f>IF('Données projet'!$A$88&gt;35,BD5+BC6-BL5,IF(A6&lt;'Données projet'!$A$88,$BA$205^A6,IF(A6='Données projet'!$A$88,'Données projet'!$B$88,BD5+BC6-BL5)))</f>
        <v>1.927467485460697</v>
      </c>
      <c r="BE6" s="14">
        <f>BD6*VLOOKUP('Données projet'!$B$11,Paramètres!$A$1:$I$89,3,0)*VLOOKUP('Données projet'!$B$11,Paramètres!$A$1:$I$89,5,0)</f>
        <v>1.152625556305497</v>
      </c>
      <c r="BF6" s="14">
        <f t="shared" si="37"/>
        <v>0.52246812247269758</v>
      </c>
      <c r="BG6" s="22">
        <f t="shared" si="7"/>
        <v>2.9174548238720219</v>
      </c>
      <c r="BH6" s="62">
        <f t="shared" si="8"/>
        <v>296.25078815720536</v>
      </c>
      <c r="BI6" s="62">
        <f ca="1">AVERAGE(OFFSET($BH$3,0,0,'Données projet'!$E$11+1,1))-AVERAGE(OFFSET($H$3,0,0,'Données projet'!$E$11+1,1))</f>
        <v>287.69656598881124</v>
      </c>
      <c r="BJ6" s="62">
        <f t="shared" si="38"/>
        <v>221.9773436301067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296.58082314457886</v>
      </c>
      <c r="S7" s="62">
        <f ca="1">AVERAGE(OFFSET($R$3,0,0,'Données projet'!$E$9+1,1))-AVERAGE(OFFSET($H$3,0,0,'Données projet'!$E$9+1,1))</f>
        <v>310.95287409903602</v>
      </c>
      <c r="T7" s="62">
        <f t="shared" si="34"/>
        <v>224.10083380795163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8.526315789473685</v>
      </c>
      <c r="AI7" s="14">
        <f>IF('Données projet'!$A$62&gt;35,AI6+AH7-AQ6,IF(A7&lt;'Données projet'!$A$62,$AF$205^A7,IF(A7='Données projet'!$A$62,'Données projet'!$B$62,AI6+AH7-AQ6)))</f>
        <v>2.9185091262186176</v>
      </c>
      <c r="AJ7" s="14">
        <f>AI7*VLOOKUP('Données projet'!$B$10,Paramètres!$A$1:$I$89,3,0)*VLOOKUP('Données projet'!$B$10,Paramètres!$A$1:$I$89,5,0)</f>
        <v>1.6314466015562072</v>
      </c>
      <c r="AK7" s="14">
        <f t="shared" si="35"/>
        <v>0.71020127416305878</v>
      </c>
      <c r="AL7" s="22">
        <f t="shared" si="4"/>
        <v>4.0783700502110554</v>
      </c>
      <c r="AM7" s="62">
        <f t="shared" si="5"/>
        <v>297.41170338354436</v>
      </c>
      <c r="AN7" s="62">
        <f ca="1">AVERAGE(OFFSET($AM$3,0,0,'Données projet'!$E$10+1,1))-AVERAGE(OFFSET($H$3,0,0,'Données projet'!$E$10+1,1))</f>
        <v>382.55387448074327</v>
      </c>
      <c r="AO7" s="62">
        <f t="shared" si="36"/>
        <v>476.29465646955543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5.5909090909090908</v>
      </c>
      <c r="BD7" s="13">
        <f>IF('Données projet'!$A$88&gt;35,BD6+BC7-BL6,IF(A7&lt;'Données projet'!$A$88,$BA$205^A7,IF(A7='Données projet'!$A$88,'Données projet'!$B$88,BD6+BC7-BL6)))</f>
        <v>2.3987376266268075</v>
      </c>
      <c r="BE7" s="14">
        <f>BD7*VLOOKUP('Données projet'!$B$11,Paramètres!$A$1:$I$89,3,0)*VLOOKUP('Données projet'!$B$11,Paramètres!$A$1:$I$89,5,0)</f>
        <v>1.4344451007228309</v>
      </c>
      <c r="BF7" s="14">
        <f t="shared" si="37"/>
        <v>0.63386677286612625</v>
      </c>
      <c r="BG7" s="22">
        <f t="shared" si="7"/>
        <v>3.6023098465007668</v>
      </c>
      <c r="BH7" s="62">
        <f t="shared" si="8"/>
        <v>296.93564317983407</v>
      </c>
      <c r="BI7" s="62">
        <f ca="1">AVERAGE(OFFSET($BH$3,0,0,'Données projet'!$E$11+1,1))-AVERAGE(OFFSET($H$3,0,0,'Données projet'!$E$11+1,1))</f>
        <v>287.69656598881124</v>
      </c>
      <c r="BJ7" s="62">
        <f t="shared" si="38"/>
        <v>221.9773436301067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297.47871993550461</v>
      </c>
      <c r="S8" s="62">
        <f ca="1">AVERAGE(OFFSET($R$3,0,0,'Données projet'!$E$9+1,1))-AVERAGE(OFFSET($H$3,0,0,'Données projet'!$E$9+1,1))</f>
        <v>310.95287409903602</v>
      </c>
      <c r="T8" s="62">
        <f t="shared" si="34"/>
        <v>224.10083380795163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8.526315789473685</v>
      </c>
      <c r="AI8" s="14">
        <f>IF('Données projet'!$A$62&gt;35,AI7+AH8-AQ7,IF(A8&lt;'Données projet'!$A$62,$AF$205^A8,IF(A8='Données projet'!$A$62,'Données projet'!$B$62,AI7+AH8-AQ7)))</f>
        <v>3.8146203352688688</v>
      </c>
      <c r="AJ8" s="14">
        <f>AI8*VLOOKUP('Données projet'!$B$10,Paramètres!$A$1:$I$89,3,0)*VLOOKUP('Données projet'!$B$10,Paramètres!$A$1:$I$89,5,0)</f>
        <v>2.1323727674152977</v>
      </c>
      <c r="AK8" s="14">
        <f t="shared" si="35"/>
        <v>0.89977831922200224</v>
      </c>
      <c r="AL8" s="22">
        <f t="shared" si="4"/>
        <v>5.2809964758932972</v>
      </c>
      <c r="AM8" s="62">
        <f t="shared" si="5"/>
        <v>298.6143298092266</v>
      </c>
      <c r="AN8" s="62">
        <f ca="1">AVERAGE(OFFSET($AM$3,0,0,'Données projet'!$E$10+1,1))-AVERAGE(OFFSET($H$3,0,0,'Données projet'!$E$10+1,1))</f>
        <v>382.55387448074327</v>
      </c>
      <c r="AO8" s="62">
        <f t="shared" si="36"/>
        <v>476.29465646955543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5.5909090909090908</v>
      </c>
      <c r="BD8" s="13">
        <f>IF('Données projet'!$A$88&gt;35,BD7+BC8-BL7,IF(A8&lt;'Données projet'!$A$88,$BA$205^A8,IF(A8='Données projet'!$A$88,'Données projet'!$B$88,BD7+BC8-BL7)))</f>
        <v>2.9852343786852105</v>
      </c>
      <c r="BE8" s="14">
        <f>BD8*VLOOKUP('Données projet'!$B$11,Paramètres!$A$1:$I$89,3,0)*VLOOKUP('Données projet'!$B$11,Paramètres!$A$1:$I$89,5,0)</f>
        <v>1.785170158453756</v>
      </c>
      <c r="BF8" s="14">
        <f t="shared" si="37"/>
        <v>0.7690174164926461</v>
      </c>
      <c r="BG8" s="22">
        <f t="shared" si="7"/>
        <v>4.4485433596983173</v>
      </c>
      <c r="BH8" s="62">
        <f t="shared" si="8"/>
        <v>297.78187669303162</v>
      </c>
      <c r="BI8" s="62">
        <f ca="1">AVERAGE(OFFSET($BH$3,0,0,'Données projet'!$E$11+1,1))-AVERAGE(OFFSET($H$3,0,0,'Données projet'!$E$11+1,1))</f>
        <v>287.69656598881124</v>
      </c>
      <c r="BJ8" s="62">
        <f t="shared" si="38"/>
        <v>221.9773436301067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298.62584576955311</v>
      </c>
      <c r="S9" s="62">
        <f ca="1">AVERAGE(OFFSET($R$3,0,0,'Données projet'!$E$9+1,1))-AVERAGE(OFFSET($H$3,0,0,'Données projet'!$E$9+1,1))</f>
        <v>310.95287409903602</v>
      </c>
      <c r="T9" s="62">
        <f t="shared" si="34"/>
        <v>224.10083380795163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8.526315789473685</v>
      </c>
      <c r="AI9" s="14">
        <f>IF('Données projet'!$A$62&gt;35,AI8+AH9-AQ8,IF(A9&lt;'Données projet'!$A$62,$AF$205^A9,IF(A9='Données projet'!$A$62,'Données projet'!$B$62,AI8+AH9-AQ8)))</f>
        <v>4.9858772657326877</v>
      </c>
      <c r="AJ9" s="14">
        <f>AI9*VLOOKUP('Données projet'!$B$10,Paramètres!$A$1:$I$89,3,0)*VLOOKUP('Données projet'!$B$10,Paramètres!$A$1:$I$89,5,0)</f>
        <v>2.7871053915445723</v>
      </c>
      <c r="AK9" s="14">
        <f t="shared" si="35"/>
        <v>1.1399599707787778</v>
      </c>
      <c r="AL9" s="22">
        <f t="shared" si="4"/>
        <v>6.839638839379834</v>
      </c>
      <c r="AM9" s="62">
        <f t="shared" si="5"/>
        <v>300.17297217271317</v>
      </c>
      <c r="AN9" s="62">
        <f ca="1">AVERAGE(OFFSET($AM$3,0,0,'Données projet'!$E$10+1,1))-AVERAGE(OFFSET($H$3,0,0,'Données projet'!$E$10+1,1))</f>
        <v>382.55387448074327</v>
      </c>
      <c r="AO9" s="62">
        <f t="shared" si="36"/>
        <v>476.29465646955543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5.5909090909090908</v>
      </c>
      <c r="BD9" s="13">
        <f>IF('Données projet'!$A$88&gt;35,BD8+BC9-BL8,IF(A9&lt;'Données projet'!$A$88,$BA$205^A9,IF(A9='Données projet'!$A$88,'Données projet'!$B$88,BD8+BC9-BL8)))</f>
        <v>3.7151309075081826</v>
      </c>
      <c r="BE9" s="14">
        <f>BD9*VLOOKUP('Données projet'!$B$11,Paramètres!$A$1:$I$89,3,0)*VLOOKUP('Données projet'!$B$11,Paramètres!$A$1:$I$89,5,0)</f>
        <v>2.2216482826898933</v>
      </c>
      <c r="BF9" s="14">
        <f t="shared" si="37"/>
        <v>0.93298436230530435</v>
      </c>
      <c r="BG9" s="22">
        <f t="shared" si="7"/>
        <v>5.4943185233666361</v>
      </c>
      <c r="BH9" s="62">
        <f t="shared" si="8"/>
        <v>298.82765185669996</v>
      </c>
      <c r="BI9" s="62">
        <f ca="1">AVERAGE(OFFSET($BH$3,0,0,'Données projet'!$E$11+1,1))-AVERAGE(OFFSET($H$3,0,0,'Données projet'!$E$11+1,1))</f>
        <v>287.69656598881124</v>
      </c>
      <c r="BJ9" s="62">
        <f t="shared" si="38"/>
        <v>221.9773436301067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300.09163240970821</v>
      </c>
      <c r="S10" s="62">
        <f ca="1">AVERAGE(OFFSET($R$3,0,0,'Données projet'!$E$9+1,1))-AVERAGE(OFFSET($H$3,0,0,'Données projet'!$E$9+1,1))</f>
        <v>310.95287409903602</v>
      </c>
      <c r="T10" s="62">
        <f t="shared" si="34"/>
        <v>224.10083380795163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8.526315789473685</v>
      </c>
      <c r="AI10" s="14">
        <f>IF('Données projet'!$A$62&gt;35,AI9+AH10-AQ9,IF(A10&lt;'Données projet'!$A$62,$AF$205^A10,IF(A10='Données projet'!$A$62,'Données projet'!$B$62,AI9+AH10-AQ9)))</f>
        <v>6.5167618069644444</v>
      </c>
      <c r="AJ10" s="14">
        <f>AI10*VLOOKUP('Données projet'!$B$10,Paramètres!$A$1:$I$89,3,0)*VLOOKUP('Données projet'!$B$10,Paramètres!$A$1:$I$89,5,0)</f>
        <v>3.6428698500931249</v>
      </c>
      <c r="AK10" s="14">
        <f t="shared" si="35"/>
        <v>1.4442543315575544</v>
      </c>
      <c r="AL10" s="22">
        <f t="shared" si="4"/>
        <v>8.8600746163749324</v>
      </c>
      <c r="AM10" s="62">
        <f t="shared" si="5"/>
        <v>302.19340794970827</v>
      </c>
      <c r="AN10" s="62">
        <f ca="1">AVERAGE(OFFSET($AM$3,0,0,'Données projet'!$E$10+1,1))-AVERAGE(OFFSET($H$3,0,0,'Données projet'!$E$10+1,1))</f>
        <v>382.55387448074327</v>
      </c>
      <c r="AO10" s="62">
        <f t="shared" si="36"/>
        <v>476.29465646955543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5.5909090909090908</v>
      </c>
      <c r="BD10" s="13">
        <f>IF('Données projet'!$A$88&gt;35,BD9+BC10-BL9,IF(A10&lt;'Données projet'!$A$88,$BA$205^A10,IF(A10='Données projet'!$A$88,'Données projet'!$B$88,BD9+BC10-BL9)))</f>
        <v>4.6234887814743333</v>
      </c>
      <c r="BE10" s="14">
        <f>BD10*VLOOKUP('Données projet'!$B$11,Paramètres!$A$1:$I$89,3,0)*VLOOKUP('Données projet'!$B$11,Paramètres!$A$1:$I$89,5,0)</f>
        <v>2.7648462913216516</v>
      </c>
      <c r="BF10" s="14">
        <f t="shared" si="37"/>
        <v>1.1319117118000401</v>
      </c>
      <c r="BG10" s="22">
        <f t="shared" si="7"/>
        <v>6.7868535221036126</v>
      </c>
      <c r="BH10" s="62">
        <f t="shared" si="8"/>
        <v>300.12018685543694</v>
      </c>
      <c r="BI10" s="62">
        <f ca="1">AVERAGE(OFFSET($BH$3,0,0,'Données projet'!$E$11+1,1))-AVERAGE(OFFSET($H$3,0,0,'Données projet'!$E$11+1,1))</f>
        <v>287.69656598881124</v>
      </c>
      <c r="BJ10" s="62">
        <f t="shared" si="38"/>
        <v>221.9773436301067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301.96492023616713</v>
      </c>
      <c r="S11" s="62">
        <f ca="1">AVERAGE(OFFSET($R$3,0,0,'Données projet'!$E$9+1,1))-AVERAGE(OFFSET($H$3,0,0,'Données projet'!$E$9+1,1))</f>
        <v>310.95287409903602</v>
      </c>
      <c r="T11" s="62">
        <f t="shared" si="34"/>
        <v>224.10083380795163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8.526315789473685</v>
      </c>
      <c r="AI11" s="14">
        <f>IF('Données projet'!$A$62&gt;35,AI10+AH11-AQ10,IF(A11&lt;'Données projet'!$A$62,$AF$205^A11,IF(A11='Données projet'!$A$62,'Données projet'!$B$62,AI10+AH11-AQ10)))</f>
        <v>8.5176955198213591</v>
      </c>
      <c r="AJ11" s="14">
        <f>AI11*VLOOKUP('Données projet'!$B$10,Paramètres!$A$1:$I$89,3,0)*VLOOKUP('Données projet'!$B$10,Paramètres!$A$1:$I$89,5,0)</f>
        <v>4.7613917955801393</v>
      </c>
      <c r="AK11" s="14">
        <f t="shared" si="35"/>
        <v>1.8297752795633417</v>
      </c>
      <c r="AL11" s="22">
        <f t="shared" si="4"/>
        <v>11.479615989208229</v>
      </c>
      <c r="AM11" s="62">
        <f t="shared" si="5"/>
        <v>304.81294932254156</v>
      </c>
      <c r="AN11" s="62">
        <f ca="1">AVERAGE(OFFSET($AM$3,0,0,'Données projet'!$E$10+1,1))-AVERAGE(OFFSET($H$3,0,0,'Données projet'!$E$10+1,1))</f>
        <v>382.55387448074327</v>
      </c>
      <c r="AO11" s="62">
        <f t="shared" si="36"/>
        <v>476.29465646955543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5.5909090909090908</v>
      </c>
      <c r="BD11" s="13">
        <f>IF('Données projet'!$A$88&gt;35,BD10+BC11-BL10,IF(A11&lt;'Données projet'!$A$88,$BA$205^A11,IF(A11='Données projet'!$A$88,'Données projet'!$B$88,BD10+BC11-BL10)))</f>
        <v>5.7539422013952093</v>
      </c>
      <c r="BE11" s="14">
        <f>BD11*VLOOKUP('Données projet'!$B$11,Paramètres!$A$1:$I$89,3,0)*VLOOKUP('Données projet'!$B$11,Paramètres!$A$1:$I$89,5,0)</f>
        <v>3.4408574364343356</v>
      </c>
      <c r="BF11" s="14">
        <f t="shared" si="37"/>
        <v>1.3732535882427113</v>
      </c>
      <c r="BG11" s="22">
        <f t="shared" si="7"/>
        <v>8.3845767013125236</v>
      </c>
      <c r="BH11" s="62">
        <f t="shared" si="8"/>
        <v>301.71791003464585</v>
      </c>
      <c r="BI11" s="62">
        <f ca="1">AVERAGE(OFFSET($BH$3,0,0,'Données projet'!$E$11+1,1))-AVERAGE(OFFSET($H$3,0,0,'Données projet'!$E$11+1,1))</f>
        <v>287.69656598881124</v>
      </c>
      <c r="BJ11" s="62">
        <f t="shared" si="38"/>
        <v>221.9773436301067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304.35940071300303</v>
      </c>
      <c r="S12" s="62">
        <f ca="1">AVERAGE(OFFSET($R$3,0,0,'Données projet'!$E$9+1,1))-AVERAGE(OFFSET($H$3,0,0,'Données projet'!$E$9+1,1))</f>
        <v>310.95287409903602</v>
      </c>
      <c r="T12" s="62">
        <f t="shared" si="34"/>
        <v>224.10083380795163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8.526315789473685</v>
      </c>
      <c r="AI12" s="14">
        <f>IF('Données projet'!$A$62&gt;35,AI11+AH12-AQ11,IF(A12&lt;'Données projet'!$A$62,$AF$205^A12,IF(A12='Données projet'!$A$62,'Données projet'!$B$62,AI11+AH12-AQ11)))</f>
        <v>11.133004261541316</v>
      </c>
      <c r="AJ12" s="14">
        <f>AI12*VLOOKUP('Données projet'!$B$10,Paramètres!$A$1:$I$89,3,0)*VLOOKUP('Données projet'!$B$10,Paramètres!$A$1:$I$89,5,0)</f>
        <v>6.2233493822015964</v>
      </c>
      <c r="AK12" s="14">
        <f t="shared" si="35"/>
        <v>2.3182049730052579</v>
      </c>
      <c r="AL12" s="22">
        <f t="shared" si="4"/>
        <v>14.87654050198527</v>
      </c>
      <c r="AM12" s="62">
        <f t="shared" si="5"/>
        <v>308.2098738353186</v>
      </c>
      <c r="AN12" s="62">
        <f ca="1">AVERAGE(OFFSET($AM$3,0,0,'Données projet'!$E$10+1,1))-AVERAGE(OFFSET($H$3,0,0,'Données projet'!$E$10+1,1))</f>
        <v>382.55387448074327</v>
      </c>
      <c r="AO12" s="62">
        <f t="shared" si="36"/>
        <v>476.29465646955543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5.5909090909090908</v>
      </c>
      <c r="BD12" s="13">
        <f>IF('Données projet'!$A$88&gt;35,BD11+BC12-BL11,IF(A12&lt;'Données projet'!$A$88,$BA$205^A12,IF(A12='Données projet'!$A$88,'Données projet'!$B$88,BD11+BC12-BL11)))</f>
        <v>7.1607940284521145</v>
      </c>
      <c r="BE12" s="14">
        <f>BD12*VLOOKUP('Données projet'!$B$11,Paramètres!$A$1:$I$89,3,0)*VLOOKUP('Données projet'!$B$11,Paramètres!$A$1:$I$89,5,0)</f>
        <v>4.2821548290143649</v>
      </c>
      <c r="BF12" s="14">
        <f t="shared" si="37"/>
        <v>1.6660534544894132</v>
      </c>
      <c r="BG12" s="22">
        <f t="shared" si="7"/>
        <v>10.359796093769079</v>
      </c>
      <c r="BH12" s="62">
        <f t="shared" si="8"/>
        <v>303.69312942710241</v>
      </c>
      <c r="BI12" s="62">
        <f ca="1">AVERAGE(OFFSET($BH$3,0,0,'Données projet'!$E$11+1,1))-AVERAGE(OFFSET($H$3,0,0,'Données projet'!$E$11+1,1))</f>
        <v>287.69656598881124</v>
      </c>
      <c r="BJ12" s="62">
        <f t="shared" si="38"/>
        <v>221.9773436301067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307.42058941449875</v>
      </c>
      <c r="S13" s="62">
        <f ca="1">AVERAGE(OFFSET($R$3,0,0,'Données projet'!$E$9+1,1))-AVERAGE(OFFSET($H$3,0,0,'Données projet'!$E$9+1,1))</f>
        <v>310.95287409903602</v>
      </c>
      <c r="T13" s="62">
        <f t="shared" si="34"/>
        <v>224.10083380795163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8.526315789473685</v>
      </c>
      <c r="AI13" s="14">
        <f>IF('Données projet'!$A$62&gt;35,AI12+AH13-AQ12,IF(A13&lt;'Données projet'!$A$62,$AF$205^A13,IF(A13='Données projet'!$A$62,'Données projet'!$B$62,AI12+AH13-AQ12)))</f>
        <v>14.551328302246779</v>
      </c>
      <c r="AJ13" s="14">
        <f>AI13*VLOOKUP('Données projet'!$B$10,Paramètres!$A$1:$I$89,3,0)*VLOOKUP('Données projet'!$B$10,Paramètres!$A$1:$I$89,5,0)</f>
        <v>8.1341925209559491</v>
      </c>
      <c r="AK13" s="14">
        <f t="shared" si="35"/>
        <v>2.9370132807503975</v>
      </c>
      <c r="AL13" s="22">
        <f t="shared" si="4"/>
        <v>19.282350104638549</v>
      </c>
      <c r="AM13" s="62">
        <f t="shared" si="5"/>
        <v>312.61568343797188</v>
      </c>
      <c r="AN13" s="62">
        <f ca="1">AVERAGE(OFFSET($AM$3,0,0,'Données projet'!$E$10+1,1))-AVERAGE(OFFSET($H$3,0,0,'Données projet'!$E$10+1,1))</f>
        <v>382.55387448074327</v>
      </c>
      <c r="AO13" s="62">
        <f t="shared" si="36"/>
        <v>476.29465646955543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5.5909090909090908</v>
      </c>
      <c r="BD13" s="13">
        <f>IF('Données projet'!$A$88&gt;35,BD12+BC13-BL12,IF(A13&lt;'Données projet'!$A$88,$BA$205^A13,IF(A13='Données projet'!$A$88,'Données projet'!$B$88,BD12+BC13-BL12)))</f>
        <v>8.9116242956840761</v>
      </c>
      <c r="BE13" s="14">
        <f>BD13*VLOOKUP('Données projet'!$B$11,Paramètres!$A$1:$I$89,3,0)*VLOOKUP('Données projet'!$B$11,Paramètres!$A$1:$I$89,5,0)</f>
        <v>5.3291513288190782</v>
      </c>
      <c r="BF13" s="14">
        <f t="shared" si="37"/>
        <v>2.0212829858817885</v>
      </c>
      <c r="BG13" s="22">
        <f t="shared" si="7"/>
        <v>12.802006431437341</v>
      </c>
      <c r="BH13" s="62">
        <f t="shared" si="8"/>
        <v>306.13533976477066</v>
      </c>
      <c r="BI13" s="62">
        <f ca="1">AVERAGE(OFFSET($BH$3,0,0,'Données projet'!$E$11+1,1))-AVERAGE(OFFSET($H$3,0,0,'Données projet'!$E$11+1,1))</f>
        <v>287.69656598881124</v>
      </c>
      <c r="BJ13" s="62">
        <f t="shared" si="38"/>
        <v>221.9773436301067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311.33476117897868</v>
      </c>
      <c r="S14" s="62">
        <f ca="1">AVERAGE(OFFSET($R$3,0,0,'Données projet'!$E$9+1,1))-AVERAGE(OFFSET($H$3,0,0,'Données projet'!$E$9+1,1))</f>
        <v>310.95287409903602</v>
      </c>
      <c r="T14" s="62">
        <f t="shared" si="34"/>
        <v>224.10083380795163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8.526315789473685</v>
      </c>
      <c r="AI14" s="14">
        <f>IF('Données projet'!$A$62&gt;35,AI13+AH14-AQ13,IF(A14&lt;'Données projet'!$A$62,$AF$205^A14,IF(A14='Données projet'!$A$62,'Données projet'!$B$62,AI13+AH14-AQ13)))</f>
        <v>19.01922880701866</v>
      </c>
      <c r="AJ14" s="14">
        <f>AI14*VLOOKUP('Données projet'!$B$10,Paramètres!$A$1:$I$89,3,0)*VLOOKUP('Données projet'!$B$10,Paramètres!$A$1:$I$89,5,0)</f>
        <v>10.631748903123432</v>
      </c>
      <c r="AK14" s="14">
        <f t="shared" si="35"/>
        <v>3.7210027205323613</v>
      </c>
      <c r="AL14" s="22">
        <f t="shared" si="4"/>
        <v>24.997709077867171</v>
      </c>
      <c r="AM14" s="62">
        <f t="shared" si="5"/>
        <v>318.33104241120049</v>
      </c>
      <c r="AN14" s="62">
        <f ca="1">AVERAGE(OFFSET($AM$3,0,0,'Données projet'!$E$10+1,1))-AVERAGE(OFFSET($H$3,0,0,'Données projet'!$E$10+1,1))</f>
        <v>382.55387448074327</v>
      </c>
      <c r="AO14" s="62">
        <f t="shared" si="36"/>
        <v>476.29465646955543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5.5909090909090908</v>
      </c>
      <c r="BD14" s="13">
        <f>IF('Données projet'!$A$88&gt;35,BD13+BC14-BL13,IF(A14&lt;'Données projet'!$A$88,$BA$205^A14,IF(A14='Données projet'!$A$88,'Données projet'!$B$88,BD13+BC14-BL13)))</f>
        <v>11.090536506409412</v>
      </c>
      <c r="BE14" s="14">
        <f>BD14*VLOOKUP('Données projet'!$B$11,Paramètres!$A$1:$I$89,3,0)*VLOOKUP('Données projet'!$B$11,Paramètres!$A$1:$I$89,5,0)</f>
        <v>6.6321408308328289</v>
      </c>
      <c r="BF14" s="14">
        <f t="shared" si="37"/>
        <v>2.4522531963221348</v>
      </c>
      <c r="BG14" s="22">
        <f t="shared" si="7"/>
        <v>15.821986263961561</v>
      </c>
      <c r="BH14" s="62">
        <f t="shared" si="8"/>
        <v>309.15531959729486</v>
      </c>
      <c r="BI14" s="62">
        <f ca="1">AVERAGE(OFFSET($BH$3,0,0,'Données projet'!$E$11+1,1))-AVERAGE(OFFSET($H$3,0,0,'Données projet'!$E$11+1,1))</f>
        <v>287.69656598881124</v>
      </c>
      <c r="BJ14" s="62">
        <f t="shared" si="38"/>
        <v>221.9773436301067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316.3404009375538</v>
      </c>
      <c r="S15" s="62">
        <f ca="1">AVERAGE(OFFSET($R$3,0,0,'Données projet'!$E$9+1,1))-AVERAGE(OFFSET($H$3,0,0,'Données projet'!$E$9+1,1))</f>
        <v>310.95287409903602</v>
      </c>
      <c r="T15" s="62">
        <f t="shared" si="34"/>
        <v>224.10083380795163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8.526315789473685</v>
      </c>
      <c r="AI15" s="14">
        <f>IF('Données projet'!$A$62&gt;35,AI14+AH15-AQ14,IF(A15&lt;'Données projet'!$A$62,$AF$205^A15,IF(A15='Données projet'!$A$62,'Données projet'!$B$62,AI14+AH15-AQ14)))</f>
        <v>24.85897210895007</v>
      </c>
      <c r="AJ15" s="14">
        <f>AI15*VLOOKUP('Données projet'!$B$10,Paramètres!$A$1:$I$89,3,0)*VLOOKUP('Données projet'!$B$10,Paramètres!$A$1:$I$89,5,0)</f>
        <v>13.896165408903089</v>
      </c>
      <c r="AK15" s="14">
        <f t="shared" si="35"/>
        <v>4.7142657940830492</v>
      </c>
      <c r="AL15" s="22">
        <f t="shared" si="4"/>
        <v>32.413167678534187</v>
      </c>
      <c r="AM15" s="62">
        <f t="shared" si="5"/>
        <v>325.74650101186751</v>
      </c>
      <c r="AN15" s="62">
        <f ca="1">AVERAGE(OFFSET($AM$3,0,0,'Données projet'!$E$10+1,1))-AVERAGE(OFFSET($H$3,0,0,'Données projet'!$E$10+1,1))</f>
        <v>382.55387448074327</v>
      </c>
      <c r="AO15" s="62">
        <f t="shared" si="36"/>
        <v>476.29465646955543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5.5909090909090908</v>
      </c>
      <c r="BD15" s="13">
        <f>IF('Données projet'!$A$88&gt;35,BD14+BC15-BL14,IF(A15&lt;'Données projet'!$A$88,$BA$205^A15,IF(A15='Données projet'!$A$88,'Données projet'!$B$88,BD14+BC15-BL14)))</f>
        <v>13.802197659922571</v>
      </c>
      <c r="BE15" s="14">
        <f>BD15*VLOOKUP('Données projet'!$B$11,Paramètres!$A$1:$I$89,3,0)*VLOOKUP('Données projet'!$B$11,Paramètres!$A$1:$I$89,5,0)</f>
        <v>8.2537142006336985</v>
      </c>
      <c r="BF15" s="14">
        <f t="shared" si="37"/>
        <v>2.9751132230743558</v>
      </c>
      <c r="BG15" s="22">
        <f t="shared" si="7"/>
        <v>19.556874429624859</v>
      </c>
      <c r="BH15" s="62">
        <f t="shared" si="8"/>
        <v>312.8902077629582</v>
      </c>
      <c r="BI15" s="62">
        <f ca="1">AVERAGE(OFFSET($BH$3,0,0,'Données projet'!$E$11+1,1))-AVERAGE(OFFSET($H$3,0,0,'Données projet'!$E$11+1,1))</f>
        <v>287.69656598881124</v>
      </c>
      <c r="BJ15" s="62">
        <f t="shared" si="38"/>
        <v>221.9773436301067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322.74288029609767</v>
      </c>
      <c r="S16" s="62">
        <f ca="1">AVERAGE(OFFSET($R$3,0,0,'Données projet'!$E$9+1,1))-AVERAGE(OFFSET($H$3,0,0,'Données projet'!$E$9+1,1))</f>
        <v>310.95287409903602</v>
      </c>
      <c r="T16" s="62">
        <f t="shared" si="34"/>
        <v>224.10083380795163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8.526315789473685</v>
      </c>
      <c r="AI16" s="14">
        <f>IF('Données projet'!$A$62&gt;35,AI15+AH16-AQ15,IF(A16&lt;'Données projet'!$A$62,$AF$205^A16,IF(A16='Données projet'!$A$62,'Données projet'!$B$62,AI15+AH16-AQ15)))</f>
        <v>32.491774539539094</v>
      </c>
      <c r="AJ16" s="14">
        <f>AI16*VLOOKUP('Données projet'!$B$10,Paramètres!$A$1:$I$89,3,0)*VLOOKUP('Données projet'!$B$10,Paramètres!$A$1:$I$89,5,0)</f>
        <v>18.162901967602355</v>
      </c>
      <c r="AK16" s="14">
        <f t="shared" si="35"/>
        <v>5.9726648020514927</v>
      </c>
      <c r="AL16" s="22">
        <f t="shared" si="4"/>
        <v>42.036112123813787</v>
      </c>
      <c r="AM16" s="62">
        <f t="shared" si="5"/>
        <v>335.36944545714709</v>
      </c>
      <c r="AN16" s="62">
        <f ca="1">AVERAGE(OFFSET($AM$3,0,0,'Données projet'!$E$10+1,1))-AVERAGE(OFFSET($H$3,0,0,'Données projet'!$E$10+1,1))</f>
        <v>382.55387448074327</v>
      </c>
      <c r="AO16" s="62">
        <f t="shared" si="36"/>
        <v>476.29465646955543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5.5909090909090908</v>
      </c>
      <c r="BD16" s="13">
        <f>IF('Données projet'!$A$88&gt;35,BD15+BC16-BL15,IF(A16&lt;'Données projet'!$A$88,$BA$205^A16,IF(A16='Données projet'!$A$88,'Données projet'!$B$88,BD15+BC16-BL15)))</f>
        <v>17.17686607257264</v>
      </c>
      <c r="BE16" s="14">
        <f>BD16*VLOOKUP('Données projet'!$B$11,Paramètres!$A$1:$I$89,3,0)*VLOOKUP('Données projet'!$B$11,Paramètres!$A$1:$I$89,5,0)</f>
        <v>10.27176591139844</v>
      </c>
      <c r="BF16" s="14">
        <f t="shared" si="37"/>
        <v>3.609455460548272</v>
      </c>
      <c r="BG16" s="22">
        <f t="shared" si="7"/>
        <v>24.176460556140523</v>
      </c>
      <c r="BH16" s="62">
        <f t="shared" si="8"/>
        <v>317.50979388947383</v>
      </c>
      <c r="BI16" s="62">
        <f ca="1">AVERAGE(OFFSET($BH$3,0,0,'Données projet'!$E$11+1,1))-AVERAGE(OFFSET($H$3,0,0,'Données projet'!$E$11+1,1))</f>
        <v>287.69656598881124</v>
      </c>
      <c r="BJ16" s="62">
        <f t="shared" si="38"/>
        <v>221.9773436301067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330.93327083690383</v>
      </c>
      <c r="S17" s="62">
        <f ca="1">AVERAGE(OFFSET($R$3,0,0,'Données projet'!$E$9+1,1))-AVERAGE(OFFSET($H$3,0,0,'Données projet'!$E$9+1,1))</f>
        <v>310.95287409903602</v>
      </c>
      <c r="T17" s="62">
        <f t="shared" si="34"/>
        <v>224.10083380795163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8.526315789473685</v>
      </c>
      <c r="AI17" s="14">
        <f>IF('Données projet'!$A$62&gt;35,AI16+AH17-AQ16,IF(A17&lt;'Données projet'!$A$62,$AF$205^A17,IF(A17='Données projet'!$A$62,'Données projet'!$B$62,AI16+AH17-AQ16)))</f>
        <v>42.468184448710481</v>
      </c>
      <c r="AJ17" s="14">
        <f>AI17*VLOOKUP('Données projet'!$B$10,Paramètres!$A$1:$I$89,3,0)*VLOOKUP('Données projet'!$B$10,Paramètres!$A$1:$I$89,5,0)</f>
        <v>23.739715106829159</v>
      </c>
      <c r="AK17" s="14">
        <f t="shared" si="35"/>
        <v>7.5669736064602473</v>
      </c>
      <c r="AL17" s="22">
        <f t="shared" si="4"/>
        <v>54.525816175645708</v>
      </c>
      <c r="AM17" s="62">
        <f t="shared" si="5"/>
        <v>347.85914950897904</v>
      </c>
      <c r="AN17" s="62">
        <f ca="1">AVERAGE(OFFSET($AM$3,0,0,'Données projet'!$E$10+1,1))-AVERAGE(OFFSET($H$3,0,0,'Données projet'!$E$10+1,1))</f>
        <v>382.55387448074327</v>
      </c>
      <c r="AO17" s="62">
        <f t="shared" si="36"/>
        <v>476.29465646955543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5.5909090909090908</v>
      </c>
      <c r="BD17" s="13">
        <f>IF('Données projet'!$A$88&gt;35,BD16+BC17-BL16,IF(A17&lt;'Données projet'!$A$88,$BA$205^A17,IF(A17='Données projet'!$A$88,'Données projet'!$B$88,BD16+BC17-BL16)))</f>
        <v>21.376648512419013</v>
      </c>
      <c r="BE17" s="14">
        <f>BD17*VLOOKUP('Données projet'!$B$11,Paramètres!$A$1:$I$89,3,0)*VLOOKUP('Données projet'!$B$11,Paramètres!$A$1:$I$89,5,0)</f>
        <v>12.783235810426572</v>
      </c>
      <c r="BF17" s="14">
        <f t="shared" si="37"/>
        <v>4.3790497183898731</v>
      </c>
      <c r="BG17" s="22">
        <f t="shared" si="7"/>
        <v>29.890980629355308</v>
      </c>
      <c r="BH17" s="62">
        <f t="shared" si="8"/>
        <v>323.2243139626886</v>
      </c>
      <c r="BI17" s="62">
        <f ca="1">AVERAGE(OFFSET($BH$3,0,0,'Données projet'!$E$11+1,1))-AVERAGE(OFFSET($H$3,0,0,'Données projet'!$E$11+1,1))</f>
        <v>287.69656598881124</v>
      </c>
      <c r="BJ17" s="62">
        <f t="shared" si="38"/>
        <v>221.9773436301067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341.41246294557129</v>
      </c>
      <c r="S18" s="62">
        <f ca="1">AVERAGE(OFFSET($R$3,0,0,'Données projet'!$E$9+1,1))-AVERAGE(OFFSET($H$3,0,0,'Données projet'!$E$9+1,1))</f>
        <v>310.95287409903602</v>
      </c>
      <c r="T18" s="62">
        <f t="shared" si="34"/>
        <v>224.10083380795163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8.526315789473685</v>
      </c>
      <c r="AI18" s="14">
        <f>IF('Données projet'!$A$62&gt;35,AI17+AH18-AQ17,IF(A18&lt;'Données projet'!$A$62,$AF$205^A18,IF(A18='Données projet'!$A$62,'Données projet'!$B$62,AI17+AH18-AQ17)))</f>
        <v>55.507792846923991</v>
      </c>
      <c r="AJ18" s="14">
        <f>AI18*VLOOKUP('Données projet'!$B$10,Paramètres!$A$1:$I$89,3,0)*VLOOKUP('Données projet'!$B$10,Paramètres!$A$1:$I$89,5,0)</f>
        <v>31.028856201430514</v>
      </c>
      <c r="AK18" s="14">
        <f t="shared" si="35"/>
        <v>9.5868580371693835</v>
      </c>
      <c r="AL18" s="22">
        <f t="shared" si="4"/>
        <v>70.739035632228152</v>
      </c>
      <c r="AM18" s="62">
        <f t="shared" si="5"/>
        <v>364.07236896556145</v>
      </c>
      <c r="AN18" s="62">
        <f ca="1">AVERAGE(OFFSET($AM$3,0,0,'Données projet'!$E$10+1,1))-AVERAGE(OFFSET($H$3,0,0,'Données projet'!$E$10+1,1))</f>
        <v>382.55387448074327</v>
      </c>
      <c r="AO18" s="62">
        <f t="shared" si="36"/>
        <v>476.29465646955543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5.5909090909090908</v>
      </c>
      <c r="BD18" s="13">
        <f>IF('Données projet'!$A$88&gt;35,BD17+BC18-BL17,IF(A18&lt;'Données projet'!$A$88,$BA$205^A18,IF(A18='Données projet'!$A$88,'Données projet'!$B$88,BD17+BC18-BL17)))</f>
        <v>26.603287217402478</v>
      </c>
      <c r="BE18" s="14">
        <f>BD18*VLOOKUP('Données projet'!$B$11,Paramètres!$A$1:$I$89,3,0)*VLOOKUP('Données projet'!$B$11,Paramètres!$A$1:$I$89,5,0)</f>
        <v>15.908765756006684</v>
      </c>
      <c r="BF18" s="14">
        <f t="shared" si="37"/>
        <v>5.312733913945455</v>
      </c>
      <c r="BG18" s="22">
        <f t="shared" si="7"/>
        <v>36.960778591833304</v>
      </c>
      <c r="BH18" s="62">
        <f t="shared" si="8"/>
        <v>330.29411192516659</v>
      </c>
      <c r="BI18" s="62">
        <f ca="1">AVERAGE(OFFSET($BH$3,0,0,'Données projet'!$E$11+1,1))-AVERAGE(OFFSET($H$3,0,0,'Données projet'!$E$11+1,1))</f>
        <v>287.69656598881124</v>
      </c>
      <c r="BJ18" s="62">
        <f t="shared" si="38"/>
        <v>221.9773436301067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354.82208993415543</v>
      </c>
      <c r="S19" s="62">
        <f ca="1">AVERAGE(OFFSET($R$3,0,0,'Données projet'!$E$9+1,1))-AVERAGE(OFFSET($H$3,0,0,'Données projet'!$E$9+1,1))</f>
        <v>310.95287409903602</v>
      </c>
      <c r="T19" s="62">
        <f t="shared" si="34"/>
        <v>224.10083380795163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8.526315789473685</v>
      </c>
      <c r="AI19" s="14">
        <f>IF('Données projet'!$A$62&gt;35,AI18+AH19-AQ18,IF(A19&lt;'Données projet'!$A$62,$AF$205^A19,IF(A19='Données projet'!$A$62,'Données projet'!$B$62,AI18+AH19-AQ18)))</f>
        <v>72.551136968384853</v>
      </c>
      <c r="AJ19" s="14">
        <f>AI19*VLOOKUP('Données projet'!$B$10,Paramètres!$A$1:$I$89,3,0)*VLOOKUP('Données projet'!$B$10,Paramètres!$A$1:$I$89,5,0)</f>
        <v>40.55608556532713</v>
      </c>
      <c r="AK19" s="14">
        <f t="shared" si="35"/>
        <v>12.145918805157919</v>
      </c>
      <c r="AL19" s="22">
        <f t="shared" si="4"/>
        <v>91.78932427859479</v>
      </c>
      <c r="AM19" s="62">
        <f t="shared" si="5"/>
        <v>385.1226576119281</v>
      </c>
      <c r="AN19" s="62">
        <f ca="1">AVERAGE(OFFSET($AM$3,0,0,'Données projet'!$E$10+1,1))-AVERAGE(OFFSET($H$3,0,0,'Données projet'!$E$10+1,1))</f>
        <v>382.55387448074327</v>
      </c>
      <c r="AO19" s="62">
        <f t="shared" si="36"/>
        <v>476.29465646955543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5.5909090909090908</v>
      </c>
      <c r="BD19" s="13">
        <f>IF('Données projet'!$A$88&gt;35,BD18+BC19-BL18,IF(A19&lt;'Données projet'!$A$88,$BA$205^A19,IF(A19='Données projet'!$A$88,'Données projet'!$B$88,BD18+BC19-BL18)))</f>
        <v>33.107850856996748</v>
      </c>
      <c r="BE19" s="14">
        <f>BD19*VLOOKUP('Données projet'!$B$11,Paramètres!$A$1:$I$89,3,0)*VLOOKUP('Données projet'!$B$11,Paramètres!$A$1:$I$89,5,0)</f>
        <v>19.798494812484059</v>
      </c>
      <c r="BF19" s="14">
        <f t="shared" si="37"/>
        <v>6.4454946747588586</v>
      </c>
      <c r="BG19" s="22">
        <f t="shared" si="7"/>
        <v>45.70828169028141</v>
      </c>
      <c r="BH19" s="62">
        <f t="shared" si="8"/>
        <v>339.04161502361472</v>
      </c>
      <c r="BI19" s="62">
        <f ca="1">AVERAGE(OFFSET($BH$3,0,0,'Données projet'!$E$11+1,1))-AVERAGE(OFFSET($H$3,0,0,'Données projet'!$E$11+1,1))</f>
        <v>287.69656598881124</v>
      </c>
      <c r="BJ19" s="62">
        <f t="shared" si="38"/>
        <v>221.9773436301067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371.98418210076898</v>
      </c>
      <c r="S20" s="62">
        <f ca="1">AVERAGE(OFFSET($R$3,0,0,'Données projet'!$E$9+1,1))-AVERAGE(OFFSET($H$3,0,0,'Données projet'!$E$9+1,1))</f>
        <v>310.95287409903602</v>
      </c>
      <c r="T20" s="62">
        <f t="shared" si="34"/>
        <v>224.10083380795163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8.526315789473685</v>
      </c>
      <c r="AI20" s="14">
        <f>IF('Données projet'!$A$62&gt;35,AI19+AH20-AQ19,IF(A20&lt;'Données projet'!$A$62,$AF$205^A20,IF(A20='Données projet'!$A$62,'Données projet'!$B$62,AI19+AH20-AQ19)))</f>
        <v>94.827540520682575</v>
      </c>
      <c r="AJ20" s="14">
        <f>AI20*VLOOKUP('Données projet'!$B$10,Paramètres!$A$1:$I$89,3,0)*VLOOKUP('Données projet'!$B$10,Paramètres!$A$1:$I$89,5,0)</f>
        <v>53.008595151061563</v>
      </c>
      <c r="AK20" s="14">
        <f t="shared" si="35"/>
        <v>15.388080542084102</v>
      </c>
      <c r="AL20" s="22">
        <f t="shared" si="4"/>
        <v>119.12421016556203</v>
      </c>
      <c r="AM20" s="62">
        <f t="shared" si="5"/>
        <v>412.45754349889535</v>
      </c>
      <c r="AN20" s="62">
        <f ca="1">AVERAGE(OFFSET($AM$3,0,0,'Données projet'!$E$10+1,1))-AVERAGE(OFFSET($H$3,0,0,'Données projet'!$E$10+1,1))</f>
        <v>382.55387448074327</v>
      </c>
      <c r="AO20" s="62">
        <f t="shared" si="36"/>
        <v>476.29465646955543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5.5909090909090908</v>
      </c>
      <c r="BD20" s="13">
        <f>IF('Données projet'!$A$88&gt;35,BD19+BC20-BL19,IF(A20&lt;'Données projet'!$A$88,$BA$205^A20,IF(A20='Données projet'!$A$88,'Données projet'!$B$88,BD19+BC20-BL19)))</f>
        <v>41.202794955809431</v>
      </c>
      <c r="BE20" s="14">
        <f>BD20*VLOOKUP('Données projet'!$B$11,Paramètres!$A$1:$I$89,3,0)*VLOOKUP('Données projet'!$B$11,Paramètres!$A$1:$I$89,5,0)</f>
        <v>24.639271383574041</v>
      </c>
      <c r="BF20" s="14">
        <f t="shared" si="37"/>
        <v>7.8197783429910519</v>
      </c>
      <c r="BG20" s="22">
        <f t="shared" si="7"/>
        <v>56.532844940434195</v>
      </c>
      <c r="BH20" s="62">
        <f t="shared" si="8"/>
        <v>349.8661782737675</v>
      </c>
      <c r="BI20" s="62">
        <f ca="1">AVERAGE(OFFSET($BH$3,0,0,'Données projet'!$E$11+1,1))-AVERAGE(OFFSET($H$3,0,0,'Données projet'!$E$11+1,1))</f>
        <v>287.69656598881124</v>
      </c>
      <c r="BJ20" s="62">
        <f t="shared" si="38"/>
        <v>221.9773436301067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393.95202082891387</v>
      </c>
      <c r="S21" s="62">
        <f ca="1">AVERAGE(OFFSET($R$3,0,0,'Données projet'!$E$9+1,1))-AVERAGE(OFFSET($H$3,0,0,'Données projet'!$E$9+1,1))</f>
        <v>310.95287409903602</v>
      </c>
      <c r="T21" s="62">
        <f t="shared" si="34"/>
        <v>224.10083380795163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8.526315789473685</v>
      </c>
      <c r="AI21" s="14">
        <f>IF('Données projet'!$A$62&gt;35,AI20+AH21-AQ20,IF(A21&lt;'Données projet'!$A$62,$AF$205^A21,IF(A21='Données projet'!$A$62,'Données projet'!$B$62,AI20+AH21-AQ20)))</f>
        <v>123.94378388749713</v>
      </c>
      <c r="AJ21" s="14">
        <f>AI21*VLOOKUP('Données projet'!$B$10,Paramètres!$A$1:$I$89,3,0)*VLOOKUP('Données projet'!$B$10,Paramètres!$A$1:$I$89,5,0)</f>
        <v>69.284575193110896</v>
      </c>
      <c r="AK21" s="14">
        <f t="shared" si="35"/>
        <v>19.495686293334202</v>
      </c>
      <c r="AL21" s="22">
        <f t="shared" si="4"/>
        <v>154.62562208889187</v>
      </c>
      <c r="AM21" s="62">
        <f t="shared" si="5"/>
        <v>447.95895542222519</v>
      </c>
      <c r="AN21" s="62">
        <f ca="1">AVERAGE(OFFSET($AM$3,0,0,'Données projet'!$E$10+1,1))-AVERAGE(OFFSET($H$3,0,0,'Données projet'!$E$10+1,1))</f>
        <v>382.55387448074327</v>
      </c>
      <c r="AO21" s="62">
        <f t="shared" si="36"/>
        <v>476.29465646955543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5.5909090909090908</v>
      </c>
      <c r="BD21" s="13">
        <f>IF('Données projet'!$A$88&gt;35,BD20+BC21-BL20,IF(A21&lt;'Données projet'!$A$88,$BA$205^A21,IF(A21='Données projet'!$A$88,'Données projet'!$B$88,BD20+BC21-BL20)))</f>
        <v>51.276971117915458</v>
      </c>
      <c r="BE21" s="14">
        <f>BD21*VLOOKUP('Données projet'!$B$11,Paramètres!$A$1:$I$89,3,0)*VLOOKUP('Données projet'!$B$11,Paramètres!$A$1:$I$89,5,0)</f>
        <v>30.663628728513448</v>
      </c>
      <c r="BF21" s="14">
        <f t="shared" si="37"/>
        <v>9.4870815071768995</v>
      </c>
      <c r="BG21" s="22">
        <f t="shared" si="7"/>
        <v>69.929153660494023</v>
      </c>
      <c r="BH21" s="62">
        <f t="shared" si="8"/>
        <v>363.26248699382734</v>
      </c>
      <c r="BI21" s="62">
        <f ca="1">AVERAGE(OFFSET($BH$3,0,0,'Données projet'!$E$11+1,1))-AVERAGE(OFFSET($H$3,0,0,'Données projet'!$E$11+1,1))</f>
        <v>287.69656598881124</v>
      </c>
      <c r="BJ21" s="62">
        <f t="shared" si="38"/>
        <v>221.9773436301067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422.07536317537841</v>
      </c>
      <c r="S22" s="62">
        <f ca="1">AVERAGE(OFFSET($R$3,0,0,'Données projet'!$E$9+1,1))-AVERAGE(OFFSET($H$3,0,0,'Données projet'!$E$9+1,1))</f>
        <v>310.95287409903602</v>
      </c>
      <c r="T22" s="62">
        <f t="shared" si="34"/>
        <v>224.10083380795163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>
        <f>VLOOKUP(A22,'Données projet'!$A$61:$I$81,2,0)</f>
        <v>162</v>
      </c>
      <c r="AG22" s="13">
        <f>VLOOKUP(A22,'Données projet'!$A$61:$I$81,9,0)</f>
        <v>8.526315789473685</v>
      </c>
      <c r="AH22" s="13">
        <f t="array" ref="AH22">INDEX(AG:AG,MIN(IF(ISNUMBER(AG22:AG218),ROW(AG22:AG218),"")))</f>
        <v>8.526315789473685</v>
      </c>
      <c r="AI22" s="14">
        <f>IF('Données projet'!$A$62&gt;35,AI21+AH22-AQ21,IF(A22&lt;'Données projet'!$A$62,$AF$205^A22,IF(A22='Données projet'!$A$62,'Données projet'!$B$62,AI21+AH22-AQ21)))</f>
        <v>162</v>
      </c>
      <c r="AJ22" s="14">
        <f>AI22*VLOOKUP('Données projet'!$B$10,Paramètres!$A$1:$I$89,3,0)*VLOOKUP('Données projet'!$B$10,Paramètres!$A$1:$I$89,5,0)</f>
        <v>90.557999999999993</v>
      </c>
      <c r="AK22" s="14">
        <f t="shared" si="35"/>
        <v>24.699752708509138</v>
      </c>
      <c r="AL22" s="22">
        <f t="shared" si="4"/>
        <v>200.74058596732007</v>
      </c>
      <c r="AM22" s="62">
        <f t="shared" si="5"/>
        <v>494.07391930065342</v>
      </c>
      <c r="AN22" s="62">
        <f ca="1">AVERAGE(OFFSET($AM$3,0,0,'Données projet'!$E$10+1,1))-AVERAGE(OFFSET($H$3,0,0,'Données projet'!$E$10+1,1))</f>
        <v>382.55387448074327</v>
      </c>
      <c r="AO22" s="62">
        <f t="shared" si="36"/>
        <v>476.29465646955543</v>
      </c>
      <c r="AP22" s="16">
        <f>IF(ISNA(VLOOKUP(A22,'Données projet'!$A$61:$I$81,3,0)),0,VLOOKUP(A22,'Données projet'!$A$61:$I$81,3,0))</f>
        <v>1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5.5909090909090908</v>
      </c>
      <c r="BD22" s="13">
        <f>IF('Données projet'!$A$88&gt;35,BD21+BC22-BL21,IF(A22&lt;'Données projet'!$A$88,$BA$205^A22,IF(A22='Données projet'!$A$88,'Données projet'!$B$88,BD21+BC22-BL21)))</f>
        <v>63.814306040343304</v>
      </c>
      <c r="BE22" s="14">
        <f>BD22*VLOOKUP('Données projet'!$B$11,Paramètres!$A$1:$I$89,3,0)*VLOOKUP('Données projet'!$B$11,Paramètres!$A$1:$I$89,5,0)</f>
        <v>38.160955012125299</v>
      </c>
      <c r="BF22" s="14">
        <f t="shared" si="37"/>
        <v>11.509880661066306</v>
      </c>
      <c r="BG22" s="22">
        <f t="shared" si="7"/>
        <v>86.510038797475374</v>
      </c>
      <c r="BH22" s="62">
        <f t="shared" si="8"/>
        <v>379.84337213080869</v>
      </c>
      <c r="BI22" s="62">
        <f ca="1">AVERAGE(OFFSET($BH$3,0,0,'Données projet'!$E$11+1,1))-AVERAGE(OFFSET($H$3,0,0,'Données projet'!$E$11+1,1))</f>
        <v>287.69656598881124</v>
      </c>
      <c r="BJ22" s="62">
        <f t="shared" si="38"/>
        <v>221.9773436301067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458.08410667645524</v>
      </c>
      <c r="S23" s="62">
        <f ca="1">AVERAGE(OFFSET($R$3,0,0,'Données projet'!$E$9+1,1))-AVERAGE(OFFSET($H$3,0,0,'Données projet'!$E$9+1,1))</f>
        <v>310.95287409903602</v>
      </c>
      <c r="T23" s="62">
        <f t="shared" si="34"/>
        <v>224.10083380795163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0.22000000000000003</v>
      </c>
      <c r="X23" s="78">
        <f>IF(ISNA(VLOOKUP(A23,'Données projet'!$A$35:$I$55,6,0)),0%,VLOOKUP(A23,'Données projet'!$A$35:$I$55,6,0)*VLOOKUP('Données projet'!$B$9,Paramètres!$A$1:$I$89,7,0))</f>
        <v>0.24750000000000003</v>
      </c>
      <c r="Y23" s="17">
        <f>IF(ISNA(VLOOKUP(A23,'Données projet'!$A$35:$I$55,7,0)),0%,VLOOKUP(A23,'Données projet'!$A$35:$I$55,7,0))</f>
        <v>0.15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28.833333333333332</v>
      </c>
      <c r="AI23" s="14">
        <f>IF('Données projet'!$A$62&gt;35,AI22+AH23-AQ22,IF(A23&lt;'Données projet'!$A$62,$AF$205^A23,IF(A23='Données projet'!$A$62,'Données projet'!$B$62,AI22+AH23-AQ22)))</f>
        <v>190.83333333333334</v>
      </c>
      <c r="AJ23" s="14">
        <f>AI23*VLOOKUP('Données projet'!$B$10,Paramètres!$A$1:$I$89,3,0)*VLOOKUP('Données projet'!$B$10,Paramètres!$A$1:$I$89,5,0)</f>
        <v>106.67583333333334</v>
      </c>
      <c r="AK23" s="14">
        <f t="shared" si="35"/>
        <v>28.546391754319739</v>
      </c>
      <c r="AL23" s="22">
        <f t="shared" si="4"/>
        <v>235.51204202766243</v>
      </c>
      <c r="AM23" s="62">
        <f t="shared" si="5"/>
        <v>528.84537536099572</v>
      </c>
      <c r="AN23" s="62">
        <f ca="1">AVERAGE(OFFSET($AM$3,0,0,'Données projet'!$E$10+1,1))-AVERAGE(OFFSET($H$3,0,0,'Données projet'!$E$10+1,1))</f>
        <v>382.55387448074327</v>
      </c>
      <c r="AO23" s="62">
        <f t="shared" si="36"/>
        <v>476.29465646955543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5.5909090909090908</v>
      </c>
      <c r="BD23" s="13">
        <f>IF('Données projet'!$A$88&gt;35,BD22+BC23-BL22,IF(A23&lt;'Données projet'!$A$88,$BA$205^A23,IF(A23='Données projet'!$A$88,'Données projet'!$B$88,BD22+BC23-BL22)))</f>
        <v>79.417047587426694</v>
      </c>
      <c r="BE23" s="14">
        <f>BD23*VLOOKUP('Données projet'!$B$11,Paramètres!$A$1:$I$89,3,0)*VLOOKUP('Données projet'!$B$11,Paramètres!$A$1:$I$89,5,0)</f>
        <v>47.49139445728116</v>
      </c>
      <c r="BF23" s="14">
        <f t="shared" si="37"/>
        <v>13.96397329692701</v>
      </c>
      <c r="BG23" s="22">
        <f t="shared" si="7"/>
        <v>107.03476550524589</v>
      </c>
      <c r="BH23" s="62">
        <f t="shared" si="8"/>
        <v>400.36809883857921</v>
      </c>
      <c r="BI23" s="62">
        <f ca="1">AVERAGE(OFFSET($BH$3,0,0,'Données projet'!$E$11+1,1))-AVERAGE(OFFSET($H$3,0,0,'Données projet'!$E$11+1,1))</f>
        <v>287.69656598881124</v>
      </c>
      <c r="BJ23" s="62">
        <f t="shared" si="38"/>
        <v>221.9773436301067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467.42729018925093</v>
      </c>
      <c r="S24" s="62">
        <f ca="1">AVERAGE(OFFSET($R$3,0,0,'Données projet'!$E$9+1,1))-AVERAGE(OFFSET($H$3,0,0,'Données projet'!$E$9+1,1))</f>
        <v>310.95287409903602</v>
      </c>
      <c r="T24" s="62">
        <f t="shared" si="34"/>
        <v>224.10083380795163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28.833333333333332</v>
      </c>
      <c r="AI24" s="14">
        <f>IF('Données projet'!$A$62&gt;35,AI23+AH24-AQ23,IF(A24&lt;'Données projet'!$A$62,$AF$205^A24,IF(A24='Données projet'!$A$62,'Données projet'!$B$62,AI23+AH24-AQ23)))</f>
        <v>219.66666666666669</v>
      </c>
      <c r="AJ24" s="14">
        <f>AI24*VLOOKUP('Données projet'!$B$10,Paramètres!$A$1:$I$89,3,0)*VLOOKUP('Données projet'!$B$10,Paramètres!$A$1:$I$89,5,0)</f>
        <v>122.79366666666668</v>
      </c>
      <c r="AK24" s="14">
        <f t="shared" si="35"/>
        <v>32.32570088253398</v>
      </c>
      <c r="AL24" s="22">
        <f t="shared" si="4"/>
        <v>270.16623181485778</v>
      </c>
      <c r="AM24" s="62">
        <f t="shared" si="5"/>
        <v>563.4995651481911</v>
      </c>
      <c r="AN24" s="62">
        <f ca="1">AVERAGE(OFFSET($AM$3,0,0,'Données projet'!$E$10+1,1))-AVERAGE(OFFSET($H$3,0,0,'Données projet'!$E$10+1,1))</f>
        <v>382.55387448074327</v>
      </c>
      <c r="AO24" s="62">
        <f t="shared" si="36"/>
        <v>476.29465646955543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5.5909090909090908</v>
      </c>
      <c r="BD24" s="13">
        <f>IF('Données projet'!$A$88&gt;35,BD23+BC24-BL23,IF(A24&lt;'Données projet'!$A$88,$BA$205^A24,IF(A24='Données projet'!$A$88,'Données projet'!$B$88,BD23+BC24-BL23)))</f>
        <v>98.834694582689295</v>
      </c>
      <c r="BE24" s="14">
        <f>BD24*VLOOKUP('Données projet'!$B$11,Paramètres!$A$1:$I$89,3,0)*VLOOKUP('Données projet'!$B$11,Paramètres!$A$1:$I$89,5,0)</f>
        <v>59.103147360448204</v>
      </c>
      <c r="BF24" s="14">
        <f t="shared" si="37"/>
        <v>16.94131815778756</v>
      </c>
      <c r="BG24" s="22">
        <f t="shared" si="7"/>
        <v>132.44411077759398</v>
      </c>
      <c r="BH24" s="62">
        <f t="shared" si="8"/>
        <v>425.77744411092726</v>
      </c>
      <c r="BI24" s="62">
        <f ca="1">AVERAGE(OFFSET($BH$3,0,0,'Données projet'!$E$11+1,1))-AVERAGE(OFFSET($H$3,0,0,'Données projet'!$E$11+1,1))</f>
        <v>287.69656598881124</v>
      </c>
      <c r="BJ24" s="62">
        <f t="shared" si="38"/>
        <v>221.9773436301067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476.75869306268868</v>
      </c>
      <c r="S25" s="62">
        <f ca="1">AVERAGE(OFFSET($R$3,0,0,'Données projet'!$E$9+1,1))-AVERAGE(OFFSET($H$3,0,0,'Données projet'!$E$9+1,1))</f>
        <v>310.95287409903602</v>
      </c>
      <c r="T25" s="62">
        <f t="shared" si="34"/>
        <v>224.10083380795163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28.833333333333332</v>
      </c>
      <c r="AI25" s="14">
        <f>IF('Données projet'!$A$62&gt;35,AI24+AH25-AQ24,IF(A25&lt;'Données projet'!$A$62,$AF$205^A25,IF(A25='Données projet'!$A$62,'Données projet'!$B$62,AI24+AH25-AQ24)))</f>
        <v>248.50000000000003</v>
      </c>
      <c r="AJ25" s="14">
        <f>AI25*VLOOKUP('Données projet'!$B$10,Paramètres!$A$1:$I$89,3,0)*VLOOKUP('Données projet'!$B$10,Paramètres!$A$1:$I$89,5,0)</f>
        <v>138.91150000000002</v>
      </c>
      <c r="AK25" s="14">
        <f t="shared" si="35"/>
        <v>36.047532265727178</v>
      </c>
      <c r="AL25" s="22">
        <f t="shared" si="4"/>
        <v>304.72031452947482</v>
      </c>
      <c r="AM25" s="62">
        <f t="shared" si="5"/>
        <v>598.05364786280813</v>
      </c>
      <c r="AN25" s="62">
        <f ca="1">AVERAGE(OFFSET($AM$3,0,0,'Données projet'!$E$10+1,1))-AVERAGE(OFFSET($H$3,0,0,'Données projet'!$E$10+1,1))</f>
        <v>382.55387448074327</v>
      </c>
      <c r="AO25" s="62">
        <f t="shared" si="36"/>
        <v>476.29465646955543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>
        <f>VLOOKUP(A25,'Données projet'!$A$87:$I$107,2,0)</f>
        <v>123</v>
      </c>
      <c r="BB25" s="13">
        <f>VLOOKUP(A25,'Données projet'!$A$87:$I$107,9,0)</f>
        <v>5.5909090909090908</v>
      </c>
      <c r="BC25" s="13">
        <f t="array" ref="BC25">INDEX(BB:BB,MIN(IF(ISNUMBER(BB25:BB221),ROW(BB25:BB221),"")))</f>
        <v>5.5909090909090908</v>
      </c>
      <c r="BD25" s="13">
        <f>IF('Données projet'!$A$88&gt;35,BD24+BC25-BL24,IF(A25&lt;'Données projet'!$A$88,$BA$205^A25,IF(A25='Données projet'!$A$88,'Données projet'!$B$88,BD24+BC25-BL24)))</f>
        <v>123</v>
      </c>
      <c r="BE25" s="14">
        <f>BD25*VLOOKUP('Données projet'!$B$11,Paramètres!$A$1:$I$89,3,0)*VLOOKUP('Données projet'!$B$11,Paramètres!$A$1:$I$89,5,0)</f>
        <v>73.554000000000016</v>
      </c>
      <c r="BF25" s="14">
        <f t="shared" si="37"/>
        <v>20.553481077376691</v>
      </c>
      <c r="BG25" s="22">
        <f t="shared" si="7"/>
        <v>163.90386287643108</v>
      </c>
      <c r="BH25" s="62">
        <f t="shared" si="8"/>
        <v>457.23719620976442</v>
      </c>
      <c r="BI25" s="62">
        <f ca="1">AVERAGE(OFFSET($BH$3,0,0,'Données projet'!$E$11+1,1))-AVERAGE(OFFSET($H$3,0,0,'Données projet'!$E$11+1,1))</f>
        <v>287.69656598881124</v>
      </c>
      <c r="BJ25" s="62">
        <f t="shared" si="38"/>
        <v>221.9773436301067</v>
      </c>
      <c r="BK25" s="16">
        <f>IF(ISNA(VLOOKUP(A25,'Données projet'!$A$87:$I$107,3,0)),0,VLOOKUP(A25,'Données projet'!$A$87:$I$107,3,0))</f>
        <v>1</v>
      </c>
      <c r="BL25" s="16">
        <f>IF(ISNA(VLOOKUP(A25,'Données projet'!$A$87:$I$107,4,0)),0,VLOOKUP(A25,'Données projet'!$A$87:$I$107,4,0))</f>
        <v>16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1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10.833198622733226</v>
      </c>
      <c r="BS25" s="24">
        <f t="shared" si="9"/>
        <v>10.833198622733226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486.07899978226311</v>
      </c>
      <c r="S26" s="62">
        <f ca="1">AVERAGE(OFFSET($R$3,0,0,'Données projet'!$E$9+1,1))-AVERAGE(OFFSET($H$3,0,0,'Données projet'!$E$9+1,1))</f>
        <v>310.95287409903602</v>
      </c>
      <c r="T26" s="62">
        <f t="shared" si="34"/>
        <v>224.10083380795163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28.833333333333332</v>
      </c>
      <c r="AI26" s="14">
        <f>IF('Données projet'!$A$62&gt;35,AI25+AH26-AQ25,IF(A26&lt;'Données projet'!$A$62,$AF$205^A26,IF(A26='Données projet'!$A$62,'Données projet'!$B$62,AI25+AH26-AQ25)))</f>
        <v>277.33333333333337</v>
      </c>
      <c r="AJ26" s="14">
        <f>AI26*VLOOKUP('Données projet'!$B$10,Paramètres!$A$1:$I$89,3,0)*VLOOKUP('Données projet'!$B$10,Paramètres!$A$1:$I$89,5,0)</f>
        <v>155.02933333333334</v>
      </c>
      <c r="AK26" s="14">
        <f t="shared" si="35"/>
        <v>39.719316712120367</v>
      </c>
      <c r="AL26" s="22">
        <f t="shared" si="4"/>
        <v>339.1872321624985</v>
      </c>
      <c r="AM26" s="62">
        <f t="shared" si="5"/>
        <v>632.52056549583176</v>
      </c>
      <c r="AN26" s="62">
        <f ca="1">AVERAGE(OFFSET($AM$3,0,0,'Données projet'!$E$10+1,1))-AVERAGE(OFFSET($H$3,0,0,'Données projet'!$E$10+1,1))</f>
        <v>382.55387448074327</v>
      </c>
      <c r="AO26" s="62">
        <f t="shared" si="36"/>
        <v>476.29465646955543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12.333333333333334</v>
      </c>
      <c r="BD26" s="13">
        <f>IF('Données projet'!$A$88&gt;35,BD25+BC26-BL25,IF(A26&lt;'Données projet'!$A$88,$BA$205^A26,IF(A26='Données projet'!$A$88,'Données projet'!$B$88,BD25+BC26-BL25)))</f>
        <v>119.33333333333334</v>
      </c>
      <c r="BE26" s="14">
        <f>BD26*VLOOKUP('Données projet'!$B$11,Paramètres!$A$1:$I$89,3,0)*VLOOKUP('Données projet'!$B$11,Paramètres!$A$1:$I$89,5,0)</f>
        <v>71.361333333333349</v>
      </c>
      <c r="BF26" s="14">
        <f t="shared" si="37"/>
        <v>20.011144716858571</v>
      </c>
      <c r="BG26" s="22">
        <f t="shared" si="7"/>
        <v>159.14039927075092</v>
      </c>
      <c r="BH26" s="62">
        <f t="shared" si="8"/>
        <v>452.47373260408426</v>
      </c>
      <c r="BI26" s="62">
        <f ca="1">AVERAGE(OFFSET($BH$3,0,0,'Données projet'!$E$11+1,1))-AVERAGE(OFFSET($H$3,0,0,'Données projet'!$E$11+1,1))</f>
        <v>287.69656598881124</v>
      </c>
      <c r="BJ26" s="62">
        <f t="shared" si="38"/>
        <v>221.9773436301067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7.6602282080754316</v>
      </c>
      <c r="BS26" s="24">
        <f t="shared" si="9"/>
        <v>7.6602282080754316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495.38882314153864</v>
      </c>
      <c r="S27" s="62">
        <f ca="1">AVERAGE(OFFSET($R$3,0,0,'Données projet'!$E$9+1,1))-AVERAGE(OFFSET($H$3,0,0,'Données projet'!$E$9+1,1))</f>
        <v>310.95287409903602</v>
      </c>
      <c r="T27" s="62">
        <f t="shared" si="34"/>
        <v>224.10083380795163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28.833333333333332</v>
      </c>
      <c r="AI27" s="14">
        <f>IF('Données projet'!$A$62&gt;35,AI26+AH27-AQ26,IF(A27&lt;'Données projet'!$A$62,$AF$205^A27,IF(A27='Données projet'!$A$62,'Données projet'!$B$62,AI26+AH27-AQ26)))</f>
        <v>306.16666666666669</v>
      </c>
      <c r="AJ27" s="14">
        <f>AI27*VLOOKUP('Données projet'!$B$10,Paramètres!$A$1:$I$89,3,0)*VLOOKUP('Données projet'!$B$10,Paramètres!$A$1:$I$89,5,0)</f>
        <v>171.14716666666669</v>
      </c>
      <c r="AK27" s="14">
        <f t="shared" si="35"/>
        <v>43.346850105371793</v>
      </c>
      <c r="AL27" s="22">
        <f t="shared" si="4"/>
        <v>373.57707921130037</v>
      </c>
      <c r="AM27" s="62">
        <f t="shared" si="5"/>
        <v>666.91041254463369</v>
      </c>
      <c r="AN27" s="62">
        <f ca="1">AVERAGE(OFFSET($AM$3,0,0,'Données projet'!$E$10+1,1))-AVERAGE(OFFSET($H$3,0,0,'Données projet'!$E$10+1,1))</f>
        <v>382.55387448074327</v>
      </c>
      <c r="AO27" s="62">
        <f t="shared" si="36"/>
        <v>476.29465646955543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12.333333333333334</v>
      </c>
      <c r="BD27" s="13">
        <f>IF('Données projet'!$A$88&gt;35,BD26+BC27-BL26,IF(A27&lt;'Données projet'!$A$88,$BA$205^A27,IF(A27='Données projet'!$A$88,'Données projet'!$B$88,BD26+BC27-BL26)))</f>
        <v>131.66666666666669</v>
      </c>
      <c r="BE27" s="14">
        <f>BD27*VLOOKUP('Données projet'!$B$11,Paramètres!$A$1:$I$89,3,0)*VLOOKUP('Données projet'!$B$11,Paramètres!$A$1:$I$89,5,0)</f>
        <v>78.736666666666679</v>
      </c>
      <c r="BF27" s="14">
        <f t="shared" si="37"/>
        <v>21.828006984037064</v>
      </c>
      <c r="BG27" s="22">
        <f t="shared" si="7"/>
        <v>175.15013994164235</v>
      </c>
      <c r="BH27" s="62">
        <f t="shared" si="8"/>
        <v>468.48347327497567</v>
      </c>
      <c r="BI27" s="62">
        <f ca="1">AVERAGE(OFFSET($BH$3,0,0,'Données projet'!$E$11+1,1))-AVERAGE(OFFSET($H$3,0,0,'Données projet'!$E$11+1,1))</f>
        <v>287.69656598881124</v>
      </c>
      <c r="BJ27" s="62">
        <f t="shared" si="38"/>
        <v>221.9773436301067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5.416599311366614</v>
      </c>
      <c r="BS27" s="24">
        <f t="shared" si="9"/>
        <v>5.416599311366614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504.68871478129415</v>
      </c>
      <c r="S28" s="62">
        <f ca="1">AVERAGE(OFFSET($R$3,0,0,'Données projet'!$E$9+1,1))-AVERAGE(OFFSET($H$3,0,0,'Données projet'!$E$9+1,1))</f>
        <v>310.95287409903602</v>
      </c>
      <c r="T28" s="62">
        <f t="shared" si="34"/>
        <v>224.10083380795163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335</v>
      </c>
      <c r="AG28" s="13">
        <f>VLOOKUP(A28,'Données projet'!$A$61:$I$81,9,0)</f>
        <v>28.833333333333332</v>
      </c>
      <c r="AH28" s="13">
        <f t="array" ref="AH28">INDEX(AG:AG,MIN(IF(ISNUMBER(AG28:AG224),ROW(AG28:AG224),"")))</f>
        <v>28.833333333333332</v>
      </c>
      <c r="AI28" s="14">
        <f>IF('Données projet'!$A$62&gt;35,AI27+AH28-AQ27,IF(A28&lt;'Données projet'!$A$62,$AF$205^A28,IF(A28='Données projet'!$A$62,'Données projet'!$B$62,AI27+AH28-AQ27)))</f>
        <v>335</v>
      </c>
      <c r="AJ28" s="14">
        <f>AI28*VLOOKUP('Données projet'!$B$10,Paramètres!$A$1:$I$89,3,0)*VLOOKUP('Données projet'!$B$10,Paramètres!$A$1:$I$89,5,0)</f>
        <v>187.26500000000001</v>
      </c>
      <c r="AK28" s="14">
        <f t="shared" si="35"/>
        <v>46.934773872544483</v>
      </c>
      <c r="AL28" s="22">
        <f t="shared" si="4"/>
        <v>407.89793949468162</v>
      </c>
      <c r="AM28" s="62">
        <f t="shared" si="5"/>
        <v>701.23127282801488</v>
      </c>
      <c r="AN28" s="62">
        <f ca="1">AVERAGE(OFFSET($AM$3,0,0,'Données projet'!$E$10+1,1))-AVERAGE(OFFSET($H$3,0,0,'Données projet'!$E$10+1,1))</f>
        <v>382.55387448074327</v>
      </c>
      <c r="AO28" s="62">
        <f t="shared" si="36"/>
        <v>476.29465646955543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0.13750000000000001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0.75</v>
      </c>
      <c r="AU28" s="23">
        <f>EXP(-LN(2)/35)*AU27+(1-EXP(-LN(2)/35))/(LN(2)/35)*AQ28*AR28*VLOOKUP('Données projet'!$B$10,Paramètres!$A$1:$I$89,3,0)*0.475*44/12</f>
        <v>5.5060052646359701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25.633173099850424</v>
      </c>
      <c r="AX28" s="23">
        <f t="shared" si="6"/>
        <v>31.139178364486394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144</v>
      </c>
      <c r="BB28" s="13">
        <f>VLOOKUP(A28,'Données projet'!$A$87:$I$107,9,0)</f>
        <v>12.333333333333334</v>
      </c>
      <c r="BC28" s="13">
        <f t="array" ref="BC28">INDEX(BB:BB,MIN(IF(ISNUMBER(BB28:BB224),ROW(BB28:BB224),"")))</f>
        <v>12.333333333333334</v>
      </c>
      <c r="BD28" s="13">
        <f>IF('Données projet'!$A$88&gt;35,BD27+BC28-BL27,IF(A28&lt;'Données projet'!$A$88,$BA$205^A28,IF(A28='Données projet'!$A$88,'Données projet'!$B$88,BD27+BC28-BL27)))</f>
        <v>144.00000000000003</v>
      </c>
      <c r="BE28" s="14">
        <f>BD28*VLOOKUP('Données projet'!$B$11,Paramètres!$A$1:$I$89,3,0)*VLOOKUP('Données projet'!$B$11,Paramètres!$A$1:$I$89,5,0)</f>
        <v>86.112000000000009</v>
      </c>
      <c r="BF28" s="14">
        <f t="shared" si="37"/>
        <v>23.625136642852297</v>
      </c>
      <c r="BG28" s="22">
        <f t="shared" si="7"/>
        <v>191.12551298630106</v>
      </c>
      <c r="BH28" s="62">
        <f t="shared" si="8"/>
        <v>484.4588463196344</v>
      </c>
      <c r="BI28" s="62">
        <f ca="1">AVERAGE(OFFSET($BH$3,0,0,'Données projet'!$E$11+1,1))-AVERAGE(OFFSET($H$3,0,0,'Données projet'!$E$11+1,1))</f>
        <v>287.69656598881124</v>
      </c>
      <c r="BJ28" s="62">
        <f t="shared" si="38"/>
        <v>221.9773436301067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17</v>
      </c>
      <c r="BM28" s="17">
        <f>IF(ISNA(VLOOKUP(A28,'Données projet'!$A$87:$I$107,5,0)),0%,VLOOKUP(A28,'Données projet'!$A$87:$I$107,5,0)*VLOOKUP('Données projet'!$B$11,Paramètres!$A$1:$I$89,7,0))</f>
        <v>9.0000000000000011E-2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0.8</v>
      </c>
      <c r="BP28" s="23">
        <f>EXP(-LN(2)/35)*BP27+(1-EXP(-LN(2)/35))/(LN(2)/35)*BL28*BM28*VLOOKUP('Données projet'!$B$11,Paramètres!$A$1:$I$89,3,0)*0.475*44/12</f>
        <v>1.2137268828598531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13.038332933360959</v>
      </c>
      <c r="BS28" s="24">
        <f t="shared" si="9"/>
        <v>14.252059816220811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513.97917377376575</v>
      </c>
      <c r="S29" s="62">
        <f ca="1">AVERAGE(OFFSET($R$3,0,0,'Données projet'!$E$9+1,1))-AVERAGE(OFFSET($H$3,0,0,'Données projet'!$E$9+1,1))</f>
        <v>310.95287409903602</v>
      </c>
      <c r="T29" s="62">
        <f t="shared" si="34"/>
        <v>224.10083380795163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28</v>
      </c>
      <c r="AI29" s="14">
        <f>IF('Données projet'!$A$62&gt;35,AI28+AH29-AQ28,IF(A29&lt;'Données projet'!$A$62,$AF$205^A29,IF(A29='Données projet'!$A$62,'Données projet'!$B$62,AI28+AH29-AQ28)))</f>
        <v>309</v>
      </c>
      <c r="AJ29" s="14">
        <f>AI29*VLOOKUP('Données projet'!$B$10,Paramètres!$A$1:$I$89,3,0)*VLOOKUP('Données projet'!$B$10,Paramètres!$A$1:$I$89,5,0)</f>
        <v>172.73100000000002</v>
      </c>
      <c r="AK29" s="14">
        <f t="shared" si="35"/>
        <v>43.701108252019125</v>
      </c>
      <c r="AL29" s="22">
        <f t="shared" si="4"/>
        <v>376.9525885389333</v>
      </c>
      <c r="AM29" s="62">
        <f t="shared" si="5"/>
        <v>670.28592187226661</v>
      </c>
      <c r="AN29" s="62">
        <f ca="1">AVERAGE(OFFSET($AM$3,0,0,'Données projet'!$E$10+1,1))-AVERAGE(OFFSET($H$3,0,0,'Données projet'!$E$10+1,1))</f>
        <v>382.55387448074327</v>
      </c>
      <c r="AO29" s="62">
        <f t="shared" si="36"/>
        <v>476.29465646955543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5.3980358597280622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18.125390522232831</v>
      </c>
      <c r="AX29" s="23">
        <f t="shared" si="6"/>
        <v>23.523426381960892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13.4</v>
      </c>
      <c r="BD29" s="13">
        <f>IF('Données projet'!$A$88&gt;35,BD28+BC29-BL28,IF(A29&lt;'Données projet'!$A$88,$BA$205^A29,IF(A29='Données projet'!$A$88,'Données projet'!$B$88,BD28+BC29-BL28)))</f>
        <v>140.40000000000003</v>
      </c>
      <c r="BE29" s="14">
        <f>BD29*VLOOKUP('Données projet'!$B$11,Paramètres!$A$1:$I$89,3,0)*VLOOKUP('Données projet'!$B$11,Paramètres!$A$1:$I$89,5,0)</f>
        <v>83.959200000000024</v>
      </c>
      <c r="BF29" s="14">
        <f t="shared" si="37"/>
        <v>23.102490880810642</v>
      </c>
      <c r="BG29" s="22">
        <f t="shared" si="7"/>
        <v>186.46577828407854</v>
      </c>
      <c r="BH29" s="62">
        <f t="shared" si="8"/>
        <v>479.79911161741188</v>
      </c>
      <c r="BI29" s="62">
        <f ca="1">AVERAGE(OFFSET($BH$3,0,0,'Données projet'!$E$11+1,1))-AVERAGE(OFFSET($H$3,0,0,'Données projet'!$E$11+1,1))</f>
        <v>287.69656598881124</v>
      </c>
      <c r="BJ29" s="62">
        <f t="shared" si="38"/>
        <v>221.9773436301067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1.1899264389872712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9.2194936325474242</v>
      </c>
      <c r="BS29" s="24">
        <f t="shared" si="9"/>
        <v>10.409420071534695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523.260653683383</v>
      </c>
      <c r="S30" s="62">
        <f ca="1">AVERAGE(OFFSET($R$3,0,0,'Données projet'!$E$9+1,1))-AVERAGE(OFFSET($H$3,0,0,'Données projet'!$E$9+1,1))</f>
        <v>310.95287409903602</v>
      </c>
      <c r="T30" s="62">
        <f t="shared" si="34"/>
        <v>224.10083380795163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28</v>
      </c>
      <c r="AI30" s="14">
        <f>IF('Données projet'!$A$62&gt;35,AI29+AH30-AQ29,IF(A30&lt;'Données projet'!$A$62,$AF$205^A30,IF(A30='Données projet'!$A$62,'Données projet'!$B$62,AI29+AH30-AQ29)))</f>
        <v>337</v>
      </c>
      <c r="AJ30" s="14">
        <f>AI30*VLOOKUP('Données projet'!$B$10,Paramètres!$A$1:$I$89,3,0)*VLOOKUP('Données projet'!$B$10,Paramètres!$A$1:$I$89,5,0)</f>
        <v>188.38300000000001</v>
      </c>
      <c r="AK30" s="14">
        <f t="shared" si="35"/>
        <v>47.182279474248382</v>
      </c>
      <c r="AL30" s="22">
        <f t="shared" si="4"/>
        <v>410.27619508431599</v>
      </c>
      <c r="AM30" s="62">
        <f t="shared" si="5"/>
        <v>703.60952841764924</v>
      </c>
      <c r="AN30" s="62">
        <f ca="1">AVERAGE(OFFSET($AM$3,0,0,'Données projet'!$E$10+1,1))-AVERAGE(OFFSET($H$3,0,0,'Données projet'!$E$10+1,1))</f>
        <v>382.55387448074327</v>
      </c>
      <c r="AO30" s="62">
        <f t="shared" si="36"/>
        <v>476.29465646955543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5.2921836689955644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12.816586549925214</v>
      </c>
      <c r="AX30" s="23">
        <f t="shared" si="6"/>
        <v>18.108770218920778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13.4</v>
      </c>
      <c r="BD30" s="13">
        <f>IF('Données projet'!$A$88&gt;35,BD29+BC30-BL29,IF(A30&lt;'Données projet'!$A$88,$BA$205^A30,IF(A30='Données projet'!$A$88,'Données projet'!$B$88,BD29+BC30-BL29)))</f>
        <v>153.80000000000004</v>
      </c>
      <c r="BE30" s="14">
        <f>BD30*VLOOKUP('Données projet'!$B$11,Paramètres!$A$1:$I$89,3,0)*VLOOKUP('Données projet'!$B$11,Paramètres!$A$1:$I$89,5,0)</f>
        <v>91.972400000000022</v>
      </c>
      <c r="BF30" s="14">
        <f t="shared" si="37"/>
        <v>25.040318527820091</v>
      </c>
      <c r="BG30" s="22">
        <f t="shared" si="7"/>
        <v>203.79715143595334</v>
      </c>
      <c r="BH30" s="62">
        <f t="shared" si="8"/>
        <v>497.13048476928668</v>
      </c>
      <c r="BI30" s="62">
        <f ca="1">AVERAGE(OFFSET($BH$3,0,0,'Données projet'!$E$11+1,1))-AVERAGE(OFFSET($H$3,0,0,'Données projet'!$E$11+1,1))</f>
        <v>287.69656598881124</v>
      </c>
      <c r="BJ30" s="62">
        <f t="shared" si="38"/>
        <v>221.9773436301067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1.1665927073021936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6.5191664666804803</v>
      </c>
      <c r="BS30" s="24">
        <f t="shared" si="9"/>
        <v>7.6857591739826736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532.53356842626727</v>
      </c>
      <c r="S31" s="62">
        <f ca="1">AVERAGE(OFFSET($R$3,0,0,'Données projet'!$E$9+1,1))-AVERAGE(OFFSET($H$3,0,0,'Données projet'!$E$9+1,1))</f>
        <v>310.95287409903602</v>
      </c>
      <c r="T31" s="62">
        <f t="shared" si="34"/>
        <v>224.10083380795163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28</v>
      </c>
      <c r="AI31" s="14">
        <f>IF('Données projet'!$A$62&gt;35,AI30+AH31-AQ30,IF(A31&lt;'Données projet'!$A$62,$AF$205^A31,IF(A31='Données projet'!$A$62,'Données projet'!$B$62,AI30+AH31-AQ30)))</f>
        <v>365</v>
      </c>
      <c r="AJ31" s="14">
        <f>AI31*VLOOKUP('Données projet'!$B$10,Paramètres!$A$1:$I$89,3,0)*VLOOKUP('Données projet'!$B$10,Paramètres!$A$1:$I$89,5,0)</f>
        <v>204.035</v>
      </c>
      <c r="AK31" s="14">
        <f t="shared" si="35"/>
        <v>50.629905099971396</v>
      </c>
      <c r="AL31" s="22">
        <f t="shared" si="4"/>
        <v>443.54137638245015</v>
      </c>
      <c r="AM31" s="62">
        <f t="shared" si="5"/>
        <v>736.87470971578341</v>
      </c>
      <c r="AN31" s="62">
        <f ca="1">AVERAGE(OFFSET($AM$3,0,0,'Données projet'!$E$10+1,1))-AVERAGE(OFFSET($H$3,0,0,'Données projet'!$E$10+1,1))</f>
        <v>382.55387448074327</v>
      </c>
      <c r="AO31" s="62">
        <f t="shared" si="36"/>
        <v>476.29465646955543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5.1884071751598695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9.0626952611164171</v>
      </c>
      <c r="AX31" s="23">
        <f t="shared" si="6"/>
        <v>14.251102436276287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13.4</v>
      </c>
      <c r="BD31" s="13">
        <f>IF('Données projet'!$A$88&gt;35,BD30+BC31-BL30,IF(A31&lt;'Données projet'!$A$88,$BA$205^A31,IF(A31='Données projet'!$A$88,'Données projet'!$B$88,BD30+BC31-BL30)))</f>
        <v>167.20000000000005</v>
      </c>
      <c r="BE31" s="14">
        <f>BD31*VLOOKUP('Données projet'!$B$11,Paramètres!$A$1:$I$89,3,0)*VLOOKUP('Données projet'!$B$11,Paramètres!$A$1:$I$89,5,0)</f>
        <v>99.985600000000034</v>
      </c>
      <c r="BF31" s="14">
        <f t="shared" si="37"/>
        <v>26.958566918169435</v>
      </c>
      <c r="BG31" s="22">
        <f t="shared" si="7"/>
        <v>221.09442404914515</v>
      </c>
      <c r="BH31" s="62">
        <f t="shared" si="8"/>
        <v>514.42775738247849</v>
      </c>
      <c r="BI31" s="62">
        <f ca="1">AVERAGE(OFFSET($BH$3,0,0,'Données projet'!$E$11+1,1))-AVERAGE(OFFSET($H$3,0,0,'Données projet'!$E$11+1,1))</f>
        <v>287.69656598881124</v>
      </c>
      <c r="BJ31" s="62">
        <f t="shared" si="38"/>
        <v>221.9773436301067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1.143716535863289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4.609746816273713</v>
      </c>
      <c r="BS31" s="24">
        <f t="shared" si="9"/>
        <v>5.7534633521370022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541.79829717248401</v>
      </c>
      <c r="S32" s="62">
        <f ca="1">AVERAGE(OFFSET($R$3,0,0,'Données projet'!$E$9+1,1))-AVERAGE(OFFSET($H$3,0,0,'Données projet'!$E$9+1,1))</f>
        <v>310.95287409903602</v>
      </c>
      <c r="T32" s="62">
        <f t="shared" si="34"/>
        <v>224.10083380795163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28</v>
      </c>
      <c r="AI32" s="14">
        <f>IF('Données projet'!$A$62&gt;35,AI31+AH32-AQ31,IF(A32&lt;'Données projet'!$A$62,$AF$205^A32,IF(A32='Données projet'!$A$62,'Données projet'!$B$62,AI31+AH32-AQ31)))</f>
        <v>393</v>
      </c>
      <c r="AJ32" s="14">
        <f>AI32*VLOOKUP('Données projet'!$B$10,Paramètres!$A$1:$I$89,3,0)*VLOOKUP('Données projet'!$B$10,Paramètres!$A$1:$I$89,5,0)</f>
        <v>219.68700000000001</v>
      </c>
      <c r="AK32" s="14">
        <f t="shared" si="35"/>
        <v>54.046851081096591</v>
      </c>
      <c r="AL32" s="22">
        <f t="shared" si="4"/>
        <v>476.75312396624321</v>
      </c>
      <c r="AM32" s="62">
        <f t="shared" si="5"/>
        <v>770.08645729957652</v>
      </c>
      <c r="AN32" s="62">
        <f ca="1">AVERAGE(OFFSET($AM$3,0,0,'Données projet'!$E$10+1,1))-AVERAGE(OFFSET($H$3,0,0,'Données projet'!$E$10+1,1))</f>
        <v>382.55387448074327</v>
      </c>
      <c r="AO32" s="62">
        <f t="shared" si="36"/>
        <v>476.29465646955543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5.0866656750708819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6.4082932749626078</v>
      </c>
      <c r="AX32" s="23">
        <f t="shared" si="6"/>
        <v>11.494958950033489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13.4</v>
      </c>
      <c r="BD32" s="13">
        <f>IF('Données projet'!$A$88&gt;35,BD31+BC32-BL31,IF(A32&lt;'Données projet'!$A$88,$BA$205^A32,IF(A32='Données projet'!$A$88,'Données projet'!$B$88,BD31+BC32-BL31)))</f>
        <v>180.60000000000005</v>
      </c>
      <c r="BE32" s="14">
        <f>BD32*VLOOKUP('Données projet'!$B$11,Paramètres!$A$1:$I$89,3,0)*VLOOKUP('Données projet'!$B$11,Paramètres!$A$1:$I$89,5,0)</f>
        <v>107.99880000000003</v>
      </c>
      <c r="BF32" s="14">
        <f t="shared" si="37"/>
        <v>28.85898360070161</v>
      </c>
      <c r="BG32" s="22">
        <f t="shared" si="7"/>
        <v>238.36063977122203</v>
      </c>
      <c r="BH32" s="62">
        <f t="shared" si="8"/>
        <v>531.69397310455531</v>
      </c>
      <c r="BI32" s="62">
        <f ca="1">AVERAGE(OFFSET($BH$3,0,0,'Données projet'!$E$11+1,1))-AVERAGE(OFFSET($H$3,0,0,'Données projet'!$E$11+1,1))</f>
        <v>287.69656598881124</v>
      </c>
      <c r="BJ32" s="62">
        <f t="shared" si="38"/>
        <v>221.9773436301067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1.1212889521932148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3.2595832333402406</v>
      </c>
      <c r="BS32" s="24">
        <f t="shared" si="9"/>
        <v>4.3808721855334554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310.95287409903602</v>
      </c>
      <c r="T33" s="62">
        <f t="shared" si="34"/>
        <v>224.10083380795163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0.38500000000000001</v>
      </c>
      <c r="X33" s="17">
        <f>IF(ISNA(VLOOKUP(A33,'Données projet'!$A$35:$I$55,6,0)),0%,VLOOKUP(A33,'Données projet'!$A$35:$I$55,6,0)*VLOOKUP('Données projet'!$B$9,Paramètres!$A$1:$I$89,7,0))</f>
        <v>8.2500000000000004E-2</v>
      </c>
      <c r="Y33" s="17">
        <f>IF(ISNA(VLOOKUP(A33,'Données projet'!$A$35:$I$55,7,0)),0%,VLOOKUP(A33,'Données projet'!$A$35:$I$55,7,0))</f>
        <v>0.15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421</v>
      </c>
      <c r="AG33" s="13">
        <f>VLOOKUP(A33,'Données projet'!$A$61:$I$81,9,0)</f>
        <v>28</v>
      </c>
      <c r="AH33" s="13">
        <f t="array" ref="AH33">INDEX(AG:AG,MIN(IF(ISNUMBER(AG33:AG229),ROW(AG33:AG229),"")))</f>
        <v>28</v>
      </c>
      <c r="AI33" s="14">
        <f>IF('Données projet'!$A$62&gt;35,AI32+AH33-AQ32,IF(A33&lt;'Données projet'!$A$62,$AF$205^A33,IF(A33='Données projet'!$A$62,'Données projet'!$B$62,AI32+AH33-AQ32)))</f>
        <v>421</v>
      </c>
      <c r="AJ33" s="14">
        <f>AI33*VLOOKUP('Données projet'!$B$10,Paramètres!$A$1:$I$89,3,0)*VLOOKUP('Données projet'!$B$10,Paramètres!$A$1:$I$89,5,0)</f>
        <v>235.339</v>
      </c>
      <c r="AK33" s="14">
        <f t="shared" si="35"/>
        <v>57.43555185051494</v>
      </c>
      <c r="AL33" s="22">
        <f t="shared" si="4"/>
        <v>509.91567780631357</v>
      </c>
      <c r="AM33" s="62">
        <f t="shared" si="5"/>
        <v>803.24901113964688</v>
      </c>
      <c r="AN33" s="62">
        <f ca="1">AVERAGE(OFFSET($AM$3,0,0,'Données projet'!$E$10+1,1))-AVERAGE(OFFSET($H$3,0,0,'Données projet'!$E$10+1,1))</f>
        <v>382.55387448074327</v>
      </c>
      <c r="AO33" s="62">
        <f t="shared" si="36"/>
        <v>476.29465646955543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54</v>
      </c>
      <c r="AR33" s="17">
        <f>IF(ISNA(VLOOKUP(A33,'Données projet'!$A$61:$I$81,5,0)),0%,VLOOKUP(A33,'Données projet'!$A$61:$I$81,5,0)*VLOOKUP('Données projet'!$B$10,Paramètres!$A$1:$I$89,7,0))</f>
        <v>0.13750000000000001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0.75</v>
      </c>
      <c r="AU33" s="23">
        <f>EXP(-LN(2)/35)*AU32+(1-EXP(-LN(2)/35))/(LN(2)/35)*AQ33*AR33*VLOOKUP('Données projet'!$B$10,Paramètres!$A$1:$I$89,3,0)*0.475*44/12</f>
        <v>10.49292452837842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30.164520730408633</v>
      </c>
      <c r="AX33" s="23">
        <f t="shared" si="6"/>
        <v>40.65744525878705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194</v>
      </c>
      <c r="BB33" s="13">
        <f>VLOOKUP(A33,'Données projet'!$A$87:$I$107,9,0)</f>
        <v>13.4</v>
      </c>
      <c r="BC33" s="13">
        <f t="array" ref="BC33">INDEX(BB:BB,MIN(IF(ISNUMBER(BB33:BB229),ROW(BB33:BB229),"")))</f>
        <v>13.4</v>
      </c>
      <c r="BD33" s="13">
        <f>IF('Données projet'!$A$88&gt;35,BD32+BC33-BL32,IF(A33&lt;'Données projet'!$A$88,$BA$205^A33,IF(A33='Données projet'!$A$88,'Données projet'!$B$88,BD32+BC33-BL32)))</f>
        <v>194.00000000000006</v>
      </c>
      <c r="BE33" s="14">
        <f>BD33*VLOOKUP('Données projet'!$B$11,Paramètres!$A$1:$I$89,3,0)*VLOOKUP('Données projet'!$B$11,Paramètres!$A$1:$I$89,5,0)</f>
        <v>116.01200000000003</v>
      </c>
      <c r="BF33" s="14">
        <f t="shared" si="37"/>
        <v>30.743042086238173</v>
      </c>
      <c r="BG33" s="22">
        <f t="shared" si="7"/>
        <v>255.59836496686489</v>
      </c>
      <c r="BH33" s="62">
        <f t="shared" si="8"/>
        <v>548.93169830019815</v>
      </c>
      <c r="BI33" s="62">
        <f ca="1">AVERAGE(OFFSET($BH$3,0,0,'Données projet'!$E$11+1,1))-AVERAGE(OFFSET($H$3,0,0,'Données projet'!$E$11+1,1))</f>
        <v>287.69656598881124</v>
      </c>
      <c r="BJ33" s="62">
        <f t="shared" si="38"/>
        <v>221.9773436301067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34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0.6</v>
      </c>
      <c r="BP33" s="23">
        <f>EXP(-LN(2)/35)*BP32+(1-EXP(-LN(2)/35))/(LN(2)/35)*BL33*BM33*VLOOKUP('Données projet'!$B$11,Paramètres!$A$1:$I$89,3,0)*0.475*44/12</f>
        <v>5.9542086911988479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16.117201652121722</v>
      </c>
      <c r="BS33" s="24">
        <f t="shared" si="9"/>
        <v>22.071410343320569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310.95287409903602</v>
      </c>
      <c r="T34" s="62">
        <f t="shared" si="34"/>
        <v>224.10083380795163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27.6</v>
      </c>
      <c r="AI34" s="14">
        <f>IF('Données projet'!$A$62&gt;35,AI33+AH34-AQ33,IF(A34&lt;'Données projet'!$A$62,$AF$205^A34,IF(A34='Données projet'!$A$62,'Données projet'!$B$62,AI33+AH34-AQ33)))</f>
        <v>394.6</v>
      </c>
      <c r="AJ34" s="14">
        <f>AI34*VLOOKUP('Données projet'!$B$10,Paramètres!$A$1:$I$89,3,0)*VLOOKUP('Données projet'!$B$10,Paramètres!$A$1:$I$89,5,0)</f>
        <v>220.5814</v>
      </c>
      <c r="AK34" s="14">
        <f t="shared" si="35"/>
        <v>54.241230721401301</v>
      </c>
      <c r="AL34" s="22">
        <f t="shared" si="4"/>
        <v>478.64941517310723</v>
      </c>
      <c r="AM34" s="62">
        <f t="shared" si="5"/>
        <v>771.98274850644054</v>
      </c>
      <c r="AN34" s="62">
        <f ca="1">AVERAGE(OFFSET($AM$3,0,0,'Données projet'!$E$10+1,1))-AVERAGE(OFFSET($H$3,0,0,'Données projet'!$E$10+1,1))</f>
        <v>382.55387448074327</v>
      </c>
      <c r="AO34" s="62">
        <f t="shared" si="36"/>
        <v>476.29465646955543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10.28716467842893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21.329537159714135</v>
      </c>
      <c r="AX34" s="23">
        <f t="shared" si="6"/>
        <v>31.616701838143065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174.60000000000005</v>
      </c>
      <c r="BE34" s="14">
        <f>BD34*VLOOKUP('Données projet'!$B$11,Paramètres!$A$1:$I$89,3,0)*VLOOKUP('Données projet'!$B$11,Paramètres!$A$1:$I$89,5,0)</f>
        <v>104.41080000000004</v>
      </c>
      <c r="BF34" s="14">
        <f t="shared" si="37"/>
        <v>28.010155571424168</v>
      </c>
      <c r="BG34" s="22">
        <f t="shared" si="7"/>
        <v>230.63316428689714</v>
      </c>
      <c r="BH34" s="62">
        <f t="shared" si="8"/>
        <v>523.96649762023048</v>
      </c>
      <c r="BI34" s="62">
        <f ca="1">AVERAGE(OFFSET($BH$3,0,0,'Données projet'!$E$11+1,1))-AVERAGE(OFFSET($H$3,0,0,'Données projet'!$E$11+1,1))</f>
        <v>287.69656598881124</v>
      </c>
      <c r="BJ34" s="62">
        <f t="shared" si="38"/>
        <v>221.9773436301067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5.8374502904731385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11.396582581966298</v>
      </c>
      <c r="BS34" s="24">
        <f t="shared" si="9"/>
        <v>17.234032872439435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310.95287409903602</v>
      </c>
      <c r="T35" s="62">
        <f t="shared" si="34"/>
        <v>224.10083380795163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27.6</v>
      </c>
      <c r="AI35" s="14">
        <f>IF('Données projet'!$A$62&gt;35,AI34+AH35-AQ34,IF(A35&lt;'Données projet'!$A$62,$AF$205^A35,IF(A35='Données projet'!$A$62,'Données projet'!$B$62,AI34+AH35-AQ34)))</f>
        <v>422.20000000000005</v>
      </c>
      <c r="AJ35" s="14">
        <f>AI35*VLOOKUP('Données projet'!$B$10,Paramètres!$A$1:$I$89,3,0)*VLOOKUP('Données projet'!$B$10,Paramètres!$A$1:$I$89,5,0)</f>
        <v>236.00980000000004</v>
      </c>
      <c r="AK35" s="14">
        <f t="shared" si="35"/>
        <v>57.580183613654185</v>
      </c>
      <c r="AL35" s="22">
        <f t="shared" si="4"/>
        <v>511.3358881271144</v>
      </c>
      <c r="AM35" s="62">
        <f t="shared" si="5"/>
        <v>804.66922146044772</v>
      </c>
      <c r="AN35" s="62">
        <f ca="1">AVERAGE(OFFSET($AM$3,0,0,'Données projet'!$E$10+1,1))-AVERAGE(OFFSET($H$3,0,0,'Données projet'!$E$10+1,1))</f>
        <v>382.55387448074327</v>
      </c>
      <c r="AO35" s="62">
        <f t="shared" si="36"/>
        <v>476.29465646955543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10.085439653635833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15.082260365204318</v>
      </c>
      <c r="AX35" s="23">
        <f t="shared" si="6"/>
        <v>25.167700018840151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189.20000000000005</v>
      </c>
      <c r="BE35" s="14">
        <f>BD35*VLOOKUP('Données projet'!$B$11,Paramètres!$A$1:$I$89,3,0)*VLOOKUP('Données projet'!$B$11,Paramètres!$A$1:$I$89,5,0)</f>
        <v>113.14160000000004</v>
      </c>
      <c r="BF35" s="14">
        <f t="shared" si="37"/>
        <v>30.069952587742019</v>
      </c>
      <c r="BG35" s="22">
        <f t="shared" si="7"/>
        <v>249.42678742365072</v>
      </c>
      <c r="BH35" s="62">
        <f t="shared" si="8"/>
        <v>542.76012075698407</v>
      </c>
      <c r="BI35" s="62">
        <f ca="1">AVERAGE(OFFSET($BH$3,0,0,'Données projet'!$E$11+1,1))-AVERAGE(OFFSET($H$3,0,0,'Données projet'!$E$11+1,1))</f>
        <v>287.69656598881124</v>
      </c>
      <c r="BJ35" s="62">
        <f t="shared" si="38"/>
        <v>221.9773436301067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5.7229814507700683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8.0586008260608626</v>
      </c>
      <c r="BS35" s="24">
        <f t="shared" si="9"/>
        <v>13.781582276830932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310.95287409903602</v>
      </c>
      <c r="T36" s="62">
        <f t="shared" si="34"/>
        <v>224.10083380795163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27.6</v>
      </c>
      <c r="AI36" s="14">
        <f>IF('Données projet'!$A$62&gt;35,AI35+AH36-AQ35,IF(A36&lt;'Données projet'!$A$62,$AF$205^A36,IF(A36='Données projet'!$A$62,'Données projet'!$B$62,AI35+AH36-AQ35)))</f>
        <v>449.80000000000007</v>
      </c>
      <c r="AJ36" s="14">
        <f>AI36*VLOOKUP('Données projet'!$B$10,Paramètres!$A$1:$I$89,3,0)*VLOOKUP('Données projet'!$B$10,Paramètres!$A$1:$I$89,5,0)</f>
        <v>251.43820000000002</v>
      </c>
      <c r="AK36" s="14">
        <f t="shared" si="35"/>
        <v>60.893806844597648</v>
      </c>
      <c r="AL36" s="22">
        <f t="shared" si="4"/>
        <v>543.978245254341</v>
      </c>
      <c r="AM36" s="62">
        <f t="shared" si="5"/>
        <v>837.31157858767438</v>
      </c>
      <c r="AN36" s="62">
        <f ca="1">AVERAGE(OFFSET($AM$3,0,0,'Données projet'!$E$10+1,1))-AVERAGE(OFFSET($H$3,0,0,'Données projet'!$E$10+1,1))</f>
        <v>382.55387448074327</v>
      </c>
      <c r="AO36" s="62">
        <f t="shared" si="36"/>
        <v>476.29465646955543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9.8876703335388108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10.664768579857069</v>
      </c>
      <c r="AX36" s="23">
        <f t="shared" si="6"/>
        <v>20.552438913395882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203.80000000000004</v>
      </c>
      <c r="BE36" s="14">
        <f>BD36*VLOOKUP('Données projet'!$B$11,Paramètres!$A$1:$I$89,3,0)*VLOOKUP('Données projet'!$B$11,Paramètres!$A$1:$I$89,5,0)</f>
        <v>121.87240000000003</v>
      </c>
      <c r="BF36" s="14">
        <f t="shared" si="37"/>
        <v>32.111311550408985</v>
      </c>
      <c r="BG36" s="22">
        <f t="shared" si="7"/>
        <v>268.1882976169623</v>
      </c>
      <c r="BH36" s="62">
        <f t="shared" si="8"/>
        <v>561.52163095029562</v>
      </c>
      <c r="BI36" s="62">
        <f ca="1">AVERAGE(OFFSET($BH$3,0,0,'Données projet'!$E$11+1,1))-AVERAGE(OFFSET($H$3,0,0,'Données projet'!$E$11+1,1))</f>
        <v>287.69656598881124</v>
      </c>
      <c r="BJ36" s="62">
        <f t="shared" si="38"/>
        <v>221.9773436301067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5.6107572751944765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5.6982912909831498</v>
      </c>
      <c r="BS36" s="24">
        <f t="shared" si="9"/>
        <v>11.309048566177626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310.95287409903602</v>
      </c>
      <c r="T37" s="62">
        <f t="shared" si="34"/>
        <v>224.10083380795163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27.6</v>
      </c>
      <c r="AI37" s="14">
        <f>IF('Données projet'!$A$62&gt;35,AI36+AH37-AQ36,IF(A37&lt;'Données projet'!$A$62,$AF$205^A37,IF(A37='Données projet'!$A$62,'Données projet'!$B$62,AI36+AH37-AQ36)))</f>
        <v>477.40000000000009</v>
      </c>
      <c r="AJ37" s="14">
        <f>AI37*VLOOKUP('Données projet'!$B$10,Paramètres!$A$1:$I$89,3,0)*VLOOKUP('Données projet'!$B$10,Paramètres!$A$1:$I$89,5,0)</f>
        <v>266.86660000000006</v>
      </c>
      <c r="AK37" s="14">
        <f t="shared" si="35"/>
        <v>64.183831628008477</v>
      </c>
      <c r="AL37" s="22">
        <f t="shared" si="4"/>
        <v>576.57950175211477</v>
      </c>
      <c r="AM37" s="62">
        <f t="shared" si="5"/>
        <v>869.91283508544802</v>
      </c>
      <c r="AN37" s="62">
        <f ca="1">AVERAGE(OFFSET($AM$3,0,0,'Données projet'!$E$10+1,1))-AVERAGE(OFFSET($H$3,0,0,'Données projet'!$E$10+1,1))</f>
        <v>382.55387448074327</v>
      </c>
      <c r="AO37" s="62">
        <f t="shared" si="36"/>
        <v>476.29465646955543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9.693779149181518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7.5411301826021608</v>
      </c>
      <c r="AX37" s="23">
        <f t="shared" si="6"/>
        <v>17.23490933178368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218.40000000000003</v>
      </c>
      <c r="BE37" s="14">
        <f>BD37*VLOOKUP('Données projet'!$B$11,Paramètres!$A$1:$I$89,3,0)*VLOOKUP('Données projet'!$B$11,Paramètres!$A$1:$I$89,5,0)</f>
        <v>130.60320000000004</v>
      </c>
      <c r="BF37" s="14">
        <f t="shared" si="37"/>
        <v>34.135703567016428</v>
      </c>
      <c r="BG37" s="22">
        <f t="shared" si="7"/>
        <v>286.92025704588701</v>
      </c>
      <c r="BH37" s="62">
        <f t="shared" si="8"/>
        <v>580.25359037922033</v>
      </c>
      <c r="BI37" s="62">
        <f ca="1">AVERAGE(OFFSET($BH$3,0,0,'Données projet'!$E$11+1,1))-AVERAGE(OFFSET($H$3,0,0,'Données projet'!$E$11+1,1))</f>
        <v>287.69656598881124</v>
      </c>
      <c r="BJ37" s="62">
        <f t="shared" si="38"/>
        <v>221.9773436301067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5.5007337472519344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4.0293004130304322</v>
      </c>
      <c r="BS37" s="24">
        <f t="shared" si="9"/>
        <v>9.5300341602823657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310.95287409903602</v>
      </c>
      <c r="T38" s="62">
        <f t="shared" si="34"/>
        <v>224.10083380795163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505</v>
      </c>
      <c r="AG38" s="13">
        <f>VLOOKUP(A38,'Données projet'!$A$61:$I$81,9,0)</f>
        <v>27.6</v>
      </c>
      <c r="AH38" s="13">
        <f t="array" ref="AH38">INDEX(AG:AG,MIN(IF(ISNUMBER(AG38:AG234),ROW(AG38:AG234),"")))</f>
        <v>27.6</v>
      </c>
      <c r="AI38" s="14">
        <f>IF('Données projet'!$A$62&gt;35,AI37+AH38-AQ37,IF(A38&lt;'Données projet'!$A$62,$AF$205^A38,IF(A38='Données projet'!$A$62,'Données projet'!$B$62,AI37+AH38-AQ37)))</f>
        <v>505.00000000000011</v>
      </c>
      <c r="AJ38" s="14">
        <f>AI38*VLOOKUP('Données projet'!$B$10,Paramètres!$A$1:$I$89,3,0)*VLOOKUP('Données projet'!$B$10,Paramètres!$A$1:$I$89,5,0)</f>
        <v>282.29500000000007</v>
      </c>
      <c r="AK38" s="14">
        <f t="shared" si="35"/>
        <v>67.451777696853824</v>
      </c>
      <c r="AL38" s="22">
        <f t="shared" si="4"/>
        <v>609.14230448868716</v>
      </c>
      <c r="AM38" s="62">
        <f t="shared" si="5"/>
        <v>902.47563782202042</v>
      </c>
      <c r="AN38" s="62">
        <f ca="1">AVERAGE(OFFSET($AM$3,0,0,'Données projet'!$E$10+1,1))-AVERAGE(OFFSET($H$3,0,0,'Données projet'!$E$10+1,1))</f>
        <v>382.55387448074327</v>
      </c>
      <c r="AO38" s="62">
        <f t="shared" si="36"/>
        <v>476.29465646955543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69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9.5036900526875261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5.3323842899285356</v>
      </c>
      <c r="AX38" s="23">
        <f t="shared" si="6"/>
        <v>14.836074342616062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233</v>
      </c>
      <c r="BB38" s="13">
        <f>VLOOKUP(A38,'Données projet'!$A$87:$I$107,9,0)</f>
        <v>14.6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233.00000000000003</v>
      </c>
      <c r="BE38" s="14">
        <f>BD38*VLOOKUP('Données projet'!$B$11,Paramètres!$A$1:$I$89,3,0)*VLOOKUP('Données projet'!$B$11,Paramètres!$A$1:$I$89,5,0)</f>
        <v>139.33400000000003</v>
      </c>
      <c r="BF38" s="14">
        <f t="shared" si="37"/>
        <v>36.144391930570897</v>
      </c>
      <c r="BG38" s="22">
        <f t="shared" si="7"/>
        <v>305.62486594574438</v>
      </c>
      <c r="BH38" s="62">
        <f t="shared" si="8"/>
        <v>598.95819927907769</v>
      </c>
      <c r="BI38" s="62">
        <f ca="1">AVERAGE(OFFSET($BH$3,0,0,'Données projet'!$E$11+1,1))-AVERAGE(OFFSET($H$3,0,0,'Données projet'!$E$11+1,1))</f>
        <v>287.69656598881124</v>
      </c>
      <c r="BJ38" s="62">
        <f t="shared" si="38"/>
        <v>221.9773436301067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41</v>
      </c>
      <c r="BM38" s="17">
        <f>IF(ISNA(VLOOKUP(A38,'Données projet'!$A$87:$I$107,5,0)),0%,VLOOKUP(A38,'Données projet'!$A$87:$I$107,5,0)*VLOOKUP('Données projet'!$B$11,Paramètres!$A$1:$I$89,7,0))</f>
        <v>0.20250000000000001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0.55000000000000004</v>
      </c>
      <c r="BP38" s="23">
        <f>EXP(-LN(2)/35)*BP37+(1-EXP(-LN(2)/35))/(LN(2)/35)*BL38*BM38*VLOOKUP('Données projet'!$B$11,Paramètres!$A$1:$I$89,3,0)*0.475*44/12</f>
        <v>11.979120945574117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18.11718495440622</v>
      </c>
      <c r="BS38" s="24">
        <f t="shared" si="9"/>
        <v>30.096305899980337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310.95287409903602</v>
      </c>
      <c r="T39" s="62">
        <f t="shared" si="34"/>
        <v>224.10083380795163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25.6</v>
      </c>
      <c r="AI39" s="14">
        <f>IF('Données projet'!$A$62&gt;35,AI38+AH39-AQ38,IF(A39&lt;'Données projet'!$A$62,$AF$205^A39,IF(A39='Données projet'!$A$62,'Données projet'!$B$62,AI38+AH39-AQ38)))</f>
        <v>461.60000000000014</v>
      </c>
      <c r="AJ39" s="14">
        <f>AI39*VLOOKUP('Données projet'!$B$10,Paramètres!$A$1:$I$89,3,0)*VLOOKUP('Données projet'!$B$10,Paramètres!$A$1:$I$89,5,0)</f>
        <v>258.03440000000006</v>
      </c>
      <c r="AK39" s="14">
        <f t="shared" si="35"/>
        <v>62.303206596431174</v>
      </c>
      <c r="AL39" s="22">
        <f t="shared" si="4"/>
        <v>557.9213314887844</v>
      </c>
      <c r="AM39" s="62">
        <f t="shared" si="5"/>
        <v>851.25466482211777</v>
      </c>
      <c r="AN39" s="62">
        <f ca="1">AVERAGE(OFFSET($AM$3,0,0,'Données projet'!$E$10+1,1))-AVERAGE(OFFSET($H$3,0,0,'Données projet'!$E$10+1,1))</f>
        <v>382.55387448074327</v>
      </c>
      <c r="AO39" s="62">
        <f t="shared" si="36"/>
        <v>476.29465646955543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9.3173284874328814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3.7705650913010809</v>
      </c>
      <c r="AX39" s="23">
        <f t="shared" si="6"/>
        <v>13.087893578733961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14.4</v>
      </c>
      <c r="BD39" s="13">
        <f>IF('Données projet'!$A$88&gt;35,BD38+BC39-BL38,IF(A39&lt;'Données projet'!$A$88,$BA$205^A39,IF(A39='Données projet'!$A$88,'Données projet'!$B$88,BD38+BC39-BL38)))</f>
        <v>206.40000000000003</v>
      </c>
      <c r="BE39" s="14">
        <f>BD39*VLOOKUP('Données projet'!$B$11,Paramètres!$A$1:$I$89,3,0)*VLOOKUP('Données projet'!$B$11,Paramètres!$A$1:$I$89,5,0)</f>
        <v>123.42720000000003</v>
      </c>
      <c r="BF39" s="14">
        <f t="shared" si="37"/>
        <v>32.473022671122074</v>
      </c>
      <c r="BG39" s="22">
        <f t="shared" si="7"/>
        <v>271.5262211522043</v>
      </c>
      <c r="BH39" s="62">
        <f t="shared" si="8"/>
        <v>564.85955448553761</v>
      </c>
      <c r="BI39" s="62">
        <f ca="1">AVERAGE(OFFSET($BH$3,0,0,'Données projet'!$E$11+1,1))-AVERAGE(OFFSET($H$3,0,0,'Données projet'!$E$11+1,1))</f>
        <v>287.69656598881124</v>
      </c>
      <c r="BJ39" s="62">
        <f t="shared" si="38"/>
        <v>221.9773436301067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11.744217690373723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12.810784337271532</v>
      </c>
      <c r="BS39" s="24">
        <f t="shared" si="9"/>
        <v>24.555002027645255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310.95287409903602</v>
      </c>
      <c r="T40" s="62">
        <f t="shared" si="34"/>
        <v>224.10083380795163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25.6</v>
      </c>
      <c r="AI40" s="14">
        <f>IF('Données projet'!$A$62&gt;35,AI39+AH40-AQ39,IF(A40&lt;'Données projet'!$A$62,$AF$205^A40,IF(A40='Données projet'!$A$62,'Données projet'!$B$62,AI39+AH40-AQ39)))</f>
        <v>487.20000000000016</v>
      </c>
      <c r="AJ40" s="14">
        <f>AI40*VLOOKUP('Données projet'!$B$10,Paramètres!$A$1:$I$89,3,0)*VLOOKUP('Données projet'!$B$10,Paramètres!$A$1:$I$89,5,0)</f>
        <v>272.34480000000008</v>
      </c>
      <c r="AK40" s="14">
        <f t="shared" si="35"/>
        <v>65.346644318451709</v>
      </c>
      <c r="AL40" s="22">
        <f t="shared" si="4"/>
        <v>588.14593218797006</v>
      </c>
      <c r="AM40" s="62">
        <f t="shared" si="5"/>
        <v>881.47926552130343</v>
      </c>
      <c r="AN40" s="62">
        <f ca="1">AVERAGE(OFFSET($AM$3,0,0,'Données projet'!$E$10+1,1))-AVERAGE(OFFSET($H$3,0,0,'Données projet'!$E$10+1,1))</f>
        <v>382.55387448074327</v>
      </c>
      <c r="AO40" s="62">
        <f t="shared" si="36"/>
        <v>476.29465646955543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9.1346213588035496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2.6661921449642683</v>
      </c>
      <c r="AX40" s="23">
        <f t="shared" si="6"/>
        <v>11.800813503767818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14.4</v>
      </c>
      <c r="BD40" s="13">
        <f>IF('Données projet'!$A$88&gt;35,BD39+BC40-BL39,IF(A40&lt;'Données projet'!$A$88,$BA$205^A40,IF(A40='Données projet'!$A$88,'Données projet'!$B$88,BD39+BC40-BL39)))</f>
        <v>220.80000000000004</v>
      </c>
      <c r="BE40" s="14">
        <f>BD40*VLOOKUP('Données projet'!$B$11,Paramètres!$A$1:$I$89,3,0)*VLOOKUP('Données projet'!$B$11,Paramètres!$A$1:$I$89,5,0)</f>
        <v>132.03840000000005</v>
      </c>
      <c r="BF40" s="14">
        <f t="shared" si="37"/>
        <v>34.466946374534373</v>
      </c>
      <c r="BG40" s="22">
        <f t="shared" si="7"/>
        <v>289.99681160231415</v>
      </c>
      <c r="BH40" s="62">
        <f t="shared" si="8"/>
        <v>583.33014493564747</v>
      </c>
      <c r="BI40" s="62">
        <f ca="1">AVERAGE(OFFSET($BH$3,0,0,'Données projet'!$E$11+1,1))-AVERAGE(OFFSET($H$3,0,0,'Données projet'!$E$11+1,1))</f>
        <v>287.69656598881124</v>
      </c>
      <c r="BJ40" s="62">
        <f t="shared" si="38"/>
        <v>221.9773436301067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11.513920744730973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9.0585924772031117</v>
      </c>
      <c r="BS40" s="24">
        <f t="shared" si="9"/>
        <v>20.572513221934084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310.95287409903602</v>
      </c>
      <c r="T41" s="62">
        <f t="shared" si="34"/>
        <v>224.10083380795163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25.6</v>
      </c>
      <c r="AI41" s="14">
        <f>IF('Données projet'!$A$62&gt;35,AI40+AH41-AQ40,IF(A41&lt;'Données projet'!$A$62,$AF$205^A41,IF(A41='Données projet'!$A$62,'Données projet'!$B$62,AI40+AH41-AQ40)))</f>
        <v>512.80000000000018</v>
      </c>
      <c r="AJ41" s="14">
        <f>AI41*VLOOKUP('Données projet'!$B$10,Paramètres!$A$1:$I$89,3,0)*VLOOKUP('Données projet'!$B$10,Paramètres!$A$1:$I$89,5,0)</f>
        <v>286.65520000000009</v>
      </c>
      <c r="AK41" s="14">
        <f t="shared" si="35"/>
        <v>68.37151538584105</v>
      </c>
      <c r="AL41" s="22">
        <f t="shared" si="4"/>
        <v>618.33819596367323</v>
      </c>
      <c r="AM41" s="62">
        <f t="shared" si="5"/>
        <v>911.6715292970066</v>
      </c>
      <c r="AN41" s="62">
        <f ca="1">AVERAGE(OFFSET($AM$3,0,0,'Données projet'!$E$10+1,1))-AVERAGE(OFFSET($H$3,0,0,'Données projet'!$E$10+1,1))</f>
        <v>382.55387448074327</v>
      </c>
      <c r="AO41" s="62">
        <f t="shared" si="36"/>
        <v>476.29465646955543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8.9554970055262935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1.8852825456505409</v>
      </c>
      <c r="AX41" s="23">
        <f t="shared" si="6"/>
        <v>10.840779551176833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14.4</v>
      </c>
      <c r="BD41" s="13">
        <f>IF('Données projet'!$A$88&gt;35,BD40+BC41-BL40,IF(A41&lt;'Données projet'!$A$88,$BA$205^A41,IF(A41='Données projet'!$A$88,'Données projet'!$B$88,BD40+BC41-BL40)))</f>
        <v>235.20000000000005</v>
      </c>
      <c r="BE41" s="14">
        <f>BD41*VLOOKUP('Données projet'!$B$11,Paramètres!$A$1:$I$89,3,0)*VLOOKUP('Données projet'!$B$11,Paramètres!$A$1:$I$89,5,0)</f>
        <v>140.64960000000002</v>
      </c>
      <c r="BF41" s="14">
        <f t="shared" si="37"/>
        <v>36.445779615258601</v>
      </c>
      <c r="BG41" s="22">
        <f t="shared" si="7"/>
        <v>308.44111949657542</v>
      </c>
      <c r="BH41" s="62">
        <f t="shared" si="8"/>
        <v>601.7744528299088</v>
      </c>
      <c r="BI41" s="62">
        <f ca="1">AVERAGE(OFFSET($BH$3,0,0,'Données projet'!$E$11+1,1))-AVERAGE(OFFSET($H$3,0,0,'Données projet'!$E$11+1,1))</f>
        <v>287.69656598881124</v>
      </c>
      <c r="BJ41" s="62">
        <f t="shared" si="38"/>
        <v>221.9773436301067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11.288139781725009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6.4053921686357667</v>
      </c>
      <c r="BS41" s="24">
        <f t="shared" si="9"/>
        <v>17.693531950360775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310.95287409903602</v>
      </c>
      <c r="T42" s="62">
        <f t="shared" si="34"/>
        <v>224.10083380795163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25.6</v>
      </c>
      <c r="AI42" s="14">
        <f>IF('Données projet'!$A$62&gt;35,AI41+AH42-AQ41,IF(A42&lt;'Données projet'!$A$62,$AF$205^A42,IF(A42='Données projet'!$A$62,'Données projet'!$B$62,AI41+AH42-AQ41)))</f>
        <v>538.4000000000002</v>
      </c>
      <c r="AJ42" s="14">
        <f>AI42*VLOOKUP('Données projet'!$B$10,Paramètres!$A$1:$I$89,3,0)*VLOOKUP('Données projet'!$B$10,Paramètres!$A$1:$I$89,5,0)</f>
        <v>300.96560000000011</v>
      </c>
      <c r="AK42" s="14">
        <f t="shared" si="35"/>
        <v>71.378852450242803</v>
      </c>
      <c r="AL42" s="22">
        <f t="shared" si="4"/>
        <v>648.49992135083971</v>
      </c>
      <c r="AM42" s="62">
        <f t="shared" si="5"/>
        <v>941.83325468417297</v>
      </c>
      <c r="AN42" s="62">
        <f ca="1">AVERAGE(OFFSET($AM$3,0,0,'Données projet'!$E$10+1,1))-AVERAGE(OFFSET($H$3,0,0,'Données projet'!$E$10+1,1))</f>
        <v>382.55387448074327</v>
      </c>
      <c r="AO42" s="62">
        <f t="shared" si="36"/>
        <v>476.29465646955543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8.7798851715617374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1.3330960724821344</v>
      </c>
      <c r="AX42" s="23">
        <f t="shared" si="6"/>
        <v>10.112981244043873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14.4</v>
      </c>
      <c r="BD42" s="13">
        <f>IF('Données projet'!$A$88&gt;35,BD41+BC42-BL41,IF(A42&lt;'Données projet'!$A$88,$BA$205^A42,IF(A42='Données projet'!$A$88,'Données projet'!$B$88,BD41+BC42-BL41)))</f>
        <v>249.60000000000005</v>
      </c>
      <c r="BE42" s="14">
        <f>BD42*VLOOKUP('Données projet'!$B$11,Paramètres!$A$1:$I$89,3,0)*VLOOKUP('Données projet'!$B$11,Paramètres!$A$1:$I$89,5,0)</f>
        <v>149.26080000000005</v>
      </c>
      <c r="BF42" s="14">
        <f t="shared" si="37"/>
        <v>38.410551499792909</v>
      </c>
      <c r="BG42" s="22">
        <f t="shared" si="7"/>
        <v>326.86093719547273</v>
      </c>
      <c r="BH42" s="62">
        <f t="shared" si="8"/>
        <v>620.1942705288061</v>
      </c>
      <c r="BI42" s="62">
        <f ca="1">AVERAGE(OFFSET($BH$3,0,0,'Données projet'!$E$11+1,1))-AVERAGE(OFFSET($H$3,0,0,'Données projet'!$E$11+1,1))</f>
        <v>287.69656598881124</v>
      </c>
      <c r="BJ42" s="62">
        <f t="shared" si="38"/>
        <v>221.9773436301067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11.066786245690803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4.5292962386015567</v>
      </c>
      <c r="BS42" s="24">
        <f t="shared" si="9"/>
        <v>15.59608248429236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310.95287409903602</v>
      </c>
      <c r="T43" s="62">
        <f t="shared" si="34"/>
        <v>224.10083380795163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564</v>
      </c>
      <c r="AG43" s="13">
        <f>VLOOKUP(A43,'Données projet'!$A$61:$I$81,9,0)</f>
        <v>25.6</v>
      </c>
      <c r="AH43" s="13">
        <f t="array" ref="AH43">INDEX(AG:AG,MIN(IF(ISNUMBER(AG43:AG239),ROW(AG43:AG239),"")))</f>
        <v>25.6</v>
      </c>
      <c r="AI43" s="14">
        <f>IF('Données projet'!$A$62&gt;35,AI42+AH43-AQ42,IF(A43&lt;'Données projet'!$A$62,$AF$205^A43,IF(A43='Données projet'!$A$62,'Données projet'!$B$62,AI42+AH43-AQ42)))</f>
        <v>564.00000000000023</v>
      </c>
      <c r="AJ43" s="14">
        <f>AI43*VLOOKUP('Données projet'!$B$10,Paramètres!$A$1:$I$89,3,0)*VLOOKUP('Données projet'!$B$10,Paramètres!$A$1:$I$89,5,0)</f>
        <v>315.27600000000012</v>
      </c>
      <c r="AK43" s="14">
        <f t="shared" si="35"/>
        <v>74.36958441265493</v>
      </c>
      <c r="AL43" s="22">
        <f t="shared" si="4"/>
        <v>678.63272618537417</v>
      </c>
      <c r="AM43" s="62">
        <f t="shared" si="5"/>
        <v>971.96605951870743</v>
      </c>
      <c r="AN43" s="62">
        <f ca="1">AVERAGE(OFFSET($AM$3,0,0,'Données projet'!$E$10+1,1))-AVERAGE(OFFSET($H$3,0,0,'Données projet'!$E$10+1,1))</f>
        <v>382.55387448074327</v>
      </c>
      <c r="AO43" s="62">
        <f t="shared" si="36"/>
        <v>476.29465646955543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72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8.6077169785485843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0.94264127282527055</v>
      </c>
      <c r="AX43" s="23">
        <f t="shared" si="6"/>
        <v>9.5503582513738543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264</v>
      </c>
      <c r="BB43" s="13">
        <f>VLOOKUP(A43,'Données projet'!$A$87:$I$107,9,0)</f>
        <v>14.4</v>
      </c>
      <c r="BC43" s="13">
        <f t="array" ref="BC43">INDEX(BB:BB,MIN(IF(ISNUMBER(BB43:BB239),ROW(BB43:BB239),"")))</f>
        <v>14.4</v>
      </c>
      <c r="BD43" s="13">
        <f>IF('Données projet'!$A$88&gt;35,BD42+BC43-BL42,IF(A43&lt;'Données projet'!$A$88,$BA$205^A43,IF(A43='Données projet'!$A$88,'Données projet'!$B$88,BD42+BC43-BL42)))</f>
        <v>264.00000000000006</v>
      </c>
      <c r="BE43" s="14">
        <f>BD43*VLOOKUP('Données projet'!$B$11,Paramètres!$A$1:$I$89,3,0)*VLOOKUP('Données projet'!$B$11,Paramètres!$A$1:$I$89,5,0)</f>
        <v>157.87200000000004</v>
      </c>
      <c r="BF43" s="14">
        <f t="shared" si="37"/>
        <v>40.362165684361159</v>
      </c>
      <c r="BG43" s="22">
        <f t="shared" si="7"/>
        <v>345.25783856692902</v>
      </c>
      <c r="BH43" s="62">
        <f t="shared" si="8"/>
        <v>638.59117190026234</v>
      </c>
      <c r="BI43" s="62">
        <f ca="1">AVERAGE(OFFSET($BH$3,0,0,'Données projet'!$E$11+1,1))-AVERAGE(OFFSET($H$3,0,0,'Données projet'!$E$11+1,1))</f>
        <v>287.69656598881124</v>
      </c>
      <c r="BJ43" s="62">
        <f t="shared" si="38"/>
        <v>221.9773436301067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41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10.849773317485901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3.2026960843178838</v>
      </c>
      <c r="BS43" s="24">
        <f t="shared" si="9"/>
        <v>14.052469401803785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310.95287409903602</v>
      </c>
      <c r="T44" s="62">
        <f t="shared" si="34"/>
        <v>224.10083380795163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22.8</v>
      </c>
      <c r="AI44" s="14">
        <f>IF('Données projet'!$A$62&gt;35,AI43+AH44-AQ43,IF(A44&lt;'Données projet'!$A$62,$AF$205^A44,IF(A44='Données projet'!$A$62,'Données projet'!$B$62,AI43+AH44-AQ43)))</f>
        <v>514.80000000000018</v>
      </c>
      <c r="AJ44" s="14">
        <f>AI44*VLOOKUP('Données projet'!$B$10,Paramètres!$A$1:$I$89,3,0)*VLOOKUP('Données projet'!$B$10,Paramètres!$A$1:$I$89,5,0)</f>
        <v>287.77320000000009</v>
      </c>
      <c r="AK44" s="14">
        <f t="shared" si="35"/>
        <v>68.607082381743922</v>
      </c>
      <c r="AL44" s="22">
        <f t="shared" si="4"/>
        <v>620.69565848153741</v>
      </c>
      <c r="AM44" s="62">
        <f t="shared" si="5"/>
        <v>914.02899181487078</v>
      </c>
      <c r="AN44" s="62">
        <f ca="1">AVERAGE(OFFSET($AM$3,0,0,'Données projet'!$E$10+1,1))-AVERAGE(OFFSET($H$3,0,0,'Données projet'!$E$10+1,1))</f>
        <v>382.55387448074327</v>
      </c>
      <c r="AO44" s="62">
        <f t="shared" si="36"/>
        <v>476.29465646955543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8.4389248987881906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0.66654803624106729</v>
      </c>
      <c r="AX44" s="23">
        <f t="shared" si="6"/>
        <v>9.1054729350292583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16.600000000000001</v>
      </c>
      <c r="BD44" s="13">
        <f>IF('Données projet'!$A$88&gt;35,BD43+BC44-BL43,IF(A44&lt;'Données projet'!$A$88,$BA$205^A44,IF(A44='Données projet'!$A$88,'Données projet'!$B$88,BD43+BC44-BL43)))</f>
        <v>239.60000000000008</v>
      </c>
      <c r="BE44" s="14">
        <f>BD44*VLOOKUP('Données projet'!$B$11,Paramètres!$A$1:$I$89,3,0)*VLOOKUP('Données projet'!$B$11,Paramètres!$A$1:$I$89,5,0)</f>
        <v>143.28080000000006</v>
      </c>
      <c r="BF44" s="14">
        <f t="shared" si="37"/>
        <v>37.047574465948976</v>
      </c>
      <c r="BG44" s="22">
        <f t="shared" si="7"/>
        <v>314.07191886152788</v>
      </c>
      <c r="BH44" s="62">
        <f t="shared" si="8"/>
        <v>607.40525219486119</v>
      </c>
      <c r="BI44" s="62">
        <f ca="1">AVERAGE(OFFSET($BH$3,0,0,'Données projet'!$E$11+1,1))-AVERAGE(OFFSET($H$3,0,0,'Données projet'!$E$11+1,1))</f>
        <v>287.69656598881124</v>
      </c>
      <c r="BJ44" s="62">
        <f t="shared" si="38"/>
        <v>221.9773436301067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10.637015880438282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2.2646481193007784</v>
      </c>
      <c r="BS44" s="24">
        <f t="shared" si="9"/>
        <v>12.901663999739061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310.95287409903602</v>
      </c>
      <c r="T45" s="62">
        <f t="shared" si="34"/>
        <v>224.10083380795163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22.8</v>
      </c>
      <c r="AI45" s="14">
        <f>IF('Données projet'!$A$62&gt;35,AI44+AH45-AQ44,IF(A45&lt;'Données projet'!$A$62,$AF$205^A45,IF(A45='Données projet'!$A$62,'Données projet'!$B$62,AI44+AH45-AQ44)))</f>
        <v>537.60000000000014</v>
      </c>
      <c r="AJ45" s="14">
        <f>AI45*VLOOKUP('Données projet'!$B$10,Paramètres!$A$1:$I$89,3,0)*VLOOKUP('Données projet'!$B$10,Paramètres!$A$1:$I$89,5,0)</f>
        <v>300.5184000000001</v>
      </c>
      <c r="AK45" s="14">
        <f t="shared" si="35"/>
        <v>71.285129105116411</v>
      </c>
      <c r="AL45" s="22">
        <f t="shared" si="4"/>
        <v>647.55781319141124</v>
      </c>
      <c r="AM45" s="62">
        <f t="shared" si="5"/>
        <v>940.8911465247445</v>
      </c>
      <c r="AN45" s="62">
        <f ca="1">AVERAGE(OFFSET($AM$3,0,0,'Données projet'!$E$10+1,1))-AVERAGE(OFFSET($H$3,0,0,'Données projet'!$E$10+1,1))</f>
        <v>382.55387448074327</v>
      </c>
      <c r="AO45" s="62">
        <f t="shared" si="36"/>
        <v>476.29465646955543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8.2734427287588943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0.47132063641263533</v>
      </c>
      <c r="AX45" s="23">
        <f t="shared" si="6"/>
        <v>8.7447633651715293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16.600000000000001</v>
      </c>
      <c r="BD45" s="13">
        <f>IF('Données projet'!$A$88&gt;35,BD44+BC45-BL44,IF(A45&lt;'Données projet'!$A$88,$BA$205^A45,IF(A45='Données projet'!$A$88,'Données projet'!$B$88,BD44+BC45-BL44)))</f>
        <v>256.2000000000001</v>
      </c>
      <c r="BE45" s="14">
        <f>BD45*VLOOKUP('Données projet'!$B$11,Paramètres!$A$1:$I$89,3,0)*VLOOKUP('Données projet'!$B$11,Paramètres!$A$1:$I$89,5,0)</f>
        <v>153.20760000000007</v>
      </c>
      <c r="BF45" s="14">
        <f t="shared" si="37"/>
        <v>39.306624169832133</v>
      </c>
      <c r="BG45" s="22">
        <f t="shared" si="7"/>
        <v>335.29560709579107</v>
      </c>
      <c r="BH45" s="62">
        <f t="shared" si="8"/>
        <v>628.62894042912444</v>
      </c>
      <c r="BI45" s="62">
        <f ca="1">AVERAGE(OFFSET($BH$3,0,0,'Données projet'!$E$11+1,1))-AVERAGE(OFFSET($H$3,0,0,'Données projet'!$E$11+1,1))</f>
        <v>287.69656598881124</v>
      </c>
      <c r="BJ45" s="62">
        <f t="shared" si="38"/>
        <v>221.9773436301067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10.428430486961943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1.6013480421589419</v>
      </c>
      <c r="BS45" s="24">
        <f t="shared" si="9"/>
        <v>12.029778529120886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310.95287409903602</v>
      </c>
      <c r="T46" s="62">
        <f t="shared" si="34"/>
        <v>224.10083380795163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22.8</v>
      </c>
      <c r="AI46" s="14">
        <f>IF('Données projet'!$A$62&gt;35,AI45+AH46-AQ45,IF(A46&lt;'Données projet'!$A$62,$AF$205^A46,IF(A46='Données projet'!$A$62,'Données projet'!$B$62,AI45+AH46-AQ45)))</f>
        <v>560.40000000000009</v>
      </c>
      <c r="AJ46" s="14">
        <f>AI46*VLOOKUP('Données projet'!$B$10,Paramètres!$A$1:$I$89,3,0)*VLOOKUP('Données projet'!$B$10,Paramètres!$A$1:$I$89,5,0)</f>
        <v>313.26360000000005</v>
      </c>
      <c r="AK46" s="14">
        <f t="shared" si="35"/>
        <v>73.949983766039026</v>
      </c>
      <c r="AL46" s="22">
        <f t="shared" si="4"/>
        <v>674.39699172585131</v>
      </c>
      <c r="AM46" s="62">
        <f t="shared" si="5"/>
        <v>967.73032505918468</v>
      </c>
      <c r="AN46" s="62">
        <f ca="1">AVERAGE(OFFSET($AM$3,0,0,'Données projet'!$E$10+1,1))-AVERAGE(OFFSET($H$3,0,0,'Données projet'!$E$10+1,1))</f>
        <v>382.55387448074327</v>
      </c>
      <c r="AO46" s="62">
        <f t="shared" si="36"/>
        <v>476.29465646955543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8.1112055631497153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0.3332740181205337</v>
      </c>
      <c r="AX46" s="23">
        <f t="shared" si="6"/>
        <v>8.4444795812702491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16.600000000000001</v>
      </c>
      <c r="BD46" s="13">
        <f>IF('Données projet'!$A$88&gt;35,BD45+BC46-BL45,IF(A46&lt;'Données projet'!$A$88,$BA$205^A46,IF(A46='Données projet'!$A$88,'Données projet'!$B$88,BD45+BC46-BL45)))</f>
        <v>272.80000000000013</v>
      </c>
      <c r="BE46" s="14">
        <f>BD46*VLOOKUP('Données projet'!$B$11,Paramètres!$A$1:$I$89,3,0)*VLOOKUP('Données projet'!$B$11,Paramètres!$A$1:$I$89,5,0)</f>
        <v>163.13440000000008</v>
      </c>
      <c r="BF46" s="14">
        <f t="shared" si="37"/>
        <v>41.548687845426002</v>
      </c>
      <c r="BG46" s="22">
        <f t="shared" si="7"/>
        <v>356.48971133078379</v>
      </c>
      <c r="BH46" s="62">
        <f t="shared" si="8"/>
        <v>649.82304466411711</v>
      </c>
      <c r="BI46" s="62">
        <f ca="1">AVERAGE(OFFSET($BH$3,0,0,'Données projet'!$E$11+1,1))-AVERAGE(OFFSET($H$3,0,0,'Données projet'!$E$11+1,1))</f>
        <v>287.69656598881124</v>
      </c>
      <c r="BJ46" s="62">
        <f t="shared" si="38"/>
        <v>221.9773436301067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10.223935325827147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1.1323240596503892</v>
      </c>
      <c r="BS46" s="24">
        <f t="shared" si="9"/>
        <v>11.356259385477536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310.95287409903602</v>
      </c>
      <c r="T47" s="62">
        <f t="shared" si="34"/>
        <v>224.10083380795163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22.8</v>
      </c>
      <c r="AI47" s="14">
        <f>IF('Données projet'!$A$62&gt;35,AI46+AH47-AQ46,IF(A47&lt;'Données projet'!$A$62,$AF$205^A47,IF(A47='Données projet'!$A$62,'Données projet'!$B$62,AI46+AH47-AQ46)))</f>
        <v>583.20000000000005</v>
      </c>
      <c r="AJ47" s="14">
        <f>AI47*VLOOKUP('Données projet'!$B$10,Paramètres!$A$1:$I$89,3,0)*VLOOKUP('Données projet'!$B$10,Paramètres!$A$1:$I$89,5,0)</f>
        <v>326.00880000000001</v>
      </c>
      <c r="AK47" s="14">
        <f t="shared" si="35"/>
        <v>76.602244480772981</v>
      </c>
      <c r="AL47" s="22">
        <f t="shared" si="4"/>
        <v>701.2142358040129</v>
      </c>
      <c r="AM47" s="62">
        <f t="shared" si="5"/>
        <v>994.54756913734627</v>
      </c>
      <c r="AN47" s="62">
        <f ca="1">AVERAGE(OFFSET($AM$3,0,0,'Données projet'!$E$10+1,1))-AVERAGE(OFFSET($H$3,0,0,'Données projet'!$E$10+1,1))</f>
        <v>382.55387448074327</v>
      </c>
      <c r="AO47" s="62">
        <f t="shared" si="36"/>
        <v>476.29465646955543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7.952149769403233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0.23566031820631772</v>
      </c>
      <c r="AX47" s="23">
        <f t="shared" si="6"/>
        <v>8.1878100876095505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16.600000000000001</v>
      </c>
      <c r="BD47" s="13">
        <f>IF('Données projet'!$A$88&gt;35,BD46+BC47-BL46,IF(A47&lt;'Données projet'!$A$88,$BA$205^A47,IF(A47='Données projet'!$A$88,'Données projet'!$B$88,BD46+BC47-BL46)))</f>
        <v>289.40000000000015</v>
      </c>
      <c r="BE47" s="14">
        <f>BD47*VLOOKUP('Données projet'!$B$11,Paramètres!$A$1:$I$89,3,0)*VLOOKUP('Données projet'!$B$11,Paramètres!$A$1:$I$89,5,0)</f>
        <v>173.0612000000001</v>
      </c>
      <c r="BF47" s="14">
        <f t="shared" si="37"/>
        <v>43.774916798471111</v>
      </c>
      <c r="BG47" s="22">
        <f t="shared" si="7"/>
        <v>377.65623675733735</v>
      </c>
      <c r="BH47" s="62">
        <f t="shared" si="8"/>
        <v>670.98957009067067</v>
      </c>
      <c r="BI47" s="62">
        <f ca="1">AVERAGE(OFFSET($BH$3,0,0,'Données projet'!$E$11+1,1))-AVERAGE(OFFSET($H$3,0,0,'Données projet'!$E$11+1,1))</f>
        <v>287.69656598881124</v>
      </c>
      <c r="BJ47" s="62">
        <f t="shared" si="38"/>
        <v>221.9773436301067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10.023450190072474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0.80067402107947094</v>
      </c>
      <c r="BS47" s="24">
        <f t="shared" si="9"/>
        <v>10.824124211151945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310.95287409903602</v>
      </c>
      <c r="T48" s="62">
        <f t="shared" si="34"/>
        <v>224.10083380795163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606</v>
      </c>
      <c r="AG48" s="13">
        <f>VLOOKUP(A48,'Données projet'!$A$61:$I$81,9,0)</f>
        <v>22.8</v>
      </c>
      <c r="AH48" s="13">
        <f t="array" ref="AH48">INDEX(AG:AG,MIN(IF(ISNUMBER(AG48:AG244),ROW(AG48:AG244),"")))</f>
        <v>22.8</v>
      </c>
      <c r="AI48" s="14">
        <f>IF('Données projet'!$A$62&gt;35,AI47+AH48-AQ47,IF(A48&lt;'Données projet'!$A$62,$AF$205^A48,IF(A48='Données projet'!$A$62,'Données projet'!$B$62,AI47+AH48-AQ47)))</f>
        <v>606</v>
      </c>
      <c r="AJ48" s="14">
        <f>AI48*VLOOKUP('Données projet'!$B$10,Paramètres!$A$1:$I$89,3,0)*VLOOKUP('Données projet'!$B$10,Paramètres!$A$1:$I$89,5,0)</f>
        <v>338.75400000000002</v>
      </c>
      <c r="AK48" s="14">
        <f t="shared" si="35"/>
        <v>79.242459951408904</v>
      </c>
      <c r="AL48" s="22">
        <f t="shared" si="4"/>
        <v>728.01050108203719</v>
      </c>
      <c r="AM48" s="62">
        <f t="shared" si="5"/>
        <v>1021.3438344153706</v>
      </c>
      <c r="AN48" s="62">
        <f ca="1">AVERAGE(OFFSET($AM$3,0,0,'Données projet'!$E$10+1,1))-AVERAGE(OFFSET($H$3,0,0,'Données projet'!$E$10+1,1))</f>
        <v>382.55387448074327</v>
      </c>
      <c r="AO48" s="62">
        <f t="shared" si="36"/>
        <v>476.29465646955543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66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7.7962129627576644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0.16663700906026688</v>
      </c>
      <c r="AX48" s="23">
        <f t="shared" si="6"/>
        <v>7.9628499718179313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306</v>
      </c>
      <c r="BB48" s="13">
        <f>VLOOKUP(A48,'Données projet'!$A$87:$I$107,9,0)</f>
        <v>16.600000000000001</v>
      </c>
      <c r="BC48" s="13">
        <f t="array" ref="BC48">INDEX(BB:BB,MIN(IF(ISNUMBER(BB48:BB244),ROW(BB48:BB244),"")))</f>
        <v>16.600000000000001</v>
      </c>
      <c r="BD48" s="13">
        <f>IF('Données projet'!$A$88&gt;35,BD47+BC48-BL47,IF(A48&lt;'Données projet'!$A$88,$BA$205^A48,IF(A48='Données projet'!$A$88,'Données projet'!$B$88,BD47+BC48-BL47)))</f>
        <v>306.00000000000017</v>
      </c>
      <c r="BE48" s="14">
        <f>BD48*VLOOKUP('Données projet'!$B$11,Paramètres!$A$1:$I$89,3,0)*VLOOKUP('Données projet'!$B$11,Paramètres!$A$1:$I$89,5,0)</f>
        <v>182.98800000000011</v>
      </c>
      <c r="BF48" s="14">
        <f t="shared" si="37"/>
        <v>45.986322796524874</v>
      </c>
      <c r="BG48" s="22">
        <f t="shared" si="7"/>
        <v>398.79694553728103</v>
      </c>
      <c r="BH48" s="62">
        <f t="shared" si="8"/>
        <v>692.13027887061435</v>
      </c>
      <c r="BI48" s="62">
        <f ca="1">AVERAGE(OFFSET($BH$3,0,0,'Données projet'!$E$11+1,1))-AVERAGE(OFFSET($H$3,0,0,'Données projet'!$E$11+1,1))</f>
        <v>287.69656598881124</v>
      </c>
      <c r="BJ48" s="62">
        <f t="shared" si="38"/>
        <v>221.9773436301067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53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9.8268964455460903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0.56616202982519459</v>
      </c>
      <c r="BS48" s="24">
        <f t="shared" si="9"/>
        <v>10.393058475371285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310.95287409903602</v>
      </c>
      <c r="T49" s="62">
        <f t="shared" si="34"/>
        <v>224.10083380795163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17.8</v>
      </c>
      <c r="AI49" s="14">
        <f>IF('Données projet'!$A$62&gt;35,AI48+AH49-AQ48,IF(A49&lt;'Données projet'!$A$62,$AF$205^A49,IF(A49='Données projet'!$A$62,'Données projet'!$B$62,AI48+AH49-AQ48)))</f>
        <v>557.79999999999995</v>
      </c>
      <c r="AJ49" s="14">
        <f>AI49*VLOOKUP('Données projet'!$B$10,Paramètres!$A$1:$I$89,3,0)*VLOOKUP('Données projet'!$B$10,Paramètres!$A$1:$I$89,5,0)</f>
        <v>311.81020000000001</v>
      </c>
      <c r="AK49" s="14">
        <f t="shared" si="35"/>
        <v>73.646743780370684</v>
      </c>
      <c r="AL49" s="22">
        <f t="shared" si="4"/>
        <v>671.33751041747894</v>
      </c>
      <c r="AM49" s="62">
        <f t="shared" si="5"/>
        <v>964.67084375081231</v>
      </c>
      <c r="AN49" s="62">
        <f ca="1">AVERAGE(OFFSET($AM$3,0,0,'Données projet'!$E$10+1,1))-AVERAGE(OFFSET($H$3,0,0,'Données projet'!$E$10+1,1))</f>
        <v>382.55387448074327</v>
      </c>
      <c r="AO49" s="62">
        <f t="shared" si="36"/>
        <v>476.29465646955543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7.6433339817783548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0.11783015910315887</v>
      </c>
      <c r="AX49" s="23">
        <f t="shared" si="6"/>
        <v>7.7611641408815135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270.40000000000015</v>
      </c>
      <c r="BE49" s="14">
        <f>BD49*VLOOKUP('Données projet'!$B$11,Paramètres!$A$1:$I$89,3,0)*VLOOKUP('Données projet'!$B$11,Paramètres!$A$1:$I$89,5,0)</f>
        <v>161.6992000000001</v>
      </c>
      <c r="BF49" s="14">
        <f t="shared" si="37"/>
        <v>41.225538754249229</v>
      </c>
      <c r="BG49" s="22">
        <f t="shared" si="7"/>
        <v>353.42725333031763</v>
      </c>
      <c r="BH49" s="62">
        <f t="shared" si="8"/>
        <v>646.76058666365088</v>
      </c>
      <c r="BI49" s="62">
        <f ca="1">AVERAGE(OFFSET($BH$3,0,0,'Données projet'!$E$11+1,1))-AVERAGE(OFFSET($H$3,0,0,'Données projet'!$E$11+1,1))</f>
        <v>287.69656598881124</v>
      </c>
      <c r="BJ49" s="62">
        <f t="shared" si="38"/>
        <v>221.9773436301067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9.6341970000639225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0.40033701053973547</v>
      </c>
      <c r="BS49" s="24">
        <f t="shared" si="9"/>
        <v>10.034534010603657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310.95287409903602</v>
      </c>
      <c r="T50" s="62">
        <f t="shared" si="34"/>
        <v>224.10083380795163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17.8</v>
      </c>
      <c r="AI50" s="14">
        <f>IF('Données projet'!$A$62&gt;35,AI49+AH50-AQ49,IF(A50&lt;'Données projet'!$A$62,$AF$205^A50,IF(A50='Données projet'!$A$62,'Données projet'!$B$62,AI49+AH50-AQ49)))</f>
        <v>575.59999999999991</v>
      </c>
      <c r="AJ50" s="14">
        <f>AI50*VLOOKUP('Données projet'!$B$10,Paramètres!$A$1:$I$89,3,0)*VLOOKUP('Données projet'!$B$10,Paramètres!$A$1:$I$89,5,0)</f>
        <v>321.76039999999995</v>
      </c>
      <c r="AK50" s="14">
        <f t="shared" si="35"/>
        <v>75.719522083505169</v>
      </c>
      <c r="AL50" s="22">
        <f t="shared" si="4"/>
        <v>692.27753096210472</v>
      </c>
      <c r="AM50" s="62">
        <f t="shared" si="5"/>
        <v>985.61086429543798</v>
      </c>
      <c r="AN50" s="62">
        <f ca="1">AVERAGE(OFFSET($AM$3,0,0,'Données projet'!$E$10+1,1))-AVERAGE(OFFSET($H$3,0,0,'Données projet'!$E$10+1,1))</f>
        <v>382.55387448074327</v>
      </c>
      <c r="AO50" s="62">
        <f t="shared" si="36"/>
        <v>476.29465646955543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7.4934528643690781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8.3318504530133453E-2</v>
      </c>
      <c r="AX50" s="23">
        <f t="shared" si="6"/>
        <v>7.5767713688992115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287.80000000000013</v>
      </c>
      <c r="BE50" s="14">
        <f>BD50*VLOOKUP('Données projet'!$B$11,Paramètres!$A$1:$I$89,3,0)*VLOOKUP('Données projet'!$B$11,Paramètres!$A$1:$I$89,5,0)</f>
        <v>172.10440000000008</v>
      </c>
      <c r="BF50" s="14">
        <f t="shared" si="37"/>
        <v>43.561001176960559</v>
      </c>
      <c r="BG50" s="22">
        <f t="shared" si="7"/>
        <v>375.61724038320648</v>
      </c>
      <c r="BH50" s="62">
        <f t="shared" si="8"/>
        <v>668.95057371653979</v>
      </c>
      <c r="BI50" s="62">
        <f ca="1">AVERAGE(OFFSET($BH$3,0,0,'Données projet'!$E$11+1,1))-AVERAGE(OFFSET($H$3,0,0,'Données projet'!$E$11+1,1))</f>
        <v>287.69656598881124</v>
      </c>
      <c r="BJ50" s="62">
        <f t="shared" si="38"/>
        <v>221.9773436301067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9.4452762731726043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0.2830810149125973</v>
      </c>
      <c r="BS50" s="24">
        <f t="shared" si="9"/>
        <v>9.7283572880852009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310.95287409903602</v>
      </c>
      <c r="T51" s="62">
        <f t="shared" si="34"/>
        <v>224.10083380795163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17.8</v>
      </c>
      <c r="AI51" s="14">
        <f>IF('Données projet'!$A$62&gt;35,AI50+AH51-AQ50,IF(A51&lt;'Données projet'!$A$62,$AF$205^A51,IF(A51='Données projet'!$A$62,'Données projet'!$B$62,AI50+AH51-AQ50)))</f>
        <v>593.39999999999986</v>
      </c>
      <c r="AJ51" s="14">
        <f>AI51*VLOOKUP('Données projet'!$B$10,Paramètres!$A$1:$I$89,3,0)*VLOOKUP('Données projet'!$B$10,Paramètres!$A$1:$I$89,5,0)</f>
        <v>331.71059999999994</v>
      </c>
      <c r="AK51" s="14">
        <f t="shared" si="35"/>
        <v>77.784851407016433</v>
      </c>
      <c r="AL51" s="22">
        <f t="shared" si="4"/>
        <v>713.20457786722011</v>
      </c>
      <c r="AM51" s="62">
        <f t="shared" si="5"/>
        <v>1006.5379112005535</v>
      </c>
      <c r="AN51" s="62">
        <f ca="1">AVERAGE(OFFSET($AM$3,0,0,'Données projet'!$E$10+1,1))-AVERAGE(OFFSET($H$3,0,0,'Données projet'!$E$10+1,1))</f>
        <v>382.55387448074327</v>
      </c>
      <c r="AO51" s="62">
        <f t="shared" si="36"/>
        <v>476.29465646955543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7.3465108242537429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5.8915079551579451E-2</v>
      </c>
      <c r="AX51" s="23">
        <f t="shared" si="6"/>
        <v>7.4054259038053223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305.2000000000001</v>
      </c>
      <c r="BE51" s="14">
        <f>BD51*VLOOKUP('Données projet'!$B$11,Paramètres!$A$1:$I$89,3,0)*VLOOKUP('Données projet'!$B$11,Paramètres!$A$1:$I$89,5,0)</f>
        <v>182.50960000000006</v>
      </c>
      <c r="BF51" s="14">
        <f t="shared" si="37"/>
        <v>45.880075205637056</v>
      </c>
      <c r="BG51" s="22">
        <f t="shared" si="7"/>
        <v>397.77868431648454</v>
      </c>
      <c r="BH51" s="62">
        <f t="shared" si="8"/>
        <v>691.11201764981786</v>
      </c>
      <c r="BI51" s="62">
        <f ca="1">AVERAGE(OFFSET($BH$3,0,0,'Données projet'!$E$11+1,1))-AVERAGE(OFFSET($H$3,0,0,'Données projet'!$E$11+1,1))</f>
        <v>287.69656598881124</v>
      </c>
      <c r="BJ51" s="62">
        <f t="shared" si="38"/>
        <v>221.9773436301067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9.2600601665053599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0.20016850526986774</v>
      </c>
      <c r="BS51" s="24">
        <f t="shared" si="9"/>
        <v>9.4602286717752282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310.95287409903602</v>
      </c>
      <c r="T52" s="62">
        <f t="shared" si="34"/>
        <v>224.10083380795163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17.8</v>
      </c>
      <c r="AI52" s="14">
        <f>IF('Données projet'!$A$62&gt;35,AI51+AH52-AQ51,IF(A52&lt;'Données projet'!$A$62,$AF$205^A52,IF(A52='Données projet'!$A$62,'Données projet'!$B$62,AI51+AH52-AQ51)))</f>
        <v>611.19999999999982</v>
      </c>
      <c r="AJ52" s="14">
        <f>AI52*VLOOKUP('Données projet'!$B$10,Paramètres!$A$1:$I$89,3,0)*VLOOKUP('Données projet'!$B$10,Paramètres!$A$1:$I$89,5,0)</f>
        <v>341.66079999999988</v>
      </c>
      <c r="AK52" s="14">
        <f t="shared" si="35"/>
        <v>79.842980844864144</v>
      </c>
      <c r="AL52" s="22">
        <f t="shared" si="4"/>
        <v>734.11908497147158</v>
      </c>
      <c r="AM52" s="62">
        <f t="shared" si="5"/>
        <v>1027.452418304805</v>
      </c>
      <c r="AN52" s="62">
        <f ca="1">AVERAGE(OFFSET($AM$3,0,0,'Données projet'!$E$10+1,1))-AVERAGE(OFFSET($H$3,0,0,'Données projet'!$E$10+1,1))</f>
        <v>382.55387448074327</v>
      </c>
      <c r="AO52" s="62">
        <f t="shared" si="36"/>
        <v>476.29465646955543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7.2024502279192744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4.1659252265066733E-2</v>
      </c>
      <c r="AX52" s="23">
        <f t="shared" si="6"/>
        <v>7.2441094801843411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322.60000000000008</v>
      </c>
      <c r="BE52" s="14">
        <f>BD52*VLOOKUP('Données projet'!$B$11,Paramètres!$A$1:$I$89,3,0)*VLOOKUP('Données projet'!$B$11,Paramètres!$A$1:$I$89,5,0)</f>
        <v>192.91480000000007</v>
      </c>
      <c r="BF52" s="14">
        <f t="shared" si="37"/>
        <v>48.18380163388656</v>
      </c>
      <c r="BG52" s="22">
        <f t="shared" si="7"/>
        <v>419.91339784568589</v>
      </c>
      <c r="BH52" s="62">
        <f t="shared" si="8"/>
        <v>713.24673117901921</v>
      </c>
      <c r="BI52" s="62">
        <f ca="1">AVERAGE(OFFSET($BH$3,0,0,'Données projet'!$E$11+1,1))-AVERAGE(OFFSET($H$3,0,0,'Données projet'!$E$11+1,1))</f>
        <v>287.69656598881124</v>
      </c>
      <c r="BJ52" s="62">
        <f t="shared" si="38"/>
        <v>221.9773436301067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9.0784760347191895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0.14154050745629865</v>
      </c>
      <c r="BS52" s="24">
        <f t="shared" si="9"/>
        <v>9.2200165421754878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310.95287409903602</v>
      </c>
      <c r="T53" s="62">
        <f t="shared" si="34"/>
        <v>224.10083380795163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629</v>
      </c>
      <c r="AG53" s="13">
        <f>VLOOKUP(A53,'Données projet'!$A$61:$I$81,9,0)</f>
        <v>17.8</v>
      </c>
      <c r="AH53" s="13">
        <f t="array" ref="AH53">INDEX(AG:AG,MIN(IF(ISNUMBER(AG53:AG249),ROW(AG53:AG249),"")))</f>
        <v>17.8</v>
      </c>
      <c r="AI53" s="14">
        <f>IF('Données projet'!$A$62&gt;35,AI52+AH53-AQ52,IF(A53&lt;'Données projet'!$A$62,$AF$205^A53,IF(A53='Données projet'!$A$62,'Données projet'!$B$62,AI52+AH53-AQ52)))</f>
        <v>628.99999999999977</v>
      </c>
      <c r="AJ53" s="14">
        <f>AI53*VLOOKUP('Données projet'!$B$10,Paramètres!$A$1:$I$89,3,0)*VLOOKUP('Données projet'!$B$10,Paramètres!$A$1:$I$89,5,0)</f>
        <v>351.61099999999988</v>
      </c>
      <c r="AK53" s="14">
        <f t="shared" si="35"/>
        <v>81.89414415728541</v>
      </c>
      <c r="AL53" s="22">
        <f t="shared" si="4"/>
        <v>755.02145940727178</v>
      </c>
      <c r="AM53" s="62">
        <f t="shared" si="5"/>
        <v>1048.354792740605</v>
      </c>
      <c r="AN53" s="62">
        <f ca="1">AVERAGE(OFFSET($AM$3,0,0,'Données projet'!$E$10+1,1))-AVERAGE(OFFSET($H$3,0,0,'Données projet'!$E$10+1,1))</f>
        <v>382.55387448074327</v>
      </c>
      <c r="AO53" s="62">
        <f t="shared" si="36"/>
        <v>476.29465646955543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48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7.0612145720106376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2.9457539775789729E-2</v>
      </c>
      <c r="AX53" s="23">
        <f t="shared" si="6"/>
        <v>7.0906721117864278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340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340.00000000000006</v>
      </c>
      <c r="BE53" s="14">
        <f>BD53*VLOOKUP('Données projet'!$B$11,Paramètres!$A$1:$I$89,3,0)*VLOOKUP('Données projet'!$B$11,Paramètres!$A$1:$I$89,5,0)</f>
        <v>203.32000000000005</v>
      </c>
      <c r="BF53" s="14">
        <f t="shared" si="37"/>
        <v>50.473102640215579</v>
      </c>
      <c r="BG53" s="22">
        <f t="shared" si="7"/>
        <v>442.02298709837555</v>
      </c>
      <c r="BH53" s="62">
        <f t="shared" si="8"/>
        <v>735.35632043170881</v>
      </c>
      <c r="BI53" s="62">
        <f ca="1">AVERAGE(OFFSET($BH$3,0,0,'Données projet'!$E$11+1,1))-AVERAGE(OFFSET($H$3,0,0,'Données projet'!$E$11+1,1))</f>
        <v>287.69656598881124</v>
      </c>
      <c r="BJ53" s="62">
        <f t="shared" si="38"/>
        <v>221.9773436301067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53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8.9004526570019618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0.10008425263493387</v>
      </c>
      <c r="BS53" s="24">
        <f t="shared" si="9"/>
        <v>9.0005369096368959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310.95287409903602</v>
      </c>
      <c r="T54" s="62">
        <f t="shared" si="34"/>
        <v>224.10083380795163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13.8</v>
      </c>
      <c r="AI54" s="14">
        <f>IF('Données projet'!$A$62&gt;35,AI53+AH54-AQ53,IF(A54&lt;'Données projet'!$A$62,$AF$205^A54,IF(A54='Données projet'!$A$62,'Données projet'!$B$62,AI53+AH54-AQ53)))</f>
        <v>594.79999999999973</v>
      </c>
      <c r="AJ54" s="14">
        <f>AI54*VLOOKUP('Données projet'!$B$10,Paramètres!$A$1:$I$89,3,0)*VLOOKUP('Données projet'!$B$10,Paramètres!$A$1:$I$89,5,0)</f>
        <v>332.49319999999983</v>
      </c>
      <c r="AK54" s="14">
        <f t="shared" si="35"/>
        <v>77.946984490524827</v>
      </c>
      <c r="AL54" s="22">
        <f t="shared" si="4"/>
        <v>714.84998798766367</v>
      </c>
      <c r="AM54" s="62">
        <f t="shared" si="5"/>
        <v>1008.183321320997</v>
      </c>
      <c r="AN54" s="62">
        <f ca="1">AVERAGE(OFFSET($AM$3,0,0,'Données projet'!$E$10+1,1))-AVERAGE(OFFSET($H$3,0,0,'Données projet'!$E$10+1,1))</f>
        <v>382.55387448074327</v>
      </c>
      <c r="AO54" s="62">
        <f t="shared" si="36"/>
        <v>476.29465646955543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6.9227484611691255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2.082962613253337E-2</v>
      </c>
      <c r="AX54" s="23">
        <f t="shared" si="6"/>
        <v>6.9435780873016588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17.625</v>
      </c>
      <c r="BD54" s="13">
        <f>IF('Données projet'!$A$88&gt;35,BD53+BC54-BL53,IF(A54&lt;'Données projet'!$A$88,$BA$205^A54,IF(A54='Données projet'!$A$88,'Données projet'!$B$88,BD53+BC54-BL53)))</f>
        <v>304.62500000000006</v>
      </c>
      <c r="BE54" s="14">
        <f>BD54*VLOOKUP('Données projet'!$B$11,Paramètres!$A$1:$I$89,3,0)*VLOOKUP('Données projet'!$B$11,Paramètres!$A$1:$I$89,5,0)</f>
        <v>182.16575000000003</v>
      </c>
      <c r="BF54" s="14">
        <f t="shared" si="37"/>
        <v>45.803689728693968</v>
      </c>
      <c r="BG54" s="22">
        <f t="shared" si="7"/>
        <v>397.04677419414202</v>
      </c>
      <c r="BH54" s="62">
        <f t="shared" si="8"/>
        <v>690.38010752747527</v>
      </c>
      <c r="BI54" s="62">
        <f ca="1">AVERAGE(OFFSET($BH$3,0,0,'Données projet'!$E$11+1,1))-AVERAGE(OFFSET($H$3,0,0,'Données projet'!$E$11+1,1))</f>
        <v>287.69656598881124</v>
      </c>
      <c r="BJ54" s="62">
        <f t="shared" si="38"/>
        <v>221.9773436301067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8.7259202091382306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7.0770253728149324E-2</v>
      </c>
      <c r="BS54" s="24">
        <f t="shared" si="9"/>
        <v>8.7966904628663798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310.95287409903602</v>
      </c>
      <c r="T55" s="62">
        <f t="shared" si="34"/>
        <v>224.10083380795163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13.8</v>
      </c>
      <c r="AI55" s="14">
        <f>IF('Données projet'!$A$62&gt;35,AI54+AH55-AQ54,IF(A55&lt;'Données projet'!$A$62,$AF$205^A55,IF(A55='Données projet'!$A$62,'Données projet'!$B$62,AI54+AH55-AQ54)))</f>
        <v>608.59999999999968</v>
      </c>
      <c r="AJ55" s="14">
        <f>AI55*VLOOKUP('Données projet'!$B$10,Paramètres!$A$1:$I$89,3,0)*VLOOKUP('Données projet'!$B$10,Paramètres!$A$1:$I$89,5,0)</f>
        <v>340.20739999999984</v>
      </c>
      <c r="AK55" s="14">
        <f t="shared" si="35"/>
        <v>79.542795053996059</v>
      </c>
      <c r="AL55" s="22">
        <f t="shared" si="4"/>
        <v>731.06492305237623</v>
      </c>
      <c r="AM55" s="62">
        <f t="shared" si="5"/>
        <v>1024.3982563857096</v>
      </c>
      <c r="AN55" s="62">
        <f ca="1">AVERAGE(OFFSET($AM$3,0,0,'Données projet'!$E$10+1,1))-AVERAGE(OFFSET($H$3,0,0,'Données projet'!$E$10+1,1))</f>
        <v>382.55387448074327</v>
      </c>
      <c r="AO55" s="62">
        <f t="shared" si="36"/>
        <v>476.29465646955543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6.786997586305227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1.4728769887894866E-2</v>
      </c>
      <c r="AX55" s="23">
        <f t="shared" si="6"/>
        <v>6.8017263561931216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17.625</v>
      </c>
      <c r="BD55" s="13">
        <f>IF('Données projet'!$A$88&gt;35,BD54+BC55-BL54,IF(A55&lt;'Données projet'!$A$88,$BA$205^A55,IF(A55='Données projet'!$A$88,'Données projet'!$B$88,BD54+BC55-BL54)))</f>
        <v>322.25000000000006</v>
      </c>
      <c r="BE55" s="14">
        <f>BD55*VLOOKUP('Données projet'!$B$11,Paramètres!$A$1:$I$89,3,0)*VLOOKUP('Données projet'!$B$11,Paramètres!$A$1:$I$89,5,0)</f>
        <v>192.70550000000006</v>
      </c>
      <c r="BF55" s="14">
        <f t="shared" si="37"/>
        <v>48.137607387789963</v>
      </c>
      <c r="BG55" s="22">
        <f t="shared" si="7"/>
        <v>419.46841203373424</v>
      </c>
      <c r="BH55" s="62">
        <f t="shared" si="8"/>
        <v>712.8017453670675</v>
      </c>
      <c r="BI55" s="62">
        <f ca="1">AVERAGE(OFFSET($BH$3,0,0,'Données projet'!$E$11+1,1))-AVERAGE(OFFSET($H$3,0,0,'Données projet'!$E$11+1,1))</f>
        <v>287.69656598881124</v>
      </c>
      <c r="BJ55" s="62">
        <f t="shared" si="38"/>
        <v>221.9773436301067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8.554810236122826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5.0042126317466934E-2</v>
      </c>
      <c r="BS55" s="24">
        <f t="shared" si="9"/>
        <v>8.6048523624402922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310.95287409903602</v>
      </c>
      <c r="T56" s="62">
        <f t="shared" si="34"/>
        <v>224.10083380795163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13.8</v>
      </c>
      <c r="AI56" s="14">
        <f>IF('Données projet'!$A$62&gt;35,AI55+AH56-AQ55,IF(A56&lt;'Données projet'!$A$62,$AF$205^A56,IF(A56='Données projet'!$A$62,'Données projet'!$B$62,AI55+AH56-AQ55)))</f>
        <v>622.39999999999964</v>
      </c>
      <c r="AJ56" s="14">
        <f>AI56*VLOOKUP('Données projet'!$B$10,Paramètres!$A$1:$I$89,3,0)*VLOOKUP('Données projet'!$B$10,Paramètres!$A$1:$I$89,5,0)</f>
        <v>347.92159999999978</v>
      </c>
      <c r="AK56" s="14">
        <f t="shared" si="35"/>
        <v>81.134398856989449</v>
      </c>
      <c r="AL56" s="22">
        <f t="shared" si="4"/>
        <v>747.27253134258956</v>
      </c>
      <c r="AM56" s="62">
        <f t="shared" si="5"/>
        <v>1040.6058646759229</v>
      </c>
      <c r="AN56" s="62">
        <f ca="1">AVERAGE(OFFSET($AM$3,0,0,'Données projet'!$E$10+1,1))-AVERAGE(OFFSET($H$3,0,0,'Données projet'!$E$10+1,1))</f>
        <v>382.55387448074327</v>
      </c>
      <c r="AO56" s="62">
        <f t="shared" si="36"/>
        <v>476.29465646955543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6.6539087032975512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1.0414813066266687E-2</v>
      </c>
      <c r="AX56" s="23">
        <f t="shared" si="6"/>
        <v>6.6643235163638179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17.625</v>
      </c>
      <c r="BD56" s="13">
        <f>IF('Données projet'!$A$88&gt;35,BD55+BC56-BL55,IF(A56&lt;'Données projet'!$A$88,$BA$205^A56,IF(A56='Données projet'!$A$88,'Données projet'!$B$88,BD55+BC56-BL55)))</f>
        <v>339.87500000000006</v>
      </c>
      <c r="BE56" s="14">
        <f>BD56*VLOOKUP('Données projet'!$B$11,Paramètres!$A$1:$I$89,3,0)*VLOOKUP('Données projet'!$B$11,Paramètres!$A$1:$I$89,5,0)</f>
        <v>203.24525000000006</v>
      </c>
      <c r="BF56" s="14">
        <f t="shared" si="37"/>
        <v>50.45670595349123</v>
      </c>
      <c r="BG56" s="22">
        <f t="shared" si="7"/>
        <v>441.86423995233059</v>
      </c>
      <c r="BH56" s="62">
        <f t="shared" si="8"/>
        <v>735.19757328566391</v>
      </c>
      <c r="BI56" s="62">
        <f ca="1">AVERAGE(OFFSET($BH$3,0,0,'Données projet'!$E$11+1,1))-AVERAGE(OFFSET($H$3,0,0,'Données projet'!$E$11+1,1))</f>
        <v>287.69656598881124</v>
      </c>
      <c r="BJ56" s="62">
        <f t="shared" si="38"/>
        <v>221.9773436301067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8.3870556253114739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3.5385126864074662E-2</v>
      </c>
      <c r="BS56" s="24">
        <f t="shared" si="9"/>
        <v>8.4224407521755484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310.95287409903602</v>
      </c>
      <c r="T57" s="62">
        <f t="shared" si="34"/>
        <v>224.10083380795163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13.8</v>
      </c>
      <c r="AI57" s="14">
        <f>IF('Données projet'!$A$62&gt;35,AI56+AH57-AQ56,IF(A57&lt;'Données projet'!$A$62,$AF$205^A57,IF(A57='Données projet'!$A$62,'Données projet'!$B$62,AI56+AH57-AQ56)))</f>
        <v>636.19999999999959</v>
      </c>
      <c r="AJ57" s="14">
        <f>AI57*VLOOKUP('Données projet'!$B$10,Paramètres!$A$1:$I$89,3,0)*VLOOKUP('Données projet'!$B$10,Paramètres!$A$1:$I$89,5,0)</f>
        <v>355.63579999999973</v>
      </c>
      <c r="AK57" s="14">
        <f t="shared" si="35"/>
        <v>82.721899912765039</v>
      </c>
      <c r="AL57" s="22">
        <f t="shared" si="4"/>
        <v>763.47299401473185</v>
      </c>
      <c r="AM57" s="62">
        <f t="shared" si="5"/>
        <v>1056.8063273480652</v>
      </c>
      <c r="AN57" s="62">
        <f ca="1">AVERAGE(OFFSET($AM$3,0,0,'Données projet'!$E$10+1,1))-AVERAGE(OFFSET($H$3,0,0,'Données projet'!$E$10+1,1))</f>
        <v>382.55387448074327</v>
      </c>
      <c r="AO57" s="62">
        <f t="shared" si="36"/>
        <v>476.29465646955543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6.523429612109453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7.3643849439474348E-3</v>
      </c>
      <c r="AX57" s="23">
        <f t="shared" si="6"/>
        <v>6.5307939970534008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17.625</v>
      </c>
      <c r="BD57" s="13">
        <f>IF('Données projet'!$A$88&gt;35,BD56+BC57-BL56,IF(A57&lt;'Données projet'!$A$88,$BA$205^A57,IF(A57='Données projet'!$A$88,'Données projet'!$B$88,BD56+BC57-BL56)))</f>
        <v>357.50000000000006</v>
      </c>
      <c r="BE57" s="14">
        <f>BD57*VLOOKUP('Données projet'!$B$11,Paramètres!$A$1:$I$89,3,0)*VLOOKUP('Données projet'!$B$11,Paramètres!$A$1:$I$89,5,0)</f>
        <v>213.78500000000005</v>
      </c>
      <c r="BF57" s="14">
        <f t="shared" si="37"/>
        <v>52.761841557402377</v>
      </c>
      <c r="BG57" s="22">
        <f t="shared" si="7"/>
        <v>464.2357490458092</v>
      </c>
      <c r="BH57" s="62">
        <f t="shared" si="8"/>
        <v>757.56908237914251</v>
      </c>
      <c r="BI57" s="62">
        <f ca="1">AVERAGE(OFFSET($BH$3,0,0,'Données projet'!$E$11+1,1))-AVERAGE(OFFSET($H$3,0,0,'Données projet'!$E$11+1,1))</f>
        <v>287.69656598881124</v>
      </c>
      <c r="BJ57" s="62">
        <f t="shared" si="38"/>
        <v>221.9773436301067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8.2225905800979238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2.5021063158733467E-2</v>
      </c>
      <c r="BS57" s="24">
        <f t="shared" si="9"/>
        <v>8.2476116432566577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310.95287409903602</v>
      </c>
      <c r="T58" s="62">
        <f t="shared" si="34"/>
        <v>224.10083380795163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650</v>
      </c>
      <c r="AG58" s="13">
        <f>VLOOKUP(A58,'Données projet'!$A$61:$I$81,9,0)</f>
        <v>13.8</v>
      </c>
      <c r="AH58" s="13">
        <f t="array" ref="AH58">INDEX(AG:AG,MIN(IF(ISNUMBER(AG58:AG254),ROW(AG58:AG254),"")))</f>
        <v>13.8</v>
      </c>
      <c r="AI58" s="14">
        <f>IF('Données projet'!$A$62&gt;35,AI57+AH58-AQ57,IF(A58&lt;'Données projet'!$A$62,$AF$205^A58,IF(A58='Données projet'!$A$62,'Données projet'!$B$62,AI57+AH58-AQ57)))</f>
        <v>649.99999999999955</v>
      </c>
      <c r="AJ58" s="14">
        <f>AI58*VLOOKUP('Données projet'!$B$10,Paramètres!$A$1:$I$89,3,0)*VLOOKUP('Données projet'!$B$10,Paramètres!$A$1:$I$89,5,0)</f>
        <v>363.34999999999974</v>
      </c>
      <c r="AK58" s="14">
        <f t="shared" si="35"/>
        <v>84.305397464498199</v>
      </c>
      <c r="AL58" s="22">
        <f t="shared" si="4"/>
        <v>779.66648391733395</v>
      </c>
      <c r="AM58" s="62">
        <f t="shared" si="5"/>
        <v>1072.9998172506673</v>
      </c>
      <c r="AN58" s="62">
        <f ca="1">AVERAGE(OFFSET($AM$3,0,0,'Données projet'!$E$10+1,1))-AVERAGE(OFFSET($H$3,0,0,'Données projet'!$E$10+1,1))</f>
        <v>382.55387448074327</v>
      </c>
      <c r="AO58" s="62">
        <f t="shared" si="36"/>
        <v>476.29465646955543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35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6.3955091363151668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5.2074065331333443E-3</v>
      </c>
      <c r="AX58" s="23">
        <f t="shared" si="6"/>
        <v>6.4007165428483006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17.625</v>
      </c>
      <c r="BD58" s="13">
        <f>IF('Données projet'!$A$88&gt;35,BD57+BC58-BL57,IF(A58&lt;'Données projet'!$A$88,$BA$205^A58,IF(A58='Données projet'!$A$88,'Données projet'!$B$88,BD57+BC58-BL57)))</f>
        <v>375.12500000000006</v>
      </c>
      <c r="BE58" s="14">
        <f>BD58*VLOOKUP('Données projet'!$B$11,Paramètres!$A$1:$I$89,3,0)*VLOOKUP('Données projet'!$B$11,Paramètres!$A$1:$I$89,5,0)</f>
        <v>224.32475000000005</v>
      </c>
      <c r="BF58" s="14">
        <f t="shared" si="37"/>
        <v>55.053781146410472</v>
      </c>
      <c r="BG58" s="22">
        <f t="shared" si="7"/>
        <v>486.58427507999835</v>
      </c>
      <c r="BH58" s="62">
        <f t="shared" si="8"/>
        <v>779.91760841333166</v>
      </c>
      <c r="BI58" s="62">
        <f ca="1">AVERAGE(OFFSET($BH$3,0,0,'Données projet'!$E$11+1,1))-AVERAGE(OFFSET($H$3,0,0,'Données projet'!$E$11+1,1))</f>
        <v>287.69656598881124</v>
      </c>
      <c r="BJ58" s="62">
        <f t="shared" si="38"/>
        <v>221.9773436301067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8.061350594107239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1.7692563432037331E-2</v>
      </c>
      <c r="BS58" s="24">
        <f t="shared" si="9"/>
        <v>8.0790431575392763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310.95287409903602</v>
      </c>
      <c r="T59" s="62">
        <f t="shared" si="34"/>
        <v>224.10083380795163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10.199999999999999</v>
      </c>
      <c r="AI59" s="14">
        <f>IF('Données projet'!$A$62&gt;35,AI58+AH59-AQ58,IF(A59&lt;'Données projet'!$A$62,$AF$205^A59,IF(A59='Données projet'!$A$62,'Données projet'!$B$62,AI58+AH59-AQ58)))</f>
        <v>625.19999999999959</v>
      </c>
      <c r="AJ59" s="14">
        <f>AI59*VLOOKUP('Données projet'!$B$10,Paramètres!$A$1:$I$89,3,0)*VLOOKUP('Données projet'!$B$10,Paramètres!$A$1:$I$89,5,0)</f>
        <v>349.48679999999979</v>
      </c>
      <c r="AK59" s="14">
        <f t="shared" si="35"/>
        <v>81.45682900536228</v>
      </c>
      <c r="AL59" s="22">
        <f t="shared" si="4"/>
        <v>750.56015385100557</v>
      </c>
      <c r="AM59" s="62">
        <f t="shared" si="5"/>
        <v>1043.8934871843389</v>
      </c>
      <c r="AN59" s="62">
        <f ca="1">AVERAGE(OFFSET($AM$3,0,0,'Données projet'!$E$10+1,1))-AVERAGE(OFFSET($H$3,0,0,'Données projet'!$E$10+1,1))</f>
        <v>382.55387448074327</v>
      </c>
      <c r="AO59" s="62">
        <f t="shared" si="36"/>
        <v>476.29465646955543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6.2700971030274202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3.6821924719737179E-3</v>
      </c>
      <c r="AX59" s="23">
        <f t="shared" si="6"/>
        <v>6.2737792954993941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17.625</v>
      </c>
      <c r="BD59" s="13">
        <f>IF('Données projet'!$A$88&gt;35,BD58+BC59-BL58,IF(A59&lt;'Données projet'!$A$88,$BA$205^A59,IF(A59='Données projet'!$A$88,'Données projet'!$B$88,BD58+BC59-BL58)))</f>
        <v>392.75000000000006</v>
      </c>
      <c r="BE59" s="14">
        <f>BD59*VLOOKUP('Données projet'!$B$11,Paramètres!$A$1:$I$89,3,0)*VLOOKUP('Données projet'!$B$11,Paramètres!$A$1:$I$89,5,0)</f>
        <v>234.86450000000002</v>
      </c>
      <c r="BF59" s="14">
        <f t="shared" si="37"/>
        <v>57.33321552572081</v>
      </c>
      <c r="BG59" s="22">
        <f t="shared" si="7"/>
        <v>508.9110212072971</v>
      </c>
      <c r="BH59" s="62">
        <f t="shared" si="8"/>
        <v>802.24435454063041</v>
      </c>
      <c r="BI59" s="62">
        <f ca="1">AVERAGE(OFFSET($BH$3,0,0,'Données projet'!$E$11+1,1))-AVERAGE(OFFSET($H$3,0,0,'Données projet'!$E$11+1,1))</f>
        <v>287.69656598881124</v>
      </c>
      <c r="BJ59" s="62">
        <f t="shared" si="38"/>
        <v>221.9773436301067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7.9032724258951514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1.2510531579366733E-2</v>
      </c>
      <c r="BS59" s="24">
        <f t="shared" si="9"/>
        <v>7.9157829574745184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310.95287409903602</v>
      </c>
      <c r="T60" s="62">
        <f t="shared" si="34"/>
        <v>224.10083380795163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10.199999999999999</v>
      </c>
      <c r="AI60" s="14">
        <f>IF('Données projet'!$A$62&gt;35,AI59+AH60-AQ59,IF(A60&lt;'Données projet'!$A$62,$AF$205^A60,IF(A60='Données projet'!$A$62,'Données projet'!$B$62,AI59+AH60-AQ59)))</f>
        <v>635.39999999999964</v>
      </c>
      <c r="AJ60" s="14">
        <f>AI60*VLOOKUP('Données projet'!$B$10,Paramètres!$A$1:$I$89,3,0)*VLOOKUP('Données projet'!$B$10,Paramètres!$A$1:$I$89,5,0)</f>
        <v>355.18859999999984</v>
      </c>
      <c r="AK60" s="14">
        <f t="shared" si="35"/>
        <v>82.629981116726043</v>
      </c>
      <c r="AL60" s="22">
        <f t="shared" si="4"/>
        <v>762.53402877829774</v>
      </c>
      <c r="AM60" s="62">
        <f t="shared" si="5"/>
        <v>1055.8673621116311</v>
      </c>
      <c r="AN60" s="62">
        <f ca="1">AVERAGE(OFFSET($AM$3,0,0,'Données projet'!$E$10+1,1))-AVERAGE(OFFSET($H$3,0,0,'Données projet'!$E$10+1,1))</f>
        <v>382.55387448074327</v>
      </c>
      <c r="AO60" s="62">
        <f t="shared" si="36"/>
        <v>476.29465646955543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6.1471443232186589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2.6037032665666726E-3</v>
      </c>
      <c r="AX60" s="23">
        <f t="shared" si="6"/>
        <v>6.1497480264852253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17.625</v>
      </c>
      <c r="BD60" s="13">
        <f>IF('Données projet'!$A$88&gt;35,BD59+BC60-BL59,IF(A60&lt;'Données projet'!$A$88,$BA$205^A60,IF(A60='Données projet'!$A$88,'Données projet'!$B$88,BD59+BC60-BL59)))</f>
        <v>410.37500000000006</v>
      </c>
      <c r="BE60" s="14">
        <f>BD60*VLOOKUP('Données projet'!$B$11,Paramètres!$A$1:$I$89,3,0)*VLOOKUP('Données projet'!$B$11,Paramètres!$A$1:$I$89,5,0)</f>
        <v>245.40425000000005</v>
      </c>
      <c r="BF60" s="14">
        <f t="shared" si="37"/>
        <v>59.60076999447687</v>
      </c>
      <c r="BG60" s="22">
        <f t="shared" si="7"/>
        <v>531.21707649038069</v>
      </c>
      <c r="BH60" s="62">
        <f t="shared" si="8"/>
        <v>824.55040982371406</v>
      </c>
      <c r="BI60" s="62">
        <f ca="1">AVERAGE(OFFSET($BH$3,0,0,'Données projet'!$E$11+1,1))-AVERAGE(OFFSET($H$3,0,0,'Données projet'!$E$11+1,1))</f>
        <v>287.69656598881124</v>
      </c>
      <c r="BJ60" s="62">
        <f t="shared" si="38"/>
        <v>221.9773436301067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7.7482940741435407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8.8462817160186655E-3</v>
      </c>
      <c r="BS60" s="24">
        <f t="shared" si="9"/>
        <v>7.7571403558595593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310.95287409903602</v>
      </c>
      <c r="T61" s="62">
        <f t="shared" si="34"/>
        <v>224.10083380795163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10.199999999999999</v>
      </c>
      <c r="AI61" s="14">
        <f>IF('Données projet'!$A$62&gt;35,AI60+AH61-AQ60,IF(A61&lt;'Données projet'!$A$62,$AF$205^A61,IF(A61='Données projet'!$A$62,'Données projet'!$B$62,AI60+AH61-AQ60)))</f>
        <v>645.59999999999968</v>
      </c>
      <c r="AJ61" s="14">
        <f>AI61*VLOOKUP('Données projet'!$B$10,Paramètres!$A$1:$I$89,3,0)*VLOOKUP('Données projet'!$B$10,Paramètres!$A$1:$I$89,5,0)</f>
        <v>360.89039999999977</v>
      </c>
      <c r="AK61" s="14">
        <f t="shared" si="35"/>
        <v>83.800943075865291</v>
      </c>
      <c r="AL61" s="22">
        <f t="shared" si="4"/>
        <v>774.50408919046504</v>
      </c>
      <c r="AM61" s="62">
        <f t="shared" si="5"/>
        <v>1067.8374225237983</v>
      </c>
      <c r="AN61" s="62">
        <f ca="1">AVERAGE(OFFSET($AM$3,0,0,'Données projet'!$E$10+1,1))-AVERAGE(OFFSET($H$3,0,0,'Données projet'!$E$10+1,1))</f>
        <v>382.55387448074327</v>
      </c>
      <c r="AO61" s="62">
        <f t="shared" si="36"/>
        <v>476.29465646955543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6.0266025724281569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1.8410962359868594E-3</v>
      </c>
      <c r="AX61" s="23">
        <f t="shared" si="6"/>
        <v>6.0284436686641438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428</v>
      </c>
      <c r="BB61" s="13">
        <f>VLOOKUP(A61,'Données projet'!$A$87:$I$107,9,0)</f>
        <v>17.625</v>
      </c>
      <c r="BC61" s="13">
        <f t="array" ref="BC61">INDEX(BB:BB,MIN(IF(ISNUMBER(BB61:BB257),ROW(BB61:BB257),"")))</f>
        <v>17.625</v>
      </c>
      <c r="BD61" s="13">
        <f>IF('Données projet'!$A$88&gt;35,BD60+BC61-BL60,IF(A61&lt;'Données projet'!$A$88,$BA$205^A61,IF(A61='Données projet'!$A$88,'Données projet'!$B$88,BD60+BC61-BL60)))</f>
        <v>428.00000000000006</v>
      </c>
      <c r="BE61" s="14">
        <f>BD61*VLOOKUP('Données projet'!$B$11,Paramètres!$A$1:$I$89,3,0)*VLOOKUP('Données projet'!$B$11,Paramètres!$A$1:$I$89,5,0)</f>
        <v>255.94400000000005</v>
      </c>
      <c r="BF61" s="14">
        <f t="shared" si="37"/>
        <v>61.857013102708898</v>
      </c>
      <c r="BG61" s="22">
        <f t="shared" si="7"/>
        <v>553.50343115388478</v>
      </c>
      <c r="BH61" s="62">
        <f t="shared" si="8"/>
        <v>846.83676448721803</v>
      </c>
      <c r="BI61" s="62">
        <f ca="1">AVERAGE(OFFSET($BH$3,0,0,'Données projet'!$E$11+1,1))-AVERAGE(OFFSET($H$3,0,0,'Données projet'!$E$11+1,1))</f>
        <v>287.69656598881124</v>
      </c>
      <c r="BJ61" s="62">
        <f t="shared" si="38"/>
        <v>221.9773436301067</v>
      </c>
      <c r="BK61" s="16">
        <f>IF(ISNA(VLOOKUP(A61,'Données projet'!$A$87:$I$107,3,0)),0,VLOOKUP(A61,'Données projet'!$A$87:$I$107,3,0))</f>
        <v>8</v>
      </c>
      <c r="BL61" s="16">
        <f>IF(ISNA(VLOOKUP(A61,'Données projet'!$A$87:$I$107,4,0)),0,VLOOKUP(A61,'Données projet'!$A$87:$I$107,4,0))</f>
        <v>78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7.5963547533423181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6.2552657896833667E-3</v>
      </c>
      <c r="BS61" s="24">
        <f t="shared" si="9"/>
        <v>7.6026100191320012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310.95287409903602</v>
      </c>
      <c r="T62" s="62">
        <f t="shared" si="34"/>
        <v>224.10083380795163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10.199999999999999</v>
      </c>
      <c r="AI62" s="14">
        <f>IF('Données projet'!$A$62&gt;35,AI61+AH62-AQ61,IF(A62&lt;'Données projet'!$A$62,$AF$205^A62,IF(A62='Données projet'!$A$62,'Données projet'!$B$62,AI61+AH62-AQ61)))</f>
        <v>655.79999999999973</v>
      </c>
      <c r="AJ62" s="14">
        <f>AI62*VLOOKUP('Données projet'!$B$10,Paramètres!$A$1:$I$89,3,0)*VLOOKUP('Données projet'!$B$10,Paramètres!$A$1:$I$89,5,0)</f>
        <v>366.59219999999982</v>
      </c>
      <c r="AK62" s="14">
        <f t="shared" si="35"/>
        <v>84.969753481055022</v>
      </c>
      <c r="AL62" s="22">
        <f t="shared" si="4"/>
        <v>786.47040231283711</v>
      </c>
      <c r="AM62" s="62">
        <f t="shared" si="5"/>
        <v>1079.8037356461705</v>
      </c>
      <c r="AN62" s="62">
        <f ca="1">AVERAGE(OFFSET($AM$3,0,0,'Données projet'!$E$10+1,1))-AVERAGE(OFFSET($H$3,0,0,'Données projet'!$E$10+1,1))</f>
        <v>382.55387448074327</v>
      </c>
      <c r="AO62" s="62">
        <f t="shared" si="36"/>
        <v>476.29465646955543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5.9084245718474486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1.3018516332833365E-3</v>
      </c>
      <c r="AX62" s="23">
        <f t="shared" si="6"/>
        <v>5.9097264234807323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16.625</v>
      </c>
      <c r="BD62" s="13">
        <f>IF('Données projet'!$A$88&gt;35,BD61+BC62-BL61,IF(A62&lt;'Données projet'!$A$88,$BA$205^A62,IF(A62='Données projet'!$A$88,'Données projet'!$B$88,BD61+BC62-BL61)))</f>
        <v>366.62500000000006</v>
      </c>
      <c r="BE62" s="14">
        <f>BD62*VLOOKUP('Données projet'!$B$11,Paramètres!$A$1:$I$89,3,0)*VLOOKUP('Données projet'!$B$11,Paramètres!$A$1:$I$89,5,0)</f>
        <v>219.24175000000005</v>
      </c>
      <c r="BF62" s="14">
        <f t="shared" si="37"/>
        <v>53.950050729111297</v>
      </c>
      <c r="BG62" s="22">
        <f t="shared" si="7"/>
        <v>475.80905293653558</v>
      </c>
      <c r="BH62" s="62">
        <f t="shared" si="8"/>
        <v>769.14238626986889</v>
      </c>
      <c r="BI62" s="62">
        <f ca="1">AVERAGE(OFFSET($BH$3,0,0,'Données projet'!$E$11+1,1))-AVERAGE(OFFSET($H$3,0,0,'Données projet'!$E$11+1,1))</f>
        <v>287.69656598881124</v>
      </c>
      <c r="BJ62" s="62">
        <f t="shared" si="38"/>
        <v>221.9773436301067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7.4473948699481722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4.4231408580093327E-3</v>
      </c>
      <c r="BS62" s="24">
        <f t="shared" si="9"/>
        <v>7.451818010806182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310.95287409903602</v>
      </c>
      <c r="T63" s="62">
        <f t="shared" si="34"/>
        <v>224.10083380795163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666</v>
      </c>
      <c r="AG63" s="13">
        <f>VLOOKUP(A63,'Données projet'!$A$61:$I$81,9,0)</f>
        <v>10.199999999999999</v>
      </c>
      <c r="AH63" s="13">
        <f t="array" ref="AH63">INDEX(AG:AG,MIN(IF(ISNUMBER(AG63:AG259),ROW(AG63:AG259),"")))</f>
        <v>10.199999999999999</v>
      </c>
      <c r="AI63" s="14">
        <f>IF('Données projet'!$A$62&gt;35,AI62+AH63-AQ62,IF(A63&lt;'Données projet'!$A$62,$AF$205^A63,IF(A63='Données projet'!$A$62,'Données projet'!$B$62,AI62+AH63-AQ62)))</f>
        <v>665.99999999999977</v>
      </c>
      <c r="AJ63" s="14">
        <f>AI63*VLOOKUP('Données projet'!$B$10,Paramètres!$A$1:$I$89,3,0)*VLOOKUP('Données projet'!$B$10,Paramètres!$A$1:$I$89,5,0)</f>
        <v>372.29399999999987</v>
      </c>
      <c r="AK63" s="14">
        <f t="shared" si="35"/>
        <v>86.136449661008839</v>
      </c>
      <c r="AL63" s="22">
        <f t="shared" si="4"/>
        <v>798.43303315959008</v>
      </c>
      <c r="AM63" s="62">
        <f t="shared" si="5"/>
        <v>1091.7663664929235</v>
      </c>
      <c r="AN63" s="62">
        <f ca="1">AVERAGE(OFFSET($AM$3,0,0,'Données projet'!$E$10+1,1))-AVERAGE(OFFSET($H$3,0,0,'Données projet'!$E$10+1,1))</f>
        <v>382.55387448074327</v>
      </c>
      <c r="AO63" s="62">
        <f t="shared" si="36"/>
        <v>476.29465646955543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666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5.7925639697766647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9.2054811799342979E-4</v>
      </c>
      <c r="AX63" s="23">
        <f t="shared" si="6"/>
        <v>5.7934845178946581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16.625</v>
      </c>
      <c r="BD63" s="13">
        <f>IF('Données projet'!$A$88&gt;35,BD62+BC63-BL62,IF(A63&lt;'Données projet'!$A$88,$BA$205^A63,IF(A63='Données projet'!$A$88,'Données projet'!$B$88,BD62+BC63-BL62)))</f>
        <v>383.25000000000006</v>
      </c>
      <c r="BE63" s="14">
        <f>BD63*VLOOKUP('Données projet'!$B$11,Paramètres!$A$1:$I$89,3,0)*VLOOKUP('Données projet'!$B$11,Paramètres!$A$1:$I$89,5,0)</f>
        <v>229.18350000000007</v>
      </c>
      <c r="BF63" s="14">
        <f t="shared" si="37"/>
        <v>56.106098616839645</v>
      </c>
      <c r="BG63" s="22">
        <f t="shared" si="7"/>
        <v>496.87938425766248</v>
      </c>
      <c r="BH63" s="62">
        <f t="shared" si="8"/>
        <v>790.21271759099579</v>
      </c>
      <c r="BI63" s="62">
        <f ca="1">AVERAGE(OFFSET($BH$3,0,0,'Données projet'!$E$11+1,1))-AVERAGE(OFFSET($H$3,0,0,'Données projet'!$E$11+1,1))</f>
        <v>287.69656598881124</v>
      </c>
      <c r="BJ63" s="62">
        <f t="shared" si="38"/>
        <v>221.9773436301067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7.3013559990108288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3.1276328948416834E-3</v>
      </c>
      <c r="BS63" s="24">
        <f t="shared" si="9"/>
        <v>7.3044836319056703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310.95287409903602</v>
      </c>
      <c r="T64" s="62">
        <f t="shared" si="34"/>
        <v>224.10083380795163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-2.2737367544323206E-13</v>
      </c>
      <c r="AJ64" s="14">
        <f>AI64*VLOOKUP('Données projet'!$B$10,Paramètres!$A$1:$I$89,3,0)*VLOOKUP('Données projet'!$B$10,Paramètres!$A$1:$I$89,5,0)</f>
        <v>-1.2710188457276673E-13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382.55387448074327</v>
      </c>
      <c r="AO64" s="62">
        <f t="shared" si="36"/>
        <v>476.29465646955543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5.6789753234445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6.5092581664166836E-4</v>
      </c>
      <c r="AX64" s="23">
        <f t="shared" si="6"/>
        <v>5.6796262492611413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16.625</v>
      </c>
      <c r="BD64" s="13">
        <f>IF('Données projet'!$A$88&gt;35,BD63+BC64-BL63,IF(A64&lt;'Données projet'!$A$88,$BA$205^A64,IF(A64='Données projet'!$A$88,'Données projet'!$B$88,BD63+BC64-BL63)))</f>
        <v>399.87500000000006</v>
      </c>
      <c r="BE64" s="14">
        <f>BD64*VLOOKUP('Données projet'!$B$11,Paramètres!$A$1:$I$89,3,0)*VLOOKUP('Données projet'!$B$11,Paramètres!$A$1:$I$89,5,0)</f>
        <v>239.12525000000005</v>
      </c>
      <c r="BF64" s="14">
        <f t="shared" si="37"/>
        <v>58.251283780505084</v>
      </c>
      <c r="BG64" s="22">
        <f t="shared" si="7"/>
        <v>517.93079633437981</v>
      </c>
      <c r="BH64" s="62">
        <f t="shared" si="8"/>
        <v>811.26412966771318</v>
      </c>
      <c r="BI64" s="62">
        <f ca="1">AVERAGE(OFFSET($BH$3,0,0,'Données projet'!$E$11+1,1))-AVERAGE(OFFSET($H$3,0,0,'Données projet'!$E$11+1,1))</f>
        <v>287.69656598881124</v>
      </c>
      <c r="BJ64" s="62">
        <f t="shared" si="38"/>
        <v>221.9773436301067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7.1581808612576507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2.2115704290046664E-3</v>
      </c>
      <c r="BS64" s="24">
        <f t="shared" si="9"/>
        <v>7.1603924316866552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310.95287409903602</v>
      </c>
      <c r="T65" s="62">
        <f t="shared" si="34"/>
        <v>224.10083380795163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-2.2737367544323206E-13</v>
      </c>
      <c r="AJ65" s="14">
        <f>AI65*VLOOKUP('Données projet'!$B$10,Paramètres!$A$1:$I$89,3,0)*VLOOKUP('Données projet'!$B$10,Paramètres!$A$1:$I$89,5,0)</f>
        <v>-1.2710188457276673E-13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382.55387448074327</v>
      </c>
      <c r="AO65" s="62">
        <f t="shared" si="36"/>
        <v>476.29465646955543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5.5676140811846757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4.6027405899671495E-4</v>
      </c>
      <c r="AX65" s="23">
        <f t="shared" si="6"/>
        <v>5.568074355243672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16.625</v>
      </c>
      <c r="BD65" s="13">
        <f>IF('Données projet'!$A$88&gt;35,BD64+BC65-BL64,IF(A65&lt;'Données projet'!$A$88,$BA$205^A65,IF(A65='Données projet'!$A$88,'Données projet'!$B$88,BD64+BC65-BL64)))</f>
        <v>416.50000000000006</v>
      </c>
      <c r="BE65" s="14">
        <f>BD65*VLOOKUP('Données projet'!$B$11,Paramètres!$A$1:$I$89,3,0)*VLOOKUP('Données projet'!$B$11,Paramètres!$A$1:$I$89,5,0)</f>
        <v>249.06700000000004</v>
      </c>
      <c r="BF65" s="14">
        <f t="shared" si="37"/>
        <v>60.386109489804014</v>
      </c>
      <c r="BG65" s="22">
        <f t="shared" si="7"/>
        <v>538.96416569474195</v>
      </c>
      <c r="BH65" s="62">
        <f t="shared" si="8"/>
        <v>832.29749902807521</v>
      </c>
      <c r="BI65" s="62">
        <f ca="1">AVERAGE(OFFSET($BH$3,0,0,'Données projet'!$E$11+1,1))-AVERAGE(OFFSET($H$3,0,0,'Données projet'!$E$11+1,1))</f>
        <v>287.69656598881124</v>
      </c>
      <c r="BJ65" s="62">
        <f t="shared" si="38"/>
        <v>221.9773436301067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7.0178133006276013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1.5638164474208417E-3</v>
      </c>
      <c r="BS65" s="24">
        <f t="shared" si="9"/>
        <v>7.0193771170750221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310.95287409903602</v>
      </c>
      <c r="T66" s="62">
        <f t="shared" si="34"/>
        <v>224.10083380795163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-2.2737367544323206E-13</v>
      </c>
      <c r="AJ66" s="14">
        <f>AI66*VLOOKUP('Données projet'!$B$10,Paramètres!$A$1:$I$89,3,0)*VLOOKUP('Données projet'!$B$10,Paramètres!$A$1:$I$89,5,0)</f>
        <v>-1.2710188457276673E-13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382.55387448074327</v>
      </c>
      <c r="AO66" s="62">
        <f t="shared" si="36"/>
        <v>476.29465646955543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5.4584365649619153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3.2546290832083418E-4</v>
      </c>
      <c r="AX66" s="23">
        <f t="shared" si="6"/>
        <v>5.458762027870236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16.625</v>
      </c>
      <c r="BD66" s="13">
        <f>IF('Données projet'!$A$88&gt;35,BD65+BC66-BL65,IF(A66&lt;'Données projet'!$A$88,$BA$205^A66,IF(A66='Données projet'!$A$88,'Données projet'!$B$88,BD65+BC66-BL65)))</f>
        <v>433.12500000000006</v>
      </c>
      <c r="BE66" s="14">
        <f>BD66*VLOOKUP('Données projet'!$B$11,Paramètres!$A$1:$I$89,3,0)*VLOOKUP('Données projet'!$B$11,Paramètres!$A$1:$I$89,5,0)</f>
        <v>259.00875000000008</v>
      </c>
      <c r="BF66" s="14">
        <f t="shared" si="37"/>
        <v>62.511036563235727</v>
      </c>
      <c r="BG66" s="22">
        <f t="shared" si="7"/>
        <v>559.98029493096897</v>
      </c>
      <c r="BH66" s="62">
        <f t="shared" si="8"/>
        <v>853.31362826430222</v>
      </c>
      <c r="BI66" s="62">
        <f ca="1">AVERAGE(OFFSET($BH$3,0,0,'Données projet'!$E$11+1,1))-AVERAGE(OFFSET($H$3,0,0,'Données projet'!$E$11+1,1))</f>
        <v>287.69656598881124</v>
      </c>
      <c r="BJ66" s="62">
        <f t="shared" si="38"/>
        <v>221.9773436301067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6.8801982622457487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1.1057852145023332E-3</v>
      </c>
      <c r="BS66" s="24">
        <f t="shared" si="9"/>
        <v>6.8813040474602509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310.95287409903602</v>
      </c>
      <c r="T67" s="62">
        <f t="shared" si="34"/>
        <v>224.10083380795163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-2.2737367544323206E-13</v>
      </c>
      <c r="AJ67" s="14">
        <f>AI67*VLOOKUP('Données projet'!$B$10,Paramètres!$A$1:$I$89,3,0)*VLOOKUP('Données projet'!$B$10,Paramètres!$A$1:$I$89,5,0)</f>
        <v>-1.2710188457276673E-13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382.55387448074327</v>
      </c>
      <c r="AO67" s="62">
        <f t="shared" si="36"/>
        <v>476.29465646955543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5.3513999532405743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2.3013702949835747E-4</v>
      </c>
      <c r="AX67" s="23">
        <f t="shared" si="6"/>
        <v>5.3516300902700724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16.625</v>
      </c>
      <c r="BD67" s="13">
        <f>IF('Données projet'!$A$88&gt;35,BD66+BC67-BL66,IF(A67&lt;'Données projet'!$A$88,$BA$205^A67,IF(A67='Données projet'!$A$88,'Données projet'!$B$88,BD66+BC67-BL66)))</f>
        <v>449.75000000000006</v>
      </c>
      <c r="BE67" s="14">
        <f>BD67*VLOOKUP('Données projet'!$B$11,Paramètres!$A$1:$I$89,3,0)*VLOOKUP('Données projet'!$B$11,Paramètres!$A$1:$I$89,5,0)</f>
        <v>268.95050000000009</v>
      </c>
      <c r="BF67" s="14">
        <f t="shared" si="37"/>
        <v>64.626488439895155</v>
      </c>
      <c r="BG67" s="22">
        <f t="shared" si="7"/>
        <v>580.97992153281746</v>
      </c>
      <c r="BH67" s="62">
        <f t="shared" si="8"/>
        <v>874.31325486615083</v>
      </c>
      <c r="BI67" s="62">
        <f ca="1">AVERAGE(OFFSET($BH$3,0,0,'Données projet'!$E$11+1,1))-AVERAGE(OFFSET($H$3,0,0,'Données projet'!$E$11+1,1))</f>
        <v>287.69656598881124</v>
      </c>
      <c r="BJ67" s="62">
        <f t="shared" si="38"/>
        <v>221.9773436301067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6.7452817708296786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7.8190822371042084E-4</v>
      </c>
      <c r="BS67" s="24">
        <f t="shared" si="9"/>
        <v>6.746063679053389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310.95287409903602</v>
      </c>
      <c r="T68" s="62">
        <f t="shared" si="34"/>
        <v>224.10083380795163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-2.2737367544323206E-13</v>
      </c>
      <c r="AJ68" s="14">
        <f>AI68*VLOOKUP('Données projet'!$B$10,Paramètres!$A$1:$I$89,3,0)*VLOOKUP('Données projet'!$B$10,Paramètres!$A$1:$I$89,5,0)</f>
        <v>-1.2710188457276673E-13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382.55387448074327</v>
      </c>
      <c r="AO68" s="62">
        <f t="shared" si="36"/>
        <v>476.29465646955543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5.2464622641892014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1.6273145416041709E-4</v>
      </c>
      <c r="AX68" s="23">
        <f t="shared" ref="AX68:AX131" si="60">SUM(AU68:AW68)</f>
        <v>5.2466249956433622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16.625</v>
      </c>
      <c r="BD68" s="13">
        <f>IF('Données projet'!$A$88&gt;35,BD67+BC68-BL67,IF(A68&lt;'Données projet'!$A$88,$BA$205^A68,IF(A68='Données projet'!$A$88,'Données projet'!$B$88,BD67+BC68-BL67)))</f>
        <v>466.37500000000006</v>
      </c>
      <c r="BE68" s="14">
        <f>BD68*VLOOKUP('Données projet'!$B$11,Paramètres!$A$1:$I$89,3,0)*VLOOKUP('Données projet'!$B$11,Paramètres!$A$1:$I$89,5,0)</f>
        <v>278.89225000000005</v>
      </c>
      <c r="BF68" s="14">
        <f t="shared" si="37"/>
        <v>66.732855480271084</v>
      </c>
      <c r="BG68" s="22">
        <f t="shared" ref="BG68:BG131" si="61">(BE68+BF68)*0.475*44/12</f>
        <v>601.96372537813886</v>
      </c>
      <c r="BH68" s="62">
        <f t="shared" ref="BH68:BH131" si="62">BG68+(AY68+AZ68)*44/12</f>
        <v>895.29705871147212</v>
      </c>
      <c r="BI68" s="62">
        <f ca="1">AVERAGE(OFFSET($BH$3,0,0,'Données projet'!$E$11+1,1))-AVERAGE(OFFSET($H$3,0,0,'Données projet'!$E$11+1,1))</f>
        <v>287.69656598881124</v>
      </c>
      <c r="BJ68" s="62">
        <f t="shared" si="38"/>
        <v>221.9773436301067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6.6130109095193434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5.5289260725116659E-4</v>
      </c>
      <c r="BS68" s="24">
        <f t="shared" ref="BS68:BS131" si="63">SUM(BP68:BR68)</f>
        <v>6.6135638021265946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310.95287409903602</v>
      </c>
      <c r="T69" s="62">
        <f t="shared" ref="T69:T132" si="88">$T$3</f>
        <v>224.10083380795163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-2.2737367544323206E-13</v>
      </c>
      <c r="AJ69" s="14">
        <f>AI69*VLOOKUP('Données projet'!$B$10,Paramètres!$A$1:$I$89,3,0)*VLOOKUP('Données projet'!$B$10,Paramètres!$A$1:$I$89,5,0)</f>
        <v>-1.2710188457276673E-13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382.55387448074327</v>
      </c>
      <c r="AO69" s="62">
        <f t="shared" ref="AO69:AO132" si="90">$AO$3</f>
        <v>476.29465646955543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5.143582339214456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1.1506851474917874E-4</v>
      </c>
      <c r="AX69" s="23">
        <f t="shared" si="60"/>
        <v>5.1436974077292055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483</v>
      </c>
      <c r="BB69" s="13">
        <f>VLOOKUP(A69,'Données projet'!$A$87:$I$107,9,0)</f>
        <v>16.625</v>
      </c>
      <c r="BC69" s="13">
        <f t="array" ref="BC69">INDEX(BB:BB,MIN(IF(ISNUMBER(BB69:BB265),ROW(BB69:BB265),"")))</f>
        <v>16.625</v>
      </c>
      <c r="BD69" s="13">
        <f>IF('Données projet'!$A$88&gt;35,BD68+BC69-BL68,IF(A69&lt;'Données projet'!$A$88,$BA$205^A69,IF(A69='Données projet'!$A$88,'Données projet'!$B$88,BD68+BC69-BL68)))</f>
        <v>483.00000000000006</v>
      </c>
      <c r="BE69" s="14">
        <f>BD69*VLOOKUP('Données projet'!$B$11,Paramètres!$A$1:$I$89,3,0)*VLOOKUP('Données projet'!$B$11,Paramètres!$A$1:$I$89,5,0)</f>
        <v>288.83400000000006</v>
      </c>
      <c r="BF69" s="14">
        <f t="shared" ref="BF69:BF132" si="91">EXP(-1.0587+0.8836*LN(BE69)+0.284)</f>
        <v>68.830498636563377</v>
      </c>
      <c r="BG69" s="22">
        <f t="shared" si="61"/>
        <v>622.932335125348</v>
      </c>
      <c r="BH69" s="62">
        <f t="shared" si="62"/>
        <v>916.26566845868138</v>
      </c>
      <c r="BI69" s="62">
        <f ca="1">AVERAGE(OFFSET($BH$3,0,0,'Données projet'!$E$11+1,1))-AVERAGE(OFFSET($H$3,0,0,'Données projet'!$E$11+1,1))</f>
        <v>287.69656598881124</v>
      </c>
      <c r="BJ69" s="62">
        <f t="shared" ref="BJ69:BJ132" si="92">$BJ$3</f>
        <v>221.9773436301067</v>
      </c>
      <c r="BK69" s="16">
        <f>IF(ISNA(VLOOKUP(A69,'Données projet'!$A$87:$I$107,3,0)),0,VLOOKUP(A69,'Données projet'!$A$87:$I$107,3,0))</f>
        <v>9</v>
      </c>
      <c r="BL69" s="16">
        <f>IF(ISNA(VLOOKUP(A69,'Données projet'!$A$87:$I$107,4,0)),0,VLOOKUP(A69,'Données projet'!$A$87:$I$107,4,0))</f>
        <v>65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6.483333799122045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3.9095411185521042E-4</v>
      </c>
      <c r="BS69" s="24">
        <f t="shared" si="63"/>
        <v>6.4837247532339006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310.95287409903602</v>
      </c>
      <c r="T70" s="62">
        <f t="shared" si="88"/>
        <v>224.10083380795163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-2.2737367544323206E-13</v>
      </c>
      <c r="AJ70" s="14">
        <f>AI70*VLOOKUP('Données projet'!$B$10,Paramètres!$A$1:$I$89,3,0)*VLOOKUP('Données projet'!$B$10,Paramètres!$A$1:$I$89,5,0)</f>
        <v>-1.2710188457276673E-13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382.55387448074327</v>
      </c>
      <c r="AO70" s="62">
        <f t="shared" si="90"/>
        <v>476.29465646955543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5.0427198268179074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8.1365727080208545E-5</v>
      </c>
      <c r="AX70" s="23">
        <f t="shared" si="60"/>
        <v>5.0428011925449878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12.875</v>
      </c>
      <c r="BD70" s="13">
        <f>IF('Données projet'!$A$88&gt;35,BD69+BC70-BL69,IF(A70&lt;'Données projet'!$A$88,$BA$205^A70,IF(A70='Données projet'!$A$88,'Données projet'!$B$88,BD69+BC70-BL69)))</f>
        <v>430.87500000000006</v>
      </c>
      <c r="BE70" s="14">
        <f>BD70*VLOOKUP('Données projet'!$B$11,Paramètres!$A$1:$I$89,3,0)*VLOOKUP('Données projet'!$B$11,Paramètres!$A$1:$I$89,5,0)</f>
        <v>257.66325000000006</v>
      </c>
      <c r="BF70" s="14">
        <f t="shared" si="91"/>
        <v>62.224015868041043</v>
      </c>
      <c r="BG70" s="22">
        <f t="shared" si="61"/>
        <v>557.13698805350487</v>
      </c>
      <c r="BH70" s="62">
        <f t="shared" si="62"/>
        <v>850.47032138683812</v>
      </c>
      <c r="BI70" s="62">
        <f ca="1">AVERAGE(OFFSET($BH$3,0,0,'Données projet'!$E$11+1,1))-AVERAGE(OFFSET($H$3,0,0,'Données projet'!$E$11+1,1))</f>
        <v>287.69656598881124</v>
      </c>
      <c r="BJ70" s="62">
        <f t="shared" si="92"/>
        <v>221.9773436301067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6.3561995777644107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2.764463036255833E-4</v>
      </c>
      <c r="BS70" s="24">
        <f t="shared" si="63"/>
        <v>6.3564760240680362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310.95287409903602</v>
      </c>
      <c r="T71" s="62">
        <f t="shared" si="88"/>
        <v>224.10083380795163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-2.2737367544323206E-13</v>
      </c>
      <c r="AJ71" s="14">
        <f>AI71*VLOOKUP('Données projet'!$B$10,Paramètres!$A$1:$I$89,3,0)*VLOOKUP('Données projet'!$B$10,Paramètres!$A$1:$I$89,5,0)</f>
        <v>-1.2710188457276673E-13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382.55387448074327</v>
      </c>
      <c r="AO71" s="62">
        <f t="shared" si="90"/>
        <v>476.29465646955543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4.9438351667693974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5.7534257374589369E-5</v>
      </c>
      <c r="AX71" s="23">
        <f t="shared" si="60"/>
        <v>4.9438927010267717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12.875</v>
      </c>
      <c r="BD71" s="13">
        <f>IF('Données projet'!$A$88&gt;35,BD70+BC71-BL70,IF(A71&lt;'Données projet'!$A$88,$BA$205^A71,IF(A71='Données projet'!$A$88,'Données projet'!$B$88,BD70+BC71-BL70)))</f>
        <v>443.75000000000006</v>
      </c>
      <c r="BE71" s="14">
        <f>BD71*VLOOKUP('Données projet'!$B$11,Paramètres!$A$1:$I$89,3,0)*VLOOKUP('Données projet'!$B$11,Paramètres!$A$1:$I$89,5,0)</f>
        <v>265.36250000000007</v>
      </c>
      <c r="BF71" s="14">
        <f t="shared" si="91"/>
        <v>63.864084559847946</v>
      </c>
      <c r="BG71" s="22">
        <f t="shared" si="61"/>
        <v>573.40296810840198</v>
      </c>
      <c r="BH71" s="62">
        <f t="shared" si="62"/>
        <v>866.73630144173535</v>
      </c>
      <c r="BI71" s="62">
        <f ca="1">AVERAGE(OFFSET($BH$3,0,0,'Données projet'!$E$11+1,1))-AVERAGE(OFFSET($H$3,0,0,'Données projet'!$E$11+1,1))</f>
        <v>287.69656598881124</v>
      </c>
      <c r="BJ71" s="62">
        <f t="shared" si="92"/>
        <v>221.9773436301067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6.2315583809433814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1.9547705592760521E-4</v>
      </c>
      <c r="BS71" s="24">
        <f t="shared" si="63"/>
        <v>6.2317538579993093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310.95287409903602</v>
      </c>
      <c r="T72" s="62">
        <f t="shared" si="88"/>
        <v>224.10083380795163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-2.2737367544323206E-13</v>
      </c>
      <c r="AJ72" s="14">
        <f>AI72*VLOOKUP('Données projet'!$B$10,Paramètres!$A$1:$I$89,3,0)*VLOOKUP('Données projet'!$B$10,Paramètres!$A$1:$I$89,5,0)</f>
        <v>-1.2710188457276673E-13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382.55387448074327</v>
      </c>
      <c r="AO72" s="62">
        <f t="shared" si="90"/>
        <v>476.29465646955543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4.846889574590751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4.0682863540104272E-5</v>
      </c>
      <c r="AX72" s="23">
        <f t="shared" si="60"/>
        <v>4.8469302574542912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12.875</v>
      </c>
      <c r="BD72" s="13">
        <f>IF('Données projet'!$A$88&gt;35,BD71+BC72-BL71,IF(A72&lt;'Données projet'!$A$88,$BA$205^A72,IF(A72='Données projet'!$A$88,'Données projet'!$B$88,BD71+BC72-BL71)))</f>
        <v>456.62500000000006</v>
      </c>
      <c r="BE72" s="14">
        <f>BD72*VLOOKUP('Données projet'!$B$11,Paramètres!$A$1:$I$89,3,0)*VLOOKUP('Données projet'!$B$11,Paramètres!$A$1:$I$89,5,0)</f>
        <v>273.06175000000007</v>
      </c>
      <c r="BF72" s="14">
        <f t="shared" si="91"/>
        <v>65.49862286970442</v>
      </c>
      <c r="BG72" s="22">
        <f t="shared" si="61"/>
        <v>589.65931608140193</v>
      </c>
      <c r="BH72" s="62">
        <f t="shared" si="62"/>
        <v>882.9926494147353</v>
      </c>
      <c r="BI72" s="62">
        <f ca="1">AVERAGE(OFFSET($BH$3,0,0,'Données projet'!$E$11+1,1))-AVERAGE(OFFSET($H$3,0,0,'Données projet'!$E$11+1,1))</f>
        <v>287.69656598881124</v>
      </c>
      <c r="BJ72" s="62">
        <f t="shared" si="92"/>
        <v>221.9773436301067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6.1093613219683887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1.3822315181279165E-4</v>
      </c>
      <c r="BS72" s="24">
        <f t="shared" si="63"/>
        <v>6.1094995451202019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310.95287409903602</v>
      </c>
      <c r="T73" s="62">
        <f t="shared" si="88"/>
        <v>224.10083380795163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-2.2737367544323206E-13</v>
      </c>
      <c r="AJ73" s="14">
        <f>AI73*VLOOKUP('Données projet'!$B$10,Paramètres!$A$1:$I$89,3,0)*VLOOKUP('Données projet'!$B$10,Paramètres!$A$1:$I$89,5,0)</f>
        <v>-1.2710188457276673E-13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382.55387448074327</v>
      </c>
      <c r="AO73" s="62">
        <f t="shared" si="90"/>
        <v>476.29465646955543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4.7518450263437551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2.8767128687294684E-5</v>
      </c>
      <c r="AX73" s="23">
        <f t="shared" si="60"/>
        <v>4.7518737934724422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12.875</v>
      </c>
      <c r="BD73" s="13">
        <f>IF('Données projet'!$A$88&gt;35,BD72+BC73-BL72,IF(A73&lt;'Données projet'!$A$88,$BA$205^A73,IF(A73='Données projet'!$A$88,'Données projet'!$B$88,BD72+BC73-BL72)))</f>
        <v>469.50000000000006</v>
      </c>
      <c r="BE73" s="14">
        <f>BD73*VLOOKUP('Données projet'!$B$11,Paramètres!$A$1:$I$89,3,0)*VLOOKUP('Données projet'!$B$11,Paramètres!$A$1:$I$89,5,0)</f>
        <v>280.76100000000002</v>
      </c>
      <c r="BF73" s="14">
        <f t="shared" si="91"/>
        <v>67.12780464438184</v>
      </c>
      <c r="BG73" s="22">
        <f t="shared" si="61"/>
        <v>605.90633475563175</v>
      </c>
      <c r="BH73" s="62">
        <f t="shared" si="62"/>
        <v>899.23966808896512</v>
      </c>
      <c r="BI73" s="62">
        <f ca="1">AVERAGE(OFFSET($BH$3,0,0,'Données projet'!$E$11+1,1))-AVERAGE(OFFSET($H$3,0,0,'Données projet'!$E$11+1,1))</f>
        <v>287.69656598881124</v>
      </c>
      <c r="BJ73" s="62">
        <f t="shared" si="92"/>
        <v>221.9773436301067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5.9895604727870495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9.7738527963802605E-5</v>
      </c>
      <c r="BS73" s="24">
        <f t="shared" si="63"/>
        <v>5.989658211315013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310.95287409903602</v>
      </c>
      <c r="T74" s="62">
        <f t="shared" si="88"/>
        <v>224.10083380795163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-2.2737367544323206E-13</v>
      </c>
      <c r="AJ74" s="14">
        <f>AI74*VLOOKUP('Données projet'!$B$10,Paramètres!$A$1:$I$89,3,0)*VLOOKUP('Données projet'!$B$10,Paramètres!$A$1:$I$89,5,0)</f>
        <v>-1.2710188457276673E-13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382.55387448074327</v>
      </c>
      <c r="AO74" s="62">
        <f t="shared" si="90"/>
        <v>476.29465646955543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4.6586642437164327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2.0341431770052136E-5</v>
      </c>
      <c r="AX74" s="23">
        <f t="shared" si="60"/>
        <v>4.6586845851482028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12.875</v>
      </c>
      <c r="BD74" s="13">
        <f>IF('Données projet'!$A$88&gt;35,BD73+BC74-BL73,IF(A74&lt;'Données projet'!$A$88,$BA$205^A74,IF(A74='Données projet'!$A$88,'Données projet'!$B$88,BD73+BC74-BL73)))</f>
        <v>482.37500000000006</v>
      </c>
      <c r="BE74" s="14">
        <f>BD74*VLOOKUP('Données projet'!$B$11,Paramètres!$A$1:$I$89,3,0)*VLOOKUP('Données projet'!$B$11,Paramètres!$A$1:$I$89,5,0)</f>
        <v>288.46025000000009</v>
      </c>
      <c r="BF74" s="14">
        <f t="shared" si="91"/>
        <v>68.75179365327233</v>
      </c>
      <c r="BG74" s="22">
        <f t="shared" si="61"/>
        <v>622.14430936278279</v>
      </c>
      <c r="BH74" s="62">
        <f t="shared" si="62"/>
        <v>915.47764269611616</v>
      </c>
      <c r="BI74" s="62">
        <f ca="1">AVERAGE(OFFSET($BH$3,0,0,'Données projet'!$E$11+1,1))-AVERAGE(OFFSET($H$3,0,0,'Données projet'!$E$11+1,1))</f>
        <v>287.69656598881124</v>
      </c>
      <c r="BJ74" s="62">
        <f t="shared" si="92"/>
        <v>221.9773436301067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5.8721088451868537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6.9111575906395824E-5</v>
      </c>
      <c r="BS74" s="24">
        <f t="shared" si="63"/>
        <v>5.8721779567627603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310.95287409903602</v>
      </c>
      <c r="T75" s="62">
        <f t="shared" si="88"/>
        <v>224.10083380795163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-2.2737367544323206E-13</v>
      </c>
      <c r="AJ75" s="14">
        <f>AI75*VLOOKUP('Données projet'!$B$10,Paramètres!$A$1:$I$89,3,0)*VLOOKUP('Données projet'!$B$10,Paramètres!$A$1:$I$89,5,0)</f>
        <v>-1.2710188457276673E-13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382.55387448074327</v>
      </c>
      <c r="AO75" s="62">
        <f t="shared" si="90"/>
        <v>476.29465646955543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4.5673106794017668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1.4383564343647342E-5</v>
      </c>
      <c r="AX75" s="23">
        <f t="shared" si="60"/>
        <v>4.5673250629661108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12.875</v>
      </c>
      <c r="BD75" s="13">
        <f>IF('Données projet'!$A$88&gt;35,BD74+BC75-BL74,IF(A75&lt;'Données projet'!$A$88,$BA$205^A75,IF(A75='Données projet'!$A$88,'Données projet'!$B$88,BD74+BC75-BL74)))</f>
        <v>495.25000000000006</v>
      </c>
      <c r="BE75" s="14">
        <f>BD75*VLOOKUP('Données projet'!$B$11,Paramètres!$A$1:$I$89,3,0)*VLOOKUP('Données projet'!$B$11,Paramètres!$A$1:$I$89,5,0)</f>
        <v>296.15950000000004</v>
      </c>
      <c r="BF75" s="14">
        <f t="shared" si="91"/>
        <v>70.370744425720076</v>
      </c>
      <c r="BG75" s="22">
        <f t="shared" si="61"/>
        <v>638.37350904146251</v>
      </c>
      <c r="BH75" s="62">
        <f t="shared" si="62"/>
        <v>931.70684237479577</v>
      </c>
      <c r="BI75" s="62">
        <f ca="1">AVERAGE(OFFSET($BH$3,0,0,'Données projet'!$E$11+1,1))-AVERAGE(OFFSET($H$3,0,0,'Données projet'!$E$11+1,1))</f>
        <v>287.69656598881124</v>
      </c>
      <c r="BJ75" s="62">
        <f t="shared" si="92"/>
        <v>221.9773436301067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5.7569603723654783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4.8869263981901303E-5</v>
      </c>
      <c r="BS75" s="24">
        <f t="shared" si="63"/>
        <v>5.7570092416294605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310.95287409903602</v>
      </c>
      <c r="T76" s="62">
        <f t="shared" si="88"/>
        <v>224.10083380795163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-2.2737367544323206E-13</v>
      </c>
      <c r="AJ76" s="14">
        <f>AI76*VLOOKUP('Données projet'!$B$10,Paramètres!$A$1:$I$89,3,0)*VLOOKUP('Données projet'!$B$10,Paramètres!$A$1:$I$89,5,0)</f>
        <v>-1.2710188457276673E-13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382.55387448074327</v>
      </c>
      <c r="AO76" s="62">
        <f t="shared" si="90"/>
        <v>476.29465646955543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4.4777485027631396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1.0170715885026068E-5</v>
      </c>
      <c r="AX76" s="23">
        <f t="shared" si="60"/>
        <v>4.4777586734790242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12.875</v>
      </c>
      <c r="BD76" s="13">
        <f>IF('Données projet'!$A$88&gt;35,BD75+BC76-BL75,IF(A76&lt;'Données projet'!$A$88,$BA$205^A76,IF(A76='Données projet'!$A$88,'Données projet'!$B$88,BD75+BC76-BL75)))</f>
        <v>508.12500000000006</v>
      </c>
      <c r="BE76" s="14">
        <f>BD76*VLOOKUP('Données projet'!$B$11,Paramètres!$A$1:$I$89,3,0)*VLOOKUP('Données projet'!$B$11,Paramètres!$A$1:$I$89,5,0)</f>
        <v>303.85875000000004</v>
      </c>
      <c r="BF76" s="14">
        <f t="shared" si="91"/>
        <v>71.984802998830631</v>
      </c>
      <c r="BG76" s="22">
        <f t="shared" si="61"/>
        <v>654.59418813963009</v>
      </c>
      <c r="BH76" s="62">
        <f t="shared" si="62"/>
        <v>947.92752147296346</v>
      </c>
      <c r="BI76" s="62">
        <f ca="1">AVERAGE(OFFSET($BH$3,0,0,'Données projet'!$E$11+1,1))-AVERAGE(OFFSET($H$3,0,0,'Données projet'!$E$11+1,1))</f>
        <v>287.69656598881124</v>
      </c>
      <c r="BJ76" s="62">
        <f t="shared" si="92"/>
        <v>221.9773436301067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5.6440698908624967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3.4555787953197912E-5</v>
      </c>
      <c r="BS76" s="24">
        <f t="shared" si="63"/>
        <v>5.6441044466504495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310.95287409903602</v>
      </c>
      <c r="T77" s="62">
        <f t="shared" si="88"/>
        <v>224.10083380795163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-2.2737367544323206E-13</v>
      </c>
      <c r="AJ77" s="14">
        <f>AI77*VLOOKUP('Données projet'!$B$10,Paramètres!$A$1:$I$89,3,0)*VLOOKUP('Données projet'!$B$10,Paramètres!$A$1:$I$89,5,0)</f>
        <v>-1.2710188457276673E-13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382.55387448074327</v>
      </c>
      <c r="AO77" s="62">
        <f t="shared" si="90"/>
        <v>476.29465646955543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4.3899425857808616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7.1917821718236711E-6</v>
      </c>
      <c r="AX77" s="23">
        <f t="shared" si="60"/>
        <v>4.3899497775630332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521</v>
      </c>
      <c r="BB77" s="13">
        <f>VLOOKUP(A77,'Données projet'!$A$87:$I$107,9,0)</f>
        <v>12.875</v>
      </c>
      <c r="BC77" s="13">
        <f t="array" ref="BC77">INDEX(BB:BB,MIN(IF(ISNUMBER(BB77:BB273),ROW(BB77:BB273),"")))</f>
        <v>12.875</v>
      </c>
      <c r="BD77" s="13">
        <f>IF('Données projet'!$A$88&gt;35,BD76+BC77-BL76,IF(A77&lt;'Données projet'!$A$88,$BA$205^A77,IF(A77='Données projet'!$A$88,'Données projet'!$B$88,BD76+BC77-BL76)))</f>
        <v>521</v>
      </c>
      <c r="BE77" s="14">
        <f>BD77*VLOOKUP('Données projet'!$B$11,Paramètres!$A$1:$I$89,3,0)*VLOOKUP('Données projet'!$B$11,Paramètres!$A$1:$I$89,5,0)</f>
        <v>311.55799999999999</v>
      </c>
      <c r="BF77" s="14">
        <f t="shared" si="91"/>
        <v>73.594107587354372</v>
      </c>
      <c r="BG77" s="22">
        <f t="shared" si="61"/>
        <v>670.80658738130876</v>
      </c>
      <c r="BH77" s="62">
        <f t="shared" si="62"/>
        <v>964.13992071464213</v>
      </c>
      <c r="BI77" s="62">
        <f ca="1">AVERAGE(OFFSET($BH$3,0,0,'Données projet'!$E$11+1,1))-AVERAGE(OFFSET($H$3,0,0,'Données projet'!$E$11+1,1))</f>
        <v>287.69656598881124</v>
      </c>
      <c r="BJ77" s="62">
        <f t="shared" si="92"/>
        <v>221.9773436301067</v>
      </c>
      <c r="BK77" s="16">
        <f>IF(ISNA(VLOOKUP(A77,'Données projet'!$A$87:$I$107,3,0)),0,VLOOKUP(A77,'Données projet'!$A$87:$I$107,3,0))</f>
        <v>10</v>
      </c>
      <c r="BL77" s="16">
        <f>IF(ISNA(VLOOKUP(A77,'Données projet'!$A$87:$I$107,4,0)),0,VLOOKUP(A77,'Données projet'!$A$87:$I$107,4,0))</f>
        <v>37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5.5333931228453936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2.4434631990950651E-5</v>
      </c>
      <c r="BS77" s="24">
        <f t="shared" si="63"/>
        <v>5.5334175574773843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310.95287409903602</v>
      </c>
      <c r="T78" s="62">
        <f t="shared" si="88"/>
        <v>224.10083380795163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-2.2737367544323206E-13</v>
      </c>
      <c r="AJ78" s="14">
        <f>AI78*VLOOKUP('Données projet'!$B$10,Paramètres!$A$1:$I$89,3,0)*VLOOKUP('Données projet'!$B$10,Paramètres!$A$1:$I$89,5,0)</f>
        <v>-1.2710188457276673E-13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382.55387448074327</v>
      </c>
      <c r="AO78" s="62">
        <f t="shared" si="90"/>
        <v>476.29465646955543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4.303858489274285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5.085357942513034E-6</v>
      </c>
      <c r="AX78" s="23">
        <f t="shared" si="60"/>
        <v>4.3038635746322278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8.875</v>
      </c>
      <c r="BD78" s="13">
        <f>IF('Données projet'!$A$88&gt;35,BD77+BC78-BL77,IF(A78&lt;'Données projet'!$A$88,$BA$205^A78,IF(A78='Données projet'!$A$88,'Données projet'!$B$88,BD77+BC78-BL77)))</f>
        <v>492.875</v>
      </c>
      <c r="BE78" s="14">
        <f>BD78*VLOOKUP('Données projet'!$B$11,Paramètres!$A$1:$I$89,3,0)*VLOOKUP('Données projet'!$B$11,Paramètres!$A$1:$I$89,5,0)</f>
        <v>294.73925000000003</v>
      </c>
      <c r="BF78" s="14">
        <f t="shared" si="91"/>
        <v>70.072475236035828</v>
      </c>
      <c r="BG78" s="22">
        <f t="shared" si="61"/>
        <v>635.38042145276233</v>
      </c>
      <c r="BH78" s="62">
        <f t="shared" si="62"/>
        <v>928.71375478609571</v>
      </c>
      <c r="BI78" s="62">
        <f ca="1">AVERAGE(OFFSET($BH$3,0,0,'Données projet'!$E$11+1,1))-AVERAGE(OFFSET($H$3,0,0,'Données projet'!$E$11+1,1))</f>
        <v>287.69656598881124</v>
      </c>
      <c r="BJ78" s="62">
        <f t="shared" si="92"/>
        <v>221.9773436301067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5.4248866587429436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1.7277893976598956E-5</v>
      </c>
      <c r="BS78" s="24">
        <f t="shared" si="63"/>
        <v>5.4249039366369205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310.95287409903602</v>
      </c>
      <c r="T79" s="62">
        <f t="shared" si="88"/>
        <v>224.10083380795163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-2.2737367544323206E-13</v>
      </c>
      <c r="AJ79" s="14">
        <f>AI79*VLOOKUP('Données projet'!$B$10,Paramètres!$A$1:$I$89,3,0)*VLOOKUP('Données projet'!$B$10,Paramètres!$A$1:$I$89,5,0)</f>
        <v>-1.2710188457276673E-13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382.55387448074327</v>
      </c>
      <c r="AO79" s="62">
        <f t="shared" si="90"/>
        <v>476.29465646955543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4.2194624493940882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3.5958910859118355E-6</v>
      </c>
      <c r="AX79" s="23">
        <f t="shared" si="60"/>
        <v>4.2194660452851744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8.875</v>
      </c>
      <c r="BD79" s="13">
        <f>IF('Données projet'!$A$88&gt;35,BD78+BC79-BL78,IF(A79&lt;'Données projet'!$A$88,$BA$205^A79,IF(A79='Données projet'!$A$88,'Données projet'!$B$88,BD78+BC79-BL78)))</f>
        <v>501.75</v>
      </c>
      <c r="BE79" s="14">
        <f>BD79*VLOOKUP('Données projet'!$B$11,Paramètres!$A$1:$I$89,3,0)*VLOOKUP('Données projet'!$B$11,Paramètres!$A$1:$I$89,5,0)</f>
        <v>300.04650000000004</v>
      </c>
      <c r="BF79" s="14">
        <f t="shared" si="91"/>
        <v>71.186211573839699</v>
      </c>
      <c r="BG79" s="22">
        <f t="shared" si="61"/>
        <v>646.56363932443753</v>
      </c>
      <c r="BH79" s="62">
        <f t="shared" si="62"/>
        <v>939.8969726577709</v>
      </c>
      <c r="BI79" s="62">
        <f ca="1">AVERAGE(OFFSET($BH$3,0,0,'Données projet'!$E$11+1,1))-AVERAGE(OFFSET($H$3,0,0,'Données projet'!$E$11+1,1))</f>
        <v>287.69656598881124</v>
      </c>
      <c r="BJ79" s="62">
        <f t="shared" si="92"/>
        <v>221.9773436301067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5.318507940219134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1.2217315995475326E-5</v>
      </c>
      <c r="BS79" s="24">
        <f t="shared" si="63"/>
        <v>5.3185201575351293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310.95287409903602</v>
      </c>
      <c r="T80" s="62">
        <f t="shared" si="88"/>
        <v>224.10083380795163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-2.2737367544323206E-13</v>
      </c>
      <c r="AJ80" s="14">
        <f>AI80*VLOOKUP('Données projet'!$B$10,Paramètres!$A$1:$I$89,3,0)*VLOOKUP('Données projet'!$B$10,Paramètres!$A$1:$I$89,5,0)</f>
        <v>-1.2710188457276673E-13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382.55387448074327</v>
      </c>
      <c r="AO80" s="62">
        <f t="shared" si="90"/>
        <v>476.29465646955543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4.1367213643794409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2.542678971256517E-6</v>
      </c>
      <c r="AX80" s="23">
        <f t="shared" si="60"/>
        <v>4.1367239070584123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8.875</v>
      </c>
      <c r="BD80" s="13">
        <f>IF('Données projet'!$A$88&gt;35,BD79+BC80-BL79,IF(A80&lt;'Données projet'!$A$88,$BA$205^A80,IF(A80='Données projet'!$A$88,'Données projet'!$B$88,BD79+BC80-BL79)))</f>
        <v>510.625</v>
      </c>
      <c r="BE80" s="14">
        <f>BD80*VLOOKUP('Données projet'!$B$11,Paramètres!$A$1:$I$89,3,0)*VLOOKUP('Données projet'!$B$11,Paramètres!$A$1:$I$89,5,0)</f>
        <v>305.35375000000005</v>
      </c>
      <c r="BF80" s="14">
        <f t="shared" si="91"/>
        <v>72.297657079406008</v>
      </c>
      <c r="BG80" s="22">
        <f t="shared" si="61"/>
        <v>657.74286732996552</v>
      </c>
      <c r="BH80" s="62">
        <f t="shared" si="62"/>
        <v>951.07620066329878</v>
      </c>
      <c r="BI80" s="62">
        <f ca="1">AVERAGE(OFFSET($BH$3,0,0,'Données projet'!$E$11+1,1))-AVERAGE(OFFSET($H$3,0,0,'Données projet'!$E$11+1,1))</f>
        <v>287.69656598881124</v>
      </c>
      <c r="BJ80" s="62">
        <f t="shared" si="92"/>
        <v>221.9773436301067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5.2142152434809645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8.638946988299478E-6</v>
      </c>
      <c r="BS80" s="24">
        <f t="shared" si="63"/>
        <v>5.2142238824279525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310.95287409903602</v>
      </c>
      <c r="T81" s="62">
        <f t="shared" si="88"/>
        <v>224.10083380795163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-2.2737367544323206E-13</v>
      </c>
      <c r="AJ81" s="14">
        <f>AI81*VLOOKUP('Données projet'!$B$10,Paramètres!$A$1:$I$89,3,0)*VLOOKUP('Données projet'!$B$10,Paramètres!$A$1:$I$89,5,0)</f>
        <v>-1.2710188457276673E-13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382.55387448074327</v>
      </c>
      <c r="AO81" s="62">
        <f t="shared" si="90"/>
        <v>476.29465646955543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4.0556027815748523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1.7979455429559178E-6</v>
      </c>
      <c r="AX81" s="23">
        <f t="shared" si="60"/>
        <v>4.055604579520395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8.875</v>
      </c>
      <c r="BD81" s="13">
        <f>IF('Données projet'!$A$88&gt;35,BD80+BC81-BL80,IF(A81&lt;'Données projet'!$A$88,$BA$205^A81,IF(A81='Données projet'!$A$88,'Données projet'!$B$88,BD80+BC81-BL80)))</f>
        <v>519.5</v>
      </c>
      <c r="BE81" s="14">
        <f>BD81*VLOOKUP('Données projet'!$B$11,Paramètres!$A$1:$I$89,3,0)*VLOOKUP('Données projet'!$B$11,Paramètres!$A$1:$I$89,5,0)</f>
        <v>310.661</v>
      </c>
      <c r="BF81" s="14">
        <f t="shared" si="91"/>
        <v>73.406856163089444</v>
      </c>
      <c r="BG81" s="22">
        <f t="shared" si="61"/>
        <v>668.91818281738085</v>
      </c>
      <c r="BH81" s="62">
        <f t="shared" si="62"/>
        <v>962.25151615071422</v>
      </c>
      <c r="BI81" s="62">
        <f ca="1">AVERAGE(OFFSET($BH$3,0,0,'Données projet'!$E$11+1,1))-AVERAGE(OFFSET($H$3,0,0,'Données projet'!$E$11+1,1))</f>
        <v>287.69656598881124</v>
      </c>
      <c r="BJ81" s="62">
        <f t="shared" si="92"/>
        <v>221.9773436301067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5.1119676629135675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6.1086579977376628E-6</v>
      </c>
      <c r="BS81" s="24">
        <f t="shared" si="63"/>
        <v>5.1119737715715656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310.95287409903602</v>
      </c>
      <c r="T82" s="62">
        <f t="shared" si="88"/>
        <v>224.10083380795163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-2.2737367544323206E-13</v>
      </c>
      <c r="AJ82" s="14">
        <f>AI82*VLOOKUP('Données projet'!$B$10,Paramètres!$A$1:$I$89,3,0)*VLOOKUP('Données projet'!$B$10,Paramètres!$A$1:$I$89,5,0)</f>
        <v>-1.2710188457276673E-13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382.55387448074327</v>
      </c>
      <c r="AO82" s="62">
        <f t="shared" si="90"/>
        <v>476.29465646955543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3.9760748847016112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1.2713394856282585E-6</v>
      </c>
      <c r="AX82" s="23">
        <f t="shared" si="60"/>
        <v>3.9760761560410969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8.875</v>
      </c>
      <c r="BD82" s="13">
        <f>IF('Données projet'!$A$88&gt;35,BD81+BC82-BL81,IF(A82&lt;'Données projet'!$A$88,$BA$205^A82,IF(A82='Données projet'!$A$88,'Données projet'!$B$88,BD81+BC82-BL81)))</f>
        <v>528.375</v>
      </c>
      <c r="BE82" s="14">
        <f>BD82*VLOOKUP('Données projet'!$B$11,Paramètres!$A$1:$I$89,3,0)*VLOOKUP('Données projet'!$B$11,Paramètres!$A$1:$I$89,5,0)</f>
        <v>315.96825000000001</v>
      </c>
      <c r="BF82" s="14">
        <f t="shared" si="91"/>
        <v>74.513851630905478</v>
      </c>
      <c r="BG82" s="22">
        <f t="shared" si="61"/>
        <v>680.08966034049365</v>
      </c>
      <c r="BH82" s="62">
        <f t="shared" si="62"/>
        <v>973.42299367382702</v>
      </c>
      <c r="BI82" s="62">
        <f ca="1">AVERAGE(OFFSET($BH$3,0,0,'Données projet'!$E$11+1,1))-AVERAGE(OFFSET($H$3,0,0,'Données projet'!$E$11+1,1))</f>
        <v>287.69656598881124</v>
      </c>
      <c r="BJ82" s="62">
        <f t="shared" si="92"/>
        <v>221.9773436301067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5.0117250950362306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4.319473494149739E-6</v>
      </c>
      <c r="BS82" s="24">
        <f t="shared" si="63"/>
        <v>5.0117294145097251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310.95287409903602</v>
      </c>
      <c r="T83" s="62">
        <f t="shared" si="88"/>
        <v>224.10083380795163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-2.2737367544323206E-13</v>
      </c>
      <c r="AJ83" s="14">
        <f>AI83*VLOOKUP('Données projet'!$B$10,Paramètres!$A$1:$I$89,3,0)*VLOOKUP('Données projet'!$B$10,Paramètres!$A$1:$I$89,5,0)</f>
        <v>-1.2710188457276673E-13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382.55387448074327</v>
      </c>
      <c r="AO83" s="62">
        <f t="shared" si="90"/>
        <v>476.29465646955543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3.8981064813788269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8.9897277147795888E-7</v>
      </c>
      <c r="AX83" s="23">
        <f t="shared" si="60"/>
        <v>3.8981073803515982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8.875</v>
      </c>
      <c r="BD83" s="13">
        <f>IF('Données projet'!$A$88&gt;35,BD82+BC83-BL82,IF(A83&lt;'Données projet'!$A$88,$BA$205^A83,IF(A83='Données projet'!$A$88,'Données projet'!$B$88,BD82+BC83-BL82)))</f>
        <v>537.25</v>
      </c>
      <c r="BE83" s="14">
        <f>BD83*VLOOKUP('Données projet'!$B$11,Paramètres!$A$1:$I$89,3,0)*VLOOKUP('Données projet'!$B$11,Paramètres!$A$1:$I$89,5,0)</f>
        <v>321.27550000000002</v>
      </c>
      <c r="BF83" s="14">
        <f t="shared" si="91"/>
        <v>75.618684768443416</v>
      </c>
      <c r="BG83" s="22">
        <f t="shared" si="61"/>
        <v>691.25737180503893</v>
      </c>
      <c r="BH83" s="62">
        <f t="shared" si="62"/>
        <v>984.59070513837219</v>
      </c>
      <c r="BI83" s="62">
        <f ca="1">AVERAGE(OFFSET($BH$3,0,0,'Données projet'!$E$11+1,1))-AVERAGE(OFFSET($H$3,0,0,'Données projet'!$E$11+1,1))</f>
        <v>287.69656598881124</v>
      </c>
      <c r="BJ83" s="62">
        <f t="shared" si="92"/>
        <v>221.9773436301067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4.9134482227730389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3.0543289988688314E-6</v>
      </c>
      <c r="BS83" s="24">
        <f t="shared" si="63"/>
        <v>4.9134512771020376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310.95287409903602</v>
      </c>
      <c r="T84" s="62">
        <f t="shared" si="88"/>
        <v>224.10083380795163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-1.2710188457276673E-13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382.55387448074327</v>
      </c>
      <c r="AO84" s="62">
        <f t="shared" si="90"/>
        <v>476.29465646955543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3.8216669908891721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6.3566974281412926E-7</v>
      </c>
      <c r="AX84" s="23">
        <f t="shared" si="60"/>
        <v>3.8216676265589147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8.875</v>
      </c>
      <c r="BD84" s="13">
        <f>IF('Données projet'!$A$88&gt;35,BD83+BC84-BL83,IF(A84&lt;'Données projet'!$A$88,$BA$205^A84,IF(A84='Données projet'!$A$88,'Données projet'!$B$88,BD83+BC84-BL83)))</f>
        <v>546.125</v>
      </c>
      <c r="BE84" s="14">
        <f>BD84*VLOOKUP('Données projet'!$B$11,Paramètres!$A$1:$I$89,3,0)*VLOOKUP('Données projet'!$B$11,Paramètres!$A$1:$I$89,5,0)</f>
        <v>326.58275000000003</v>
      </c>
      <c r="BF84" s="14">
        <f t="shared" si="91"/>
        <v>76.72139541907876</v>
      </c>
      <c r="BG84" s="22">
        <f t="shared" si="61"/>
        <v>702.42138660489547</v>
      </c>
      <c r="BH84" s="62">
        <f t="shared" si="62"/>
        <v>995.75471993822885</v>
      </c>
      <c r="BI84" s="62">
        <f ca="1">AVERAGE(OFFSET($BH$3,0,0,'Données projet'!$E$11+1,1))-AVERAGE(OFFSET($H$3,0,0,'Données projet'!$E$11+1,1))</f>
        <v>287.69656598881124</v>
      </c>
      <c r="BJ84" s="62">
        <f t="shared" si="92"/>
        <v>221.9773436301067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4.8170985000319559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2.1597367470748695E-6</v>
      </c>
      <c r="BS84" s="24">
        <f t="shared" si="63"/>
        <v>4.8171006597687027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310.95287409903602</v>
      </c>
      <c r="T85" s="62">
        <f t="shared" si="88"/>
        <v>224.10083380795163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-1.2710188457276673E-13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382.55387448074327</v>
      </c>
      <c r="AO85" s="62">
        <f t="shared" si="90"/>
        <v>476.29465646955543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3.7467264321845342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4.4948638573897944E-7</v>
      </c>
      <c r="AX85" s="23">
        <f t="shared" si="60"/>
        <v>3.7467268816709201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>
        <f>VLOOKUP(A85,'Données projet'!$A$87:$I$107,2,0)</f>
        <v>555</v>
      </c>
      <c r="BB85" s="13">
        <f>VLOOKUP(A85,'Données projet'!$A$87:$I$107,9,0)</f>
        <v>8.875</v>
      </c>
      <c r="BC85" s="13">
        <f t="array" ref="BC85">INDEX(BB:BB,MIN(IF(ISNUMBER(BB85:BB281),ROW(BB85:BB281),"")))</f>
        <v>8.875</v>
      </c>
      <c r="BD85" s="13">
        <f>IF('Données projet'!$A$88&gt;35,BD84+BC85-BL84,IF(A85&lt;'Données projet'!$A$88,$BA$205^A85,IF(A85='Données projet'!$A$88,'Données projet'!$B$88,BD84+BC85-BL84)))</f>
        <v>555</v>
      </c>
      <c r="BE85" s="14">
        <f>BD85*VLOOKUP('Données projet'!$B$11,Paramètres!$A$1:$I$89,3,0)*VLOOKUP('Données projet'!$B$11,Paramètres!$A$1:$I$89,5,0)</f>
        <v>331.89000000000004</v>
      </c>
      <c r="BF85" s="14">
        <f t="shared" si="91"/>
        <v>77.822022056956186</v>
      </c>
      <c r="BG85" s="22">
        <f t="shared" si="61"/>
        <v>713.58177174919865</v>
      </c>
      <c r="BH85" s="62">
        <f t="shared" si="62"/>
        <v>1006.9151050825319</v>
      </c>
      <c r="BI85" s="62">
        <f ca="1">AVERAGE(OFFSET($BH$3,0,0,'Données projet'!$E$11+1,1))-AVERAGE(OFFSET($H$3,0,0,'Données projet'!$E$11+1,1))</f>
        <v>287.69656598881124</v>
      </c>
      <c r="BJ85" s="62">
        <f t="shared" si="92"/>
        <v>221.9773436301067</v>
      </c>
      <c r="BK85" s="16">
        <f>IF(ISNA(VLOOKUP(A85,'Données projet'!$A$87:$I$107,3,0)),0,VLOOKUP(A85,'Données projet'!$A$87:$I$107,3,0))</f>
        <v>11</v>
      </c>
      <c r="BL85" s="16">
        <f>IF(ISNA(VLOOKUP(A85,'Données projet'!$A$87:$I$107,4,0)),0,VLOOKUP(A85,'Données projet'!$A$87:$I$107,4,0))</f>
        <v>555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4.7226381365862968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1.5271644994344157E-6</v>
      </c>
      <c r="BS85" s="24">
        <f t="shared" si="63"/>
        <v>4.7226396637507966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310.95287409903602</v>
      </c>
      <c r="T86" s="62">
        <f t="shared" si="88"/>
        <v>224.10083380795163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-1.2710188457276673E-13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382.55387448074327</v>
      </c>
      <c r="AO86" s="62">
        <f t="shared" si="90"/>
        <v>476.29465646955543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3.6732554121268666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3.1783487140706463E-7</v>
      </c>
      <c r="AX86" s="23">
        <f t="shared" si="60"/>
        <v>3.6732557299617379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287.69656598881124</v>
      </c>
      <c r="BJ86" s="62">
        <f t="shared" si="92"/>
        <v>221.9773436301067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4.6300300832526746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1.0798683735374348E-6</v>
      </c>
      <c r="BS86" s="24">
        <f t="shared" si="63"/>
        <v>4.630031163121048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310.95287409903602</v>
      </c>
      <c r="T87" s="62">
        <f t="shared" si="88"/>
        <v>224.10083380795163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-1.2710188457276673E-13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382.55387448074327</v>
      </c>
      <c r="AO87" s="62">
        <f t="shared" si="90"/>
        <v>476.29465646955543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3.6012251139596327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2.2474319286948972E-7</v>
      </c>
      <c r="AX87" s="23">
        <f t="shared" si="60"/>
        <v>3.6012253387028257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287.69656598881124</v>
      </c>
      <c r="BJ87" s="62">
        <f t="shared" si="92"/>
        <v>221.9773436301067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4.5392380173595894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7.6358224971720785E-7</v>
      </c>
      <c r="BS87" s="24">
        <f t="shared" si="63"/>
        <v>4.5392387809418393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310.95287409903602</v>
      </c>
      <c r="T88" s="62">
        <f t="shared" si="88"/>
        <v>224.10083380795163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-1.2710188457276673E-13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382.55387448074327</v>
      </c>
      <c r="AO88" s="62">
        <f t="shared" si="90"/>
        <v>476.29465646955543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3.5306072860053144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1.5891743570353231E-7</v>
      </c>
      <c r="AX88" s="23">
        <f t="shared" si="60"/>
        <v>3.53060744492275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287.69656598881124</v>
      </c>
      <c r="BJ88" s="62">
        <f t="shared" si="92"/>
        <v>221.9773436301067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4.4502263285009755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5.3993418676871738E-7</v>
      </c>
      <c r="BS88" s="24">
        <f t="shared" si="63"/>
        <v>4.4502268684351627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310.95287409903602</v>
      </c>
      <c r="T89" s="62">
        <f t="shared" si="88"/>
        <v>224.10083380795163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-1.2710188457276673E-13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382.55387448074327</v>
      </c>
      <c r="AO89" s="62">
        <f t="shared" si="90"/>
        <v>476.29465646955543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3.4613742305845583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1.1237159643474486E-7</v>
      </c>
      <c r="AX89" s="23">
        <f t="shared" si="60"/>
        <v>3.4613743429561548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287.69656598881124</v>
      </c>
      <c r="BJ89" s="62">
        <f t="shared" si="92"/>
        <v>221.9773436301067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4.36296010456911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3.8179112485860393E-7</v>
      </c>
      <c r="BS89" s="24">
        <f t="shared" si="63"/>
        <v>4.3629604863602349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310.95287409903602</v>
      </c>
      <c r="T90" s="62">
        <f t="shared" si="88"/>
        <v>224.10083380795163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-1.2710188457276673E-13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382.55387448074327</v>
      </c>
      <c r="AO90" s="62">
        <f t="shared" si="90"/>
        <v>476.29465646955543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3.393498793152609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7.9458717851766157E-8</v>
      </c>
      <c r="AX90" s="23">
        <f t="shared" si="60"/>
        <v>3.3934988726113269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287.69656598881124</v>
      </c>
      <c r="BJ90" s="62">
        <f t="shared" si="92"/>
        <v>221.9773436301067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4.2774051180614077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2.6996709338435869E-7</v>
      </c>
      <c r="BS90" s="24">
        <f t="shared" si="63"/>
        <v>4.2774053880285008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310.95287409903602</v>
      </c>
      <c r="T91" s="62">
        <f t="shared" si="88"/>
        <v>224.10083380795163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-1.2710188457276673E-13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382.55387448074327</v>
      </c>
      <c r="AO91" s="62">
        <f t="shared" si="90"/>
        <v>476.29465646955543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3.3269543516487716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5.618579821737243E-8</v>
      </c>
      <c r="AX91" s="23">
        <f t="shared" si="60"/>
        <v>3.3269544078345699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287.69656598881124</v>
      </c>
      <c r="BJ91" s="62">
        <f t="shared" si="92"/>
        <v>221.9773436301067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4.1935278126557325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1.9089556242930196E-7</v>
      </c>
      <c r="BS91" s="24">
        <f t="shared" si="63"/>
        <v>4.193528003551295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310.95287409903602</v>
      </c>
      <c r="T92" s="62">
        <f t="shared" si="88"/>
        <v>224.10083380795163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-1.2710188457276673E-13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382.55387448074327</v>
      </c>
      <c r="AO92" s="62">
        <f t="shared" si="90"/>
        <v>476.29465646955543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3.2617148060547225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3.9729358925883078E-8</v>
      </c>
      <c r="AX92" s="23">
        <f t="shared" si="60"/>
        <v>3.2617148457840814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287.69656598881124</v>
      </c>
      <c r="BJ92" s="62">
        <f t="shared" si="92"/>
        <v>221.9773436301067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4.1112952900489574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1.3498354669217934E-7</v>
      </c>
      <c r="BS92" s="24">
        <f t="shared" si="63"/>
        <v>4.1112954250325044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310.95287409903602</v>
      </c>
      <c r="T93" s="62">
        <f t="shared" si="88"/>
        <v>224.10083380795163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-1.2710188457276673E-13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382.55387448074327</v>
      </c>
      <c r="AO93" s="62">
        <f t="shared" si="90"/>
        <v>476.29465646955543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3.1977545681575794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2.8092899108686215E-8</v>
      </c>
      <c r="AX93" s="23">
        <f t="shared" si="60"/>
        <v>3.1977545962504785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287.69656598881124</v>
      </c>
      <c r="BJ93" s="62">
        <f t="shared" si="92"/>
        <v>221.9773436301067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4.030675297053615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9.5447781214650982E-8</v>
      </c>
      <c r="BS93" s="24">
        <f t="shared" si="63"/>
        <v>4.0306753925013963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310.95287409903602</v>
      </c>
      <c r="T94" s="62">
        <f t="shared" si="88"/>
        <v>224.10083380795163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-1.2710188457276673E-13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382.55387448074327</v>
      </c>
      <c r="AO94" s="62">
        <f t="shared" si="90"/>
        <v>476.29465646955543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3.1350485515137061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1.9864679462941539E-8</v>
      </c>
      <c r="AX94" s="23">
        <f t="shared" si="60"/>
        <v>3.1350485713783858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287.69656598881124</v>
      </c>
      <c r="BJ94" s="62">
        <f t="shared" si="92"/>
        <v>221.9773436301067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3.9516362129475713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6.7491773346089672E-8</v>
      </c>
      <c r="BS94" s="24">
        <f t="shared" si="63"/>
        <v>3.9516362804393448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310.95287409903602</v>
      </c>
      <c r="T95" s="62">
        <f t="shared" si="88"/>
        <v>224.10083380795163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-1.2710188457276673E-13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382.55387448074327</v>
      </c>
      <c r="AO95" s="62">
        <f t="shared" si="90"/>
        <v>476.29465646955543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3.0735721616093254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1.4046449554343108E-8</v>
      </c>
      <c r="AX95" s="23">
        <f t="shared" si="60"/>
        <v>3.0735721756557748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287.69656598881124</v>
      </c>
      <c r="BJ95" s="62">
        <f t="shared" si="92"/>
        <v>221.9773436301067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3.8741470370717659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4.7723890607325491E-8</v>
      </c>
      <c r="BS95" s="24">
        <f t="shared" si="63"/>
        <v>3.8741470847956565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310.95287409903602</v>
      </c>
      <c r="T96" s="62">
        <f t="shared" si="88"/>
        <v>224.10083380795163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-1.2710188457276673E-13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382.55387448074327</v>
      </c>
      <c r="AO96" s="62">
        <f t="shared" si="90"/>
        <v>476.29465646955543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3.0133012862140744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9.9323397314707696E-9</v>
      </c>
      <c r="AX96" s="23">
        <f t="shared" si="60"/>
        <v>3.0133012961464143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287.69656598881124</v>
      </c>
      <c r="BJ96" s="62">
        <f t="shared" si="92"/>
        <v>221.9773436301067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3.7981773766711546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3.3745886673044836E-8</v>
      </c>
      <c r="BS96" s="24">
        <f t="shared" si="63"/>
        <v>3.7981774104170412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310.95287409903602</v>
      </c>
      <c r="T97" s="62">
        <f t="shared" si="88"/>
        <v>224.10083380795163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-1.2710188457276673E-13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382.55387448074327</v>
      </c>
      <c r="AO97" s="62">
        <f t="shared" si="90"/>
        <v>476.29465646955543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2.9542122859237203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7.0232247771715538E-9</v>
      </c>
      <c r="AX97" s="23">
        <f t="shared" si="60"/>
        <v>2.954212292946945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287.69656598881124</v>
      </c>
      <c r="BJ97" s="62">
        <f t="shared" si="92"/>
        <v>221.9773436301067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3.7236974349740821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2.3861945303662745E-8</v>
      </c>
      <c r="BS97" s="24">
        <f t="shared" si="63"/>
        <v>3.7236974588360274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310.95287409903602</v>
      </c>
      <c r="T98" s="62">
        <f t="shared" si="88"/>
        <v>224.10083380795163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-1.2710188457276673E-13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382.55387448074327</v>
      </c>
      <c r="AO98" s="62">
        <f t="shared" si="90"/>
        <v>476.29465646955543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2.8962819848883288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4.9661698657353848E-9</v>
      </c>
      <c r="AX98" s="23">
        <f t="shared" si="60"/>
        <v>2.8962819898544985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287.69656598881124</v>
      </c>
      <c r="BJ98" s="62">
        <f t="shared" si="92"/>
        <v>221.9773436301067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3.6506779995054104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1.6872943336522418E-8</v>
      </c>
      <c r="BS98" s="24">
        <f t="shared" si="63"/>
        <v>3.6506780163783539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310.95287409903602</v>
      </c>
      <c r="T99" s="62">
        <f t="shared" si="88"/>
        <v>224.10083380795163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-1.2710188457276673E-13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382.55387448074327</v>
      </c>
      <c r="AO99" s="62">
        <f t="shared" si="90"/>
        <v>476.29465646955543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2.8394876617222464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3.5116123885857769E-9</v>
      </c>
      <c r="AX99" s="23">
        <f t="shared" si="60"/>
        <v>2.8394876652338588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287.69656598881124</v>
      </c>
      <c r="BJ99" s="62">
        <f t="shared" si="92"/>
        <v>221.9773436301067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3.5790904306288214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1.1930972651831373E-8</v>
      </c>
      <c r="BS99" s="24">
        <f t="shared" si="63"/>
        <v>3.579090442559794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310.95287409903602</v>
      </c>
      <c r="T100" s="62">
        <f t="shared" si="88"/>
        <v>224.10083380795163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-1.2710188457276673E-13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382.55387448074327</v>
      </c>
      <c r="AO100" s="62">
        <f t="shared" si="90"/>
        <v>476.29465646955543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2.7838070405923343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2.4830849328676924E-9</v>
      </c>
      <c r="AX100" s="23">
        <f t="shared" si="60"/>
        <v>2.7838070430754192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287.69656598881124</v>
      </c>
      <c r="BJ100" s="62">
        <f t="shared" si="92"/>
        <v>221.9773436301067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3.5089066503137967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8.436471668261209E-9</v>
      </c>
      <c r="BS100" s="24">
        <f t="shared" si="63"/>
        <v>3.5089066587502682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310.95287409903602</v>
      </c>
      <c r="T101" s="62">
        <f t="shared" si="88"/>
        <v>224.10083380795163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-1.2710188457276673E-13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382.55387448074327</v>
      </c>
      <c r="AO101" s="62">
        <f t="shared" si="90"/>
        <v>476.29465646955543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2.7292182824809541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1.7558061942928884E-9</v>
      </c>
      <c r="AX101" s="23">
        <f t="shared" si="60"/>
        <v>2.7292182842367603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287.69656598881124</v>
      </c>
      <c r="BJ101" s="62">
        <f t="shared" si="92"/>
        <v>221.9773436301067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3.4400991311228704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5.9654863259156864E-9</v>
      </c>
      <c r="BS101" s="24">
        <f t="shared" si="63"/>
        <v>3.4400991370883567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310.95287409903602</v>
      </c>
      <c r="T102" s="62">
        <f t="shared" si="88"/>
        <v>224.10083380795163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-1.2710188457276673E-13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382.55387448074327</v>
      </c>
      <c r="AO102" s="62">
        <f t="shared" si="90"/>
        <v>476.29465646955543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2.6756999766202836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1.2415424664338462E-9</v>
      </c>
      <c r="AX102" s="23">
        <f t="shared" si="60"/>
        <v>2.675699977861826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287.69656598881124</v>
      </c>
      <c r="BJ102" s="62">
        <f t="shared" si="92"/>
        <v>221.9773436301067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3.3726408854148358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4.2182358341306045E-9</v>
      </c>
      <c r="BS102" s="24">
        <f t="shared" si="63"/>
        <v>3.3726408896330717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310.95287409903602</v>
      </c>
      <c r="T103" s="62">
        <f t="shared" si="88"/>
        <v>224.10083380795163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-1.2710188457276673E-13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382.55387448074327</v>
      </c>
      <c r="AO103" s="62">
        <f t="shared" si="90"/>
        <v>476.29465646955543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2.6232311320945976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8.7790309714644422E-10</v>
      </c>
      <c r="AX103" s="23">
        <f t="shared" si="60"/>
        <v>2.6232311329725007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287.69656598881124</v>
      </c>
      <c r="BJ103" s="62">
        <f t="shared" si="92"/>
        <v>221.9773436301067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3.3065054547596686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2.9827431629578432E-9</v>
      </c>
      <c r="BS103" s="24">
        <f t="shared" si="63"/>
        <v>3.3065054577424116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310.95287409903602</v>
      </c>
      <c r="T104" s="62">
        <f t="shared" si="88"/>
        <v>224.10083380795163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-1.2710188457276673E-13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382.55387448074327</v>
      </c>
      <c r="AO104" s="62">
        <f t="shared" si="90"/>
        <v>476.29465646955543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2.5717911696072249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6.207712332169231E-10</v>
      </c>
      <c r="AX104" s="23">
        <f t="shared" si="60"/>
        <v>2.5717911702279963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287.69656598881124</v>
      </c>
      <c r="BJ104" s="62">
        <f t="shared" si="92"/>
        <v>221.9773436301067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3.2416668995610194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2.1091179170653022E-9</v>
      </c>
      <c r="BS104" s="24">
        <f t="shared" si="63"/>
        <v>3.2416669016701372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310.95287409903602</v>
      </c>
      <c r="T105" s="62">
        <f t="shared" si="88"/>
        <v>224.10083380795163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-1.2710188457276673E-13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382.55387448074327</v>
      </c>
      <c r="AO105" s="62">
        <f t="shared" si="90"/>
        <v>476.29465646955543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2.5213599134089506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4.3895154857322211E-10</v>
      </c>
      <c r="AX105" s="23">
        <f t="shared" si="60"/>
        <v>2.5213599138479021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287.69656598881124</v>
      </c>
      <c r="BJ105" s="62">
        <f t="shared" si="92"/>
        <v>221.9773436301067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3.1780997888822022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1.4913715814789216E-9</v>
      </c>
      <c r="BS105" s="24">
        <f t="shared" si="63"/>
        <v>3.1780997903735737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310.95287409903602</v>
      </c>
      <c r="T106" s="62">
        <f t="shared" si="88"/>
        <v>224.10083380795163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-1.2710188457276673E-13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382.55387448074327</v>
      </c>
      <c r="AO106" s="62">
        <f t="shared" si="90"/>
        <v>476.29465646955543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2.4719175833846956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3.1038561660846155E-10</v>
      </c>
      <c r="AX106" s="23">
        <f t="shared" si="60"/>
        <v>2.4719175836950811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287.69656598881124</v>
      </c>
      <c r="BJ106" s="62">
        <f t="shared" si="92"/>
        <v>221.9773436301067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3.1157791904716876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1.0545589585326511E-9</v>
      </c>
      <c r="BS106" s="24">
        <f t="shared" si="63"/>
        <v>3.1157791915262467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310.95287409903602</v>
      </c>
      <c r="T107" s="62">
        <f t="shared" si="88"/>
        <v>224.10083380795163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-1.2710188457276673E-13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382.55387448074327</v>
      </c>
      <c r="AO107" s="62">
        <f t="shared" si="90"/>
        <v>476.29465646955543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2.4234447872953724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2.1947577428661106E-10</v>
      </c>
      <c r="AX107" s="23">
        <f t="shared" si="60"/>
        <v>2.4234447875148484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287.69656598881124</v>
      </c>
      <c r="BJ107" s="62">
        <f t="shared" si="92"/>
        <v>221.9773436301067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3.0546806609841912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7.456857907394608E-10</v>
      </c>
      <c r="BS107" s="24">
        <f t="shared" si="63"/>
        <v>3.054680661729877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310.95287409903602</v>
      </c>
      <c r="T108" s="62">
        <f t="shared" si="88"/>
        <v>224.10083380795163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-1.2710188457276673E-13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382.55387448074327</v>
      </c>
      <c r="AO108" s="62">
        <f t="shared" si="90"/>
        <v>476.29465646955543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2.3759225131718749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1.5519280830423078E-10</v>
      </c>
      <c r="AX108" s="23">
        <f t="shared" si="60"/>
        <v>2.3759225133270676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287.69656598881124</v>
      </c>
      <c r="BJ108" s="62">
        <f t="shared" si="92"/>
        <v>221.9773436301067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2.9947802363935216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5.2727947926632556E-10</v>
      </c>
      <c r="BS108" s="24">
        <f t="shared" si="63"/>
        <v>2.9947802369208012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310.95287409903602</v>
      </c>
      <c r="T109" s="62">
        <f t="shared" si="88"/>
        <v>224.10083380795163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-1.2710188457276673E-13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382.55387448074327</v>
      </c>
      <c r="AO109" s="62">
        <f t="shared" si="90"/>
        <v>476.29465646955543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2.3293321218582137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1.0973788714330553E-10</v>
      </c>
      <c r="AX109" s="23">
        <f t="shared" si="60"/>
        <v>2.3293321219679517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287.69656598881124</v>
      </c>
      <c r="BJ109" s="62">
        <f t="shared" si="92"/>
        <v>221.9773436301067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2.9360544225934238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3.728428953697304E-10</v>
      </c>
      <c r="BS109" s="24">
        <f t="shared" si="63"/>
        <v>2.9360544229662668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310.95287409903602</v>
      </c>
      <c r="T110" s="62">
        <f t="shared" si="88"/>
        <v>224.10083380795163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-1.2710188457276673E-13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382.55387448074327</v>
      </c>
      <c r="AO110" s="62">
        <f t="shared" si="90"/>
        <v>476.29465646955543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2.2836553397008807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7.7596404152115388E-11</v>
      </c>
      <c r="AX110" s="23">
        <f t="shared" si="60"/>
        <v>2.2836553397784773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287.69656598881124</v>
      </c>
      <c r="BJ110" s="62">
        <f t="shared" si="92"/>
        <v>221.9773436301067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2.878480186182736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2.6363973963316278E-10</v>
      </c>
      <c r="BS110" s="24">
        <f t="shared" si="63"/>
        <v>2.8784801864463758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310.95287409903602</v>
      </c>
      <c r="T111" s="62">
        <f t="shared" si="88"/>
        <v>224.10083380795163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-1.2710188457276673E-13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382.55387448074327</v>
      </c>
      <c r="AO111" s="62">
        <f t="shared" si="90"/>
        <v>476.29465646955543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2.2388742513815671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5.4868943571652764E-11</v>
      </c>
      <c r="AX111" s="23">
        <f t="shared" si="60"/>
        <v>2.2388742514364361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287.69656598881124</v>
      </c>
      <c r="BJ111" s="62">
        <f t="shared" si="92"/>
        <v>221.9773436301067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2.8220349454312452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1.864214476848652E-10</v>
      </c>
      <c r="BS111" s="24">
        <f t="shared" si="63"/>
        <v>2.8220349456176668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310.95287409903602</v>
      </c>
      <c r="T112" s="62">
        <f t="shared" si="88"/>
        <v>224.10083380795163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-1.2710188457276673E-13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382.55387448074327</v>
      </c>
      <c r="AO112" s="62">
        <f t="shared" si="90"/>
        <v>476.29465646955543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2.1949712928904281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3.8798202076057694E-11</v>
      </c>
      <c r="AX112" s="23">
        <f t="shared" si="60"/>
        <v>2.1949712929292264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287.69656598881124</v>
      </c>
      <c r="BJ112" s="62">
        <f t="shared" si="92"/>
        <v>221.9773436301067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2.7666965614226937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1.3181986981658139E-10</v>
      </c>
      <c r="BS112" s="24">
        <f t="shared" si="63"/>
        <v>2.7666965615545136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310.95287409903602</v>
      </c>
      <c r="T113" s="62">
        <f t="shared" si="88"/>
        <v>224.10083380795163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-1.2710188457276673E-13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382.55387448074327</v>
      </c>
      <c r="AO113" s="62">
        <f t="shared" si="90"/>
        <v>476.29465646955543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2.1519292446371399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2.7434471785826382E-11</v>
      </c>
      <c r="AX113" s="23">
        <f t="shared" si="60"/>
        <v>2.1519292446645744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287.69656598881124</v>
      </c>
      <c r="BJ113" s="62">
        <f t="shared" si="92"/>
        <v>221.9773436301067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2.7124433293714687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9.3210723842432599E-11</v>
      </c>
      <c r="BS113" s="24">
        <f t="shared" si="63"/>
        <v>2.7124433294646795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310.95287409903602</v>
      </c>
      <c r="T114" s="62">
        <f t="shared" si="88"/>
        <v>224.10083380795163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-1.2710188457276673E-13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382.55387448074327</v>
      </c>
      <c r="AO114" s="62">
        <f t="shared" si="90"/>
        <v>476.29465646955543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2.1097312246970414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1.9399101038028847E-11</v>
      </c>
      <c r="AX114" s="23">
        <f t="shared" si="60"/>
        <v>2.1097312247164406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287.69656598881124</v>
      </c>
      <c r="BJ114" s="62">
        <f t="shared" si="92"/>
        <v>221.9773436301067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2.6592539701095639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6.5909934908290695E-11</v>
      </c>
      <c r="BS114" s="24">
        <f t="shared" si="63"/>
        <v>2.6592539701754738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310.95287409903602</v>
      </c>
      <c r="T115" s="62">
        <f t="shared" si="88"/>
        <v>224.10083380795163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-1.2710188457276673E-13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382.55387448074327</v>
      </c>
      <c r="AO115" s="62">
        <f t="shared" si="90"/>
        <v>476.29465646955543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2.0683606821897178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1.3717235892913191E-11</v>
      </c>
      <c r="AX115" s="23">
        <f t="shared" si="60"/>
        <v>2.0683606822034348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287.69656598881124</v>
      </c>
      <c r="BJ115" s="62">
        <f t="shared" si="92"/>
        <v>221.9773436301067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2.6071076217404796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4.66053619212163E-11</v>
      </c>
      <c r="BS115" s="24">
        <f t="shared" si="63"/>
        <v>2.607107621787085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310.95287409903602</v>
      </c>
      <c r="T116" s="62">
        <f t="shared" si="88"/>
        <v>224.10083380795163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-1.2710188457276673E-13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382.55387448074327</v>
      </c>
      <c r="AO116" s="62">
        <f t="shared" si="90"/>
        <v>476.29465646955543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2.0278013907874235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9.6995505190144234E-12</v>
      </c>
      <c r="AX116" s="23">
        <f t="shared" si="60"/>
        <v>2.0278013907971228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287.69656598881124</v>
      </c>
      <c r="BJ116" s="62">
        <f t="shared" si="92"/>
        <v>221.9773436301067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2.5559838314567811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3.2954967454145348E-11</v>
      </c>
      <c r="BS116" s="24">
        <f t="shared" si="63"/>
        <v>2.5559838314897361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310.95287409903602</v>
      </c>
      <c r="T117" s="62">
        <f t="shared" si="88"/>
        <v>224.10083380795163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-1.2710188457276673E-13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382.55387448074327</v>
      </c>
      <c r="AO117" s="62">
        <f t="shared" si="90"/>
        <v>476.29465646955543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1.9880374423508029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6.8586179464565955E-12</v>
      </c>
      <c r="AX117" s="23">
        <f t="shared" si="60"/>
        <v>1.9880374423576614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287.69656598881124</v>
      </c>
      <c r="BJ117" s="62">
        <f t="shared" si="92"/>
        <v>221.9773436301067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2.5058625475181127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2.330268096060815E-11</v>
      </c>
      <c r="BS117" s="24">
        <f t="shared" si="63"/>
        <v>2.5058625475414154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310.95287409903602</v>
      </c>
      <c r="T118" s="62">
        <f t="shared" si="88"/>
        <v>224.10083380795163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-1.2710188457276673E-13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382.55387448074327</v>
      </c>
      <c r="AO118" s="62">
        <f t="shared" si="90"/>
        <v>476.29465646955543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1.9490532406894108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4.8497752595072117E-12</v>
      </c>
      <c r="AX118" s="23">
        <f t="shared" si="60"/>
        <v>1.9490532406942604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287.69656598881124</v>
      </c>
      <c r="BJ118" s="62">
        <f t="shared" si="92"/>
        <v>221.9773436301067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2.4567241113865168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1.6477483727072674E-11</v>
      </c>
      <c r="BS118" s="24">
        <f t="shared" si="63"/>
        <v>2.4567241114029943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310.95287409903602</v>
      </c>
      <c r="T119" s="62">
        <f t="shared" si="88"/>
        <v>224.10083380795163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-1.2710188457276673E-13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382.55387448074327</v>
      </c>
      <c r="AO119" s="62">
        <f t="shared" si="90"/>
        <v>476.29465646955543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1.9108334954445836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3.4293089732282977E-12</v>
      </c>
      <c r="AX119" s="23">
        <f t="shared" si="60"/>
        <v>1.9108334954480128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287.69656598881124</v>
      </c>
      <c r="BJ119" s="62">
        <f t="shared" si="92"/>
        <v>221.9773436301067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2.4085492500159753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1.1651340480304075E-11</v>
      </c>
      <c r="BS119" s="24">
        <f t="shared" si="63"/>
        <v>2.4085492500276264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310.95287409903602</v>
      </c>
      <c r="T120" s="62">
        <f t="shared" si="88"/>
        <v>224.10083380795163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-1.2710188457276673E-13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382.55387448074327</v>
      </c>
      <c r="AO120" s="62">
        <f t="shared" si="90"/>
        <v>476.29465646955543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1.8733632160922646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2.4248876297536059E-12</v>
      </c>
      <c r="AX120" s="23">
        <f t="shared" si="60"/>
        <v>1.8733632160946896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287.69656598881124</v>
      </c>
      <c r="BJ120" s="62">
        <f t="shared" si="92"/>
        <v>221.9773436301067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2.3613190682931458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8.2387418635363369E-12</v>
      </c>
      <c r="BS120" s="24">
        <f t="shared" si="63"/>
        <v>2.3613190683013845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310.95287409903602</v>
      </c>
      <c r="T121" s="62">
        <f t="shared" si="88"/>
        <v>224.10083380795163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-1.2710188457276673E-13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382.55387448074327</v>
      </c>
      <c r="AO121" s="62">
        <f t="shared" si="90"/>
        <v>476.29465646955543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1.8366277060634308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1.7146544866141489E-12</v>
      </c>
      <c r="AX121" s="23">
        <f t="shared" si="60"/>
        <v>1.8366277060651455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287.69656598881124</v>
      </c>
      <c r="BJ121" s="62">
        <f t="shared" si="92"/>
        <v>221.9773436301067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2.3150150416263346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5.8256702401520375E-12</v>
      </c>
      <c r="BS121" s="24">
        <f t="shared" si="63"/>
        <v>2.3150150416321602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310.95287409903602</v>
      </c>
      <c r="T122" s="62">
        <f t="shared" si="88"/>
        <v>224.10083380795163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-1.2710188457276673E-13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382.55387448074327</v>
      </c>
      <c r="AO122" s="62">
        <f t="shared" si="90"/>
        <v>476.29465646955543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1.8006125569798139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1.2124438148768029E-12</v>
      </c>
      <c r="AX122" s="23">
        <f t="shared" si="60"/>
        <v>1.8006125569810263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287.69656598881124</v>
      </c>
      <c r="BJ122" s="62">
        <f t="shared" si="92"/>
        <v>221.9773436301067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2.269619008679792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4.1193709317681685E-12</v>
      </c>
      <c r="BS122" s="24">
        <f t="shared" si="63"/>
        <v>2.2696190086839114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310.95287409903602</v>
      </c>
      <c r="T123" s="62">
        <f t="shared" si="88"/>
        <v>224.10083380795163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-1.2710188457276673E-13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382.55387448074327</v>
      </c>
      <c r="AO123" s="62">
        <f t="shared" si="90"/>
        <v>476.29465646955543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1.7653036430026547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8.5732724330707444E-13</v>
      </c>
      <c r="AX123" s="23">
        <f t="shared" si="60"/>
        <v>1.7653036430035121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287.69656598881124</v>
      </c>
      <c r="BJ123" s="62">
        <f t="shared" si="92"/>
        <v>221.9773436301067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2.2251131642504851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2.9128351200760187E-12</v>
      </c>
      <c r="BS123" s="24">
        <f t="shared" si="63"/>
        <v>2.2251131642533979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310.95287409903602</v>
      </c>
      <c r="T124" s="62">
        <f t="shared" si="88"/>
        <v>224.10083380795163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-1.2710188457276673E-13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382.55387448074327</v>
      </c>
      <c r="AO124" s="62">
        <f t="shared" si="90"/>
        <v>476.29465646955543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1.7306871152922767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6.0622190743840147E-13</v>
      </c>
      <c r="AX124" s="23">
        <f t="shared" si="60"/>
        <v>1.7306871152928829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287.69656598881124</v>
      </c>
      <c r="BJ124" s="62">
        <f t="shared" si="92"/>
        <v>221.9773436301067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2.1814800522845523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2.0596854658840842E-12</v>
      </c>
      <c r="BS124" s="24">
        <f t="shared" si="63"/>
        <v>2.181480052286612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310.95287409903602</v>
      </c>
      <c r="T125" s="62">
        <f t="shared" si="88"/>
        <v>224.10083380795163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-1.2710188457276673E-13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382.55387448074327</v>
      </c>
      <c r="AO125" s="62">
        <f t="shared" si="90"/>
        <v>476.29465646955543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1.6967493965763021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4.2866362165353722E-13</v>
      </c>
      <c r="AX125" s="23">
        <f t="shared" si="60"/>
        <v>1.6967493965767309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287.69656598881124</v>
      </c>
      <c r="BJ125" s="62">
        <f t="shared" si="92"/>
        <v>221.9773436301067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2.1387025590307012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1.4564175600380094E-12</v>
      </c>
      <c r="BS125" s="24">
        <f t="shared" si="63"/>
        <v>2.1387025590321578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310.95287409903602</v>
      </c>
      <c r="T126" s="62">
        <f t="shared" si="88"/>
        <v>224.10083380795163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-1.2710188457276673E-13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382.55387448074327</v>
      </c>
      <c r="AO126" s="62">
        <f t="shared" si="90"/>
        <v>476.29465646955543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1.6634771758243834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3.0311095371920073E-13</v>
      </c>
      <c r="AX126" s="23">
        <f t="shared" si="60"/>
        <v>1.6634771758246865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287.69656598881124</v>
      </c>
      <c r="BJ126" s="62">
        <f t="shared" si="92"/>
        <v>221.9773436301067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2.0967639063278636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1.0298427329420421E-12</v>
      </c>
      <c r="BS126" s="24">
        <f t="shared" si="63"/>
        <v>2.0967639063288934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310.95287409903602</v>
      </c>
      <c r="T127" s="62">
        <f t="shared" si="88"/>
        <v>224.10083380795163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-1.2710188457276673E-13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382.55387448074327</v>
      </c>
      <c r="AO127" s="62">
        <f t="shared" si="90"/>
        <v>476.29465646955543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1.630857403027359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2.1433181082676861E-13</v>
      </c>
      <c r="AX127" s="23">
        <f t="shared" si="60"/>
        <v>1.6308574030275733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287.69656598881124</v>
      </c>
      <c r="BJ127" s="62">
        <f t="shared" si="92"/>
        <v>221.9773436301067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2.0556476450244761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7.2820878001900468E-13</v>
      </c>
      <c r="BS127" s="24">
        <f t="shared" si="63"/>
        <v>2.0556476450252044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310.95287409903602</v>
      </c>
      <c r="T128" s="62">
        <f t="shared" si="88"/>
        <v>224.10083380795163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-1.2710188457276673E-13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382.55387448074327</v>
      </c>
      <c r="AO128" s="62">
        <f t="shared" si="90"/>
        <v>476.29465646955543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1.5988772840787875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1.5155547685960037E-13</v>
      </c>
      <c r="AX128" s="23">
        <f t="shared" si="60"/>
        <v>1.5988772840789391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287.69656598881124</v>
      </c>
      <c r="BJ128" s="62">
        <f t="shared" si="92"/>
        <v>221.9773436301067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2.0153376485268049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5.1492136647102106E-13</v>
      </c>
      <c r="BS128" s="24">
        <f t="shared" si="63"/>
        <v>2.0153376485273196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310.95287409903602</v>
      </c>
      <c r="T129" s="62">
        <f t="shared" si="88"/>
        <v>224.10083380795163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-1.2710188457276673E-13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382.55387448074327</v>
      </c>
      <c r="AO129" s="62">
        <f t="shared" si="90"/>
        <v>476.29465646955543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1.5675242757568508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1.071659054133843E-13</v>
      </c>
      <c r="AX129" s="23">
        <f t="shared" si="60"/>
        <v>1.5675242757569581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287.69656598881124</v>
      </c>
      <c r="BJ129" s="62">
        <f t="shared" si="92"/>
        <v>221.9773436301067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1.975818106473783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3.6410439000950234E-13</v>
      </c>
      <c r="BS129" s="24">
        <f t="shared" si="63"/>
        <v>1.9758181064741471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310.95287409903602</v>
      </c>
      <c r="T130" s="62">
        <f t="shared" si="88"/>
        <v>224.10083380795163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-1.2710188457276673E-13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382.55387448074327</v>
      </c>
      <c r="AO130" s="62">
        <f t="shared" si="90"/>
        <v>476.29465646955543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1.5367860808046605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7.5777738429800183E-14</v>
      </c>
      <c r="AX130" s="23">
        <f t="shared" si="60"/>
        <v>1.5367860808047362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287.69656598881124</v>
      </c>
      <c r="BJ130" s="62">
        <f t="shared" si="92"/>
        <v>221.9773436301067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1.9370735185358803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2.5746068323551053E-13</v>
      </c>
      <c r="BS130" s="24">
        <f t="shared" si="63"/>
        <v>1.9370735185361379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310.95287409903602</v>
      </c>
      <c r="T131" s="62">
        <f t="shared" si="88"/>
        <v>224.10083380795163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-1.2710188457276673E-13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382.55387448074327</v>
      </c>
      <c r="AO131" s="62">
        <f t="shared" si="90"/>
        <v>476.29465646955543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1.506650643107035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5.3582952706692152E-14</v>
      </c>
      <c r="AX131" s="23">
        <f t="shared" si="60"/>
        <v>1.5066506431070885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287.69656598881124</v>
      </c>
      <c r="BJ131" s="62">
        <f t="shared" si="92"/>
        <v>221.9773436301067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1.8990886883355746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1.8205219500475117E-13</v>
      </c>
      <c r="BS131" s="24">
        <f t="shared" si="63"/>
        <v>1.8990886883357567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310.95287409903602</v>
      </c>
      <c r="T132" s="62">
        <f t="shared" si="88"/>
        <v>224.10083380795163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-1.2710188457276673E-13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382.55387448074327</v>
      </c>
      <c r="AO132" s="62">
        <f t="shared" si="90"/>
        <v>476.29465646955543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1.4771061429618579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3.7888869214900092E-14</v>
      </c>
      <c r="AX132" s="23">
        <f t="shared" ref="AX132:AX153" si="114">SUM(AU132:AW132)</f>
        <v>1.4771061429618959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287.69656598881124</v>
      </c>
      <c r="BJ132" s="62">
        <f t="shared" si="92"/>
        <v>221.9773436301067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1.8618487174870384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1.2873034161775526E-13</v>
      </c>
      <c r="BS132" s="24">
        <f t="shared" ref="BS132:BS153" si="117">SUM(BP132:BR132)</f>
        <v>1.8618487174871672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310.95287409903602</v>
      </c>
      <c r="T133" s="62">
        <f t="shared" ref="T133:T196" si="142">$T$3</f>
        <v>224.10083380795163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-1.2710188457276673E-13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382.55387448074327</v>
      </c>
      <c r="AO133" s="62">
        <f t="shared" ref="AO133:AO196" si="144">$AO$3</f>
        <v>476.29465646955543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1.4481409924441622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2.6791476353346076E-14</v>
      </c>
      <c r="AX133" s="23">
        <f t="shared" si="114"/>
        <v>1.448140992444189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287.69656598881124</v>
      </c>
      <c r="BJ133" s="62">
        <f t="shared" ref="BJ133:BJ196" si="146">$BJ$3</f>
        <v>221.9773436301067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1.8253389997527025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9.1026097502375585E-14</v>
      </c>
      <c r="BS133" s="24">
        <f t="shared" si="117"/>
        <v>1.8253389997527936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310.95287409903602</v>
      </c>
      <c r="T134" s="62">
        <f t="shared" si="142"/>
        <v>224.10083380795163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-1.2710188457276673E-13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382.55387448074327</v>
      </c>
      <c r="AO134" s="62">
        <f t="shared" si="144"/>
        <v>476.29465646955543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1.419743830861121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1.8944434607450046E-14</v>
      </c>
      <c r="AX134" s="23">
        <f t="shared" si="114"/>
        <v>1.4197438308611399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287.69656598881124</v>
      </c>
      <c r="BJ134" s="62">
        <f t="shared" si="146"/>
        <v>221.9773436301067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1.789545215314408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6.4365170808877632E-14</v>
      </c>
      <c r="BS134" s="24">
        <f t="shared" si="117"/>
        <v>1.7895452153144724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310.95287409903602</v>
      </c>
      <c r="T135" s="62">
        <f t="shared" si="142"/>
        <v>224.10083380795163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-1.2710188457276673E-13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382.55387448074327</v>
      </c>
      <c r="AO135" s="62">
        <f t="shared" si="144"/>
        <v>476.29465646955543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1.3919035202961649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1.3395738176673038E-14</v>
      </c>
      <c r="AX135" s="23">
        <f t="shared" si="114"/>
        <v>1.3919035202961783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287.69656598881124</v>
      </c>
      <c r="BJ135" s="62">
        <f t="shared" si="146"/>
        <v>221.9773436301067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1.7544533251568957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4.5513048751187793E-14</v>
      </c>
      <c r="BS135" s="24">
        <f t="shared" si="117"/>
        <v>1.7544533251569412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310.95287409903602</v>
      </c>
      <c r="T136" s="62">
        <f t="shared" si="142"/>
        <v>224.10083380795163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-1.2710188457276673E-13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382.55387448074327</v>
      </c>
      <c r="AO136" s="62">
        <f t="shared" si="144"/>
        <v>476.29465646955543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1.3646091412404751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9.4722173037250229E-15</v>
      </c>
      <c r="AX136" s="23">
        <f t="shared" si="114"/>
        <v>1.3646091412404846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287.69656598881124</v>
      </c>
      <c r="BJ136" s="62">
        <f t="shared" si="146"/>
        <v>221.9773436301067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1.7200495655614325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3.2182585404438816E-14</v>
      </c>
      <c r="BS136" s="24">
        <f t="shared" si="117"/>
        <v>1.7200495655614647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310.95287409903602</v>
      </c>
      <c r="T137" s="62">
        <f t="shared" si="142"/>
        <v>224.10083380795163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-1.2710188457276673E-13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382.55387448074327</v>
      </c>
      <c r="AO137" s="62">
        <f t="shared" si="144"/>
        <v>476.29465646955543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1.3378499883101398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6.697869088336519E-15</v>
      </c>
      <c r="AX137" s="23">
        <f t="shared" si="114"/>
        <v>1.3378499883101465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287.69656598881124</v>
      </c>
      <c r="BJ137" s="62">
        <f t="shared" si="146"/>
        <v>221.9773436301067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1.6863204427074152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2.2756524375593896E-14</v>
      </c>
      <c r="BS137" s="24">
        <f t="shared" si="117"/>
        <v>1.6863204427074379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310.95287409903602</v>
      </c>
      <c r="T138" s="62">
        <f t="shared" si="142"/>
        <v>224.10083380795163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-1.2710188457276673E-13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382.55387448074327</v>
      </c>
      <c r="AO138" s="62">
        <f t="shared" si="144"/>
        <v>476.29465646955543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1.3116155660472968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4.7361086518625114E-15</v>
      </c>
      <c r="AX138" s="23">
        <f t="shared" si="114"/>
        <v>1.3116155660473015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287.69656598881124</v>
      </c>
      <c r="BJ138" s="62">
        <f t="shared" si="146"/>
        <v>221.9773436301067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1.6532527273798316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1.6091292702219408E-14</v>
      </c>
      <c r="BS138" s="24">
        <f t="shared" si="117"/>
        <v>1.6532527273798476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310.95287409903602</v>
      </c>
      <c r="T139" s="62">
        <f t="shared" si="142"/>
        <v>224.10083380795163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-1.2710188457276673E-13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382.55387448074327</v>
      </c>
      <c r="AO139" s="62">
        <f t="shared" si="144"/>
        <v>476.29465646955543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1.2858955848036104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3.3489345441682595E-15</v>
      </c>
      <c r="AX139" s="23">
        <f t="shared" si="114"/>
        <v>1.2858955848036138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287.69656598881124</v>
      </c>
      <c r="BJ139" s="62">
        <f t="shared" si="146"/>
        <v>221.9773436301067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1.620833449780507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1.1378262187796948E-14</v>
      </c>
      <c r="BS139" s="24">
        <f t="shared" si="117"/>
        <v>1.6208334497805184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310.95287409903602</v>
      </c>
      <c r="T140" s="62">
        <f t="shared" si="142"/>
        <v>224.10083380795163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-1.2710188457276673E-13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382.55387448074327</v>
      </c>
      <c r="AO140" s="62">
        <f t="shared" si="144"/>
        <v>476.29465646955543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1.2606799567044733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2.3680543259312557E-15</v>
      </c>
      <c r="AX140" s="23">
        <f t="shared" si="114"/>
        <v>1.2606799567044757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287.69656598881124</v>
      </c>
      <c r="BJ140" s="62">
        <f t="shared" si="146"/>
        <v>221.9773436301067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1.5890498944410985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8.045646351109704E-15</v>
      </c>
      <c r="BS140" s="24">
        <f t="shared" si="117"/>
        <v>1.5890498944411064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310.95287409903602</v>
      </c>
      <c r="T141" s="62">
        <f t="shared" si="142"/>
        <v>224.10083380795163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-1.2710188457276673E-13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382.55387448074327</v>
      </c>
      <c r="AO141" s="62">
        <f t="shared" si="144"/>
        <v>476.29465646955543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1.2359587916923458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1.6744672720841298E-15</v>
      </c>
      <c r="AX141" s="23">
        <f t="shared" si="114"/>
        <v>1.2359587916923476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287.69656598881124</v>
      </c>
      <c r="BJ141" s="62">
        <f t="shared" si="146"/>
        <v>221.9773436301067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1.5578895952358411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5.6891310938984741E-15</v>
      </c>
      <c r="BS141" s="24">
        <f t="shared" si="117"/>
        <v>1.5578895952358469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310.95287409903602</v>
      </c>
      <c r="T142" s="62">
        <f t="shared" si="142"/>
        <v>224.10083380795163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-1.2710188457276673E-13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382.55387448074327</v>
      </c>
      <c r="AO142" s="62">
        <f t="shared" si="144"/>
        <v>476.29465646955543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1.2117223936476842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1.1840271629656279E-15</v>
      </c>
      <c r="AX142" s="23">
        <f t="shared" si="114"/>
        <v>1.2117223936476853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287.69656598881124</v>
      </c>
      <c r="BJ142" s="62">
        <f t="shared" si="146"/>
        <v>221.9773436301067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1.5273403304920932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4.022823175554852E-15</v>
      </c>
      <c r="BS142" s="24">
        <f t="shared" si="117"/>
        <v>1.5273403304920972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310.95287409903602</v>
      </c>
      <c r="T143" s="62">
        <f t="shared" si="142"/>
        <v>224.10083380795163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-1.2710188457276673E-13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382.55387448074327</v>
      </c>
      <c r="AO143" s="62">
        <f t="shared" si="144"/>
        <v>476.29465646955543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1.1879612565859354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8.3723363604206488E-16</v>
      </c>
      <c r="AX143" s="23">
        <f t="shared" si="114"/>
        <v>1.1879612565859363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287.69656598881124</v>
      </c>
      <c r="BJ143" s="62">
        <f t="shared" si="146"/>
        <v>221.9773436301067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1.4973901181967584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2.844565546949237E-15</v>
      </c>
      <c r="BS143" s="24">
        <f t="shared" si="117"/>
        <v>1.4973901181967613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310.95287409903602</v>
      </c>
      <c r="T144" s="62">
        <f t="shared" si="142"/>
        <v>224.10083380795163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-1.2710188457276673E-13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382.55387448074327</v>
      </c>
      <c r="AO144" s="62">
        <f t="shared" si="144"/>
        <v>476.29465646955543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1.1646660609291049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5.9201358148281393E-16</v>
      </c>
      <c r="AX144" s="23">
        <f t="shared" si="114"/>
        <v>1.1646660609291055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287.69656598881124</v>
      </c>
      <c r="BJ144" s="62">
        <f t="shared" si="146"/>
        <v>221.9773436301067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1.4680272112967094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2.011411587777426E-15</v>
      </c>
      <c r="BS144" s="24">
        <f t="shared" si="117"/>
        <v>1.4680272112967114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310.95287409903602</v>
      </c>
      <c r="T145" s="62">
        <f t="shared" si="142"/>
        <v>224.10083380795163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-1.2710188457276673E-13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382.55387448074327</v>
      </c>
      <c r="AO145" s="62">
        <f t="shared" si="144"/>
        <v>476.29465646955543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1.1418276698504384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4.1861681802103244E-16</v>
      </c>
      <c r="AX145" s="23">
        <f t="shared" si="114"/>
        <v>1.1418276698504388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287.69656598881124</v>
      </c>
      <c r="BJ145" s="62">
        <f t="shared" si="146"/>
        <v>221.9773436301067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1.4392400930913656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1.4222827734746185E-15</v>
      </c>
      <c r="BS145" s="24">
        <f t="shared" si="117"/>
        <v>1.4392400930913669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310.95287409903602</v>
      </c>
      <c r="T146" s="62">
        <f t="shared" si="142"/>
        <v>224.10083380795163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-1.2710188457276673E-13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382.55387448074327</v>
      </c>
      <c r="AO146" s="62">
        <f t="shared" si="144"/>
        <v>476.29465646955543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1.1194371256907816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2.9600679074140697E-16</v>
      </c>
      <c r="AX146" s="23">
        <f t="shared" si="114"/>
        <v>1.1194371256907818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287.69656598881124</v>
      </c>
      <c r="BJ146" s="62">
        <f t="shared" si="146"/>
        <v>221.9773436301067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1.4110174727156202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1.005705793888713E-15</v>
      </c>
      <c r="BS146" s="24">
        <f t="shared" si="117"/>
        <v>1.4110174727156213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310.95287409903602</v>
      </c>
      <c r="T147" s="62">
        <f t="shared" si="142"/>
        <v>224.10083380795163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-1.2710188457276673E-13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382.55387448074327</v>
      </c>
      <c r="AO147" s="62">
        <f t="shared" si="144"/>
        <v>476.29465646955543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1.0974856464452123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2.0930840901051622E-16</v>
      </c>
      <c r="AX147" s="23">
        <f t="shared" si="114"/>
        <v>1.0974856464452125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287.69656598881124</v>
      </c>
      <c r="BJ147" s="62">
        <f t="shared" si="146"/>
        <v>221.9773436301067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1.3833482807113444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7.1114138673730926E-16</v>
      </c>
      <c r="BS147" s="24">
        <f t="shared" si="117"/>
        <v>1.3833482807113451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310.95287409903602</v>
      </c>
      <c r="T148" s="62">
        <f t="shared" si="142"/>
        <v>224.10083380795163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-1.2710188457276673E-13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382.55387448074327</v>
      </c>
      <c r="AO148" s="62">
        <f t="shared" si="144"/>
        <v>476.29465646955543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1.0759646223185682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1.4800339537070348E-16</v>
      </c>
      <c r="AX148" s="23">
        <f t="shared" si="114"/>
        <v>1.0759646223185684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287.69656598881124</v>
      </c>
      <c r="BJ148" s="62">
        <f t="shared" si="146"/>
        <v>221.9773436301067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1.3562216646857319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5.028528969443565E-16</v>
      </c>
      <c r="BS148" s="24">
        <f t="shared" si="117"/>
        <v>1.3562216646857324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310.95287409903602</v>
      </c>
      <c r="T149" s="62">
        <f t="shared" si="142"/>
        <v>224.10083380795163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-1.2710188457276673E-13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382.55387448074327</v>
      </c>
      <c r="AO149" s="62">
        <f t="shared" si="144"/>
        <v>476.29465646955543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1.0548656123485189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1.0465420450525811E-16</v>
      </c>
      <c r="AX149" s="23">
        <f t="shared" si="114"/>
        <v>1.0548656123485189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287.69656598881124</v>
      </c>
      <c r="BJ149" s="62">
        <f t="shared" si="146"/>
        <v>221.9773436301067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1.3296269850547797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3.5557069336865463E-16</v>
      </c>
      <c r="BS149" s="24">
        <f t="shared" si="117"/>
        <v>1.3296269850547802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310.95287409903602</v>
      </c>
      <c r="T150" s="62">
        <f t="shared" si="142"/>
        <v>224.10083380795163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-1.2710188457276673E-13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382.55387448074327</v>
      </c>
      <c r="AO150" s="62">
        <f t="shared" si="144"/>
        <v>476.29465646955543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1.0341803410948571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7.4001697685351741E-17</v>
      </c>
      <c r="AX150" s="23">
        <f t="shared" si="114"/>
        <v>1.0341803410948571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287.69656598881124</v>
      </c>
      <c r="BJ150" s="62">
        <f t="shared" si="146"/>
        <v>221.9773436301067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1.3035538108702376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2.5142644847217825E-16</v>
      </c>
      <c r="BS150" s="24">
        <f t="shared" si="117"/>
        <v>1.3035538108702378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310.95287409903602</v>
      </c>
      <c r="T151" s="62">
        <f t="shared" si="142"/>
        <v>224.10083380795163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-1.2710188457276673E-13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382.55387448074327</v>
      </c>
      <c r="AO151" s="62">
        <f t="shared" si="144"/>
        <v>476.29465646955543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1.01390069539371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5.2327102252629055E-17</v>
      </c>
      <c r="AX151" s="23">
        <f t="shared" si="114"/>
        <v>1.01390069539371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287.69656598881124</v>
      </c>
      <c r="BJ151" s="62">
        <f t="shared" si="146"/>
        <v>221.9773436301067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1.2779919157283883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1.7778534668432732E-16</v>
      </c>
      <c r="BS151" s="24">
        <f t="shared" si="117"/>
        <v>1.2779919157283886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310.95287409903602</v>
      </c>
      <c r="T152" s="62">
        <f t="shared" si="142"/>
        <v>224.10083380795163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-1.2710188457276673E-13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382.55387448074327</v>
      </c>
      <c r="AO152" s="62">
        <f t="shared" si="144"/>
        <v>476.29465646955543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0.9940187211753998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3.7000848842675871E-17</v>
      </c>
      <c r="AX152" s="23">
        <f t="shared" si="114"/>
        <v>0.9940187211753998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287.69656598881124</v>
      </c>
      <c r="BJ152" s="62">
        <f t="shared" si="146"/>
        <v>221.9773436301067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1.2529312737590541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1.2571322423608913E-16</v>
      </c>
      <c r="BS152" s="24">
        <f t="shared" si="117"/>
        <v>1.2529312737590543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310.95287409903602</v>
      </c>
      <c r="T153" s="62">
        <f t="shared" si="142"/>
        <v>224.10083380795163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-1.2710188457276673E-13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382.55387448074327</v>
      </c>
      <c r="AO153" s="62">
        <f t="shared" si="144"/>
        <v>476.29465646955543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0.97452662034470383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2.6163551126314527E-17</v>
      </c>
      <c r="AX153" s="23">
        <f t="shared" si="114"/>
        <v>0.97452662034470383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287.69656598881124</v>
      </c>
      <c r="BJ153" s="62">
        <f t="shared" si="146"/>
        <v>221.9773436301067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1.2283620556932564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8.8892673342163658E-17</v>
      </c>
      <c r="BS153" s="24">
        <f t="shared" si="117"/>
        <v>1.2283620556932564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310.95287409903602</v>
      </c>
      <c r="T154" s="62">
        <f t="shared" si="142"/>
        <v>224.10083380795163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-1.2710188457276673E-13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382.55387448074327</v>
      </c>
      <c r="AO154" s="62">
        <f t="shared" si="144"/>
        <v>476.29465646955543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0.95541674772229024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1.8500424421337935E-17</v>
      </c>
      <c r="AX154" s="23">
        <f t="shared" ref="AX154:AX203" si="166">SUM(AU154:AW154)</f>
        <v>0.95541674772229024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287.69656598881124</v>
      </c>
      <c r="BJ154" s="62">
        <f t="shared" si="146"/>
        <v>221.9773436301067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1.2042746250079857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6.2856612118044563E-17</v>
      </c>
      <c r="BS154" s="24">
        <f t="shared" ref="BS154:BS203" si="169">SUM(BP154:BR154)</f>
        <v>1.2042746250079857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310.95287409903602</v>
      </c>
      <c r="T155" s="62">
        <f t="shared" si="142"/>
        <v>224.10083380795163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-1.2710188457276673E-13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382.55387448074327</v>
      </c>
      <c r="AO155" s="62">
        <f t="shared" si="144"/>
        <v>476.29465646955543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0.93668160804613076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1.3081775563157264E-17</v>
      </c>
      <c r="AX155" s="23">
        <f t="shared" si="166"/>
        <v>0.93668160804613076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287.69656598881124</v>
      </c>
      <c r="BJ155" s="62">
        <f t="shared" si="146"/>
        <v>221.9773436301067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1.1806595341465711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4.4446336671081829E-17</v>
      </c>
      <c r="BS155" s="24">
        <f t="shared" si="169"/>
        <v>1.1806595341465711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310.95287409903602</v>
      </c>
      <c r="T156" s="62">
        <f t="shared" si="142"/>
        <v>224.10083380795163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-1.2710188457276673E-13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382.55387448074327</v>
      </c>
      <c r="AO156" s="62">
        <f t="shared" si="144"/>
        <v>476.29465646955543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0.91831385303171398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9.2502122106689677E-18</v>
      </c>
      <c r="AX156" s="23">
        <f t="shared" si="166"/>
        <v>0.91831385303171398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287.69656598881124</v>
      </c>
      <c r="BJ156" s="62">
        <f t="shared" si="146"/>
        <v>221.9773436301067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1.1575075208131655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3.1428306059022281E-17</v>
      </c>
      <c r="BS156" s="24">
        <f t="shared" si="169"/>
        <v>1.1575075208131655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310.95287409903602</v>
      </c>
      <c r="T157" s="62">
        <f t="shared" si="142"/>
        <v>224.10083380795163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-1.2710188457276673E-13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382.55387448074327</v>
      </c>
      <c r="AO157" s="62">
        <f t="shared" si="144"/>
        <v>476.29465646955543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0.90030627848990552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6.5408877815786319E-18</v>
      </c>
      <c r="AX157" s="23">
        <f t="shared" si="166"/>
        <v>0.90030627848990552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287.69656598881124</v>
      </c>
      <c r="BJ157" s="62">
        <f t="shared" si="146"/>
        <v>221.9773436301067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1.1348095043398945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2.2223168335540914E-17</v>
      </c>
      <c r="BS157" s="24">
        <f t="shared" si="169"/>
        <v>1.1348095043398945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310.95287409903602</v>
      </c>
      <c r="T158" s="62">
        <f t="shared" si="142"/>
        <v>224.10083380795163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-1.2710188457276673E-13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382.55387448074327</v>
      </c>
      <c r="AO158" s="62">
        <f t="shared" si="144"/>
        <v>476.29465646955543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0.88265182150132604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4.6251061053344838E-18</v>
      </c>
      <c r="AX158" s="23">
        <f t="shared" si="166"/>
        <v>0.88265182150132604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287.69656598881124</v>
      </c>
      <c r="BJ158" s="62">
        <f t="shared" si="146"/>
        <v>221.9773436301067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1.1125565821252412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1.5714153029511141E-17</v>
      </c>
      <c r="BS158" s="24">
        <f t="shared" si="169"/>
        <v>1.1125565821252412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310.95287409903602</v>
      </c>
      <c r="T159" s="62">
        <f t="shared" si="142"/>
        <v>224.10083380795163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-1.2710188457276673E-13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382.55387448074327</v>
      </c>
      <c r="AO159" s="62">
        <f t="shared" si="144"/>
        <v>476.29465646955543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0.86534355764613713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3.2704438907893159E-18</v>
      </c>
      <c r="AX159" s="23">
        <f t="shared" si="166"/>
        <v>0.86534355764613713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287.69656598881124</v>
      </c>
      <c r="BJ159" s="62">
        <f t="shared" si="146"/>
        <v>221.9773436301067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1.0907400261422748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1.1111584167770457E-17</v>
      </c>
      <c r="BS159" s="24">
        <f t="shared" si="169"/>
        <v>1.0907400261422748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310.95287409903602</v>
      </c>
      <c r="T160" s="62">
        <f t="shared" si="142"/>
        <v>224.10083380795163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-1.2710188457276673E-13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382.55387448074327</v>
      </c>
      <c r="AO160" s="62">
        <f t="shared" si="144"/>
        <v>476.29465646955543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0.84837469828814993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2.3125530526672419E-18</v>
      </c>
      <c r="AX160" s="23">
        <f t="shared" si="166"/>
        <v>0.84837469828814993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287.69656598881124</v>
      </c>
      <c r="BJ160" s="62">
        <f t="shared" si="146"/>
        <v>221.9773436301067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1.0693512795153493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7.8570765147555703E-18</v>
      </c>
      <c r="BS160" s="24">
        <f t="shared" si="169"/>
        <v>1.0693512795153493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310.95287409903602</v>
      </c>
      <c r="T161" s="62">
        <f t="shared" si="142"/>
        <v>224.10083380795163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-1.2710188457276673E-13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382.55387448074327</v>
      </c>
      <c r="AO161" s="62">
        <f t="shared" si="144"/>
        <v>476.29465646955543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0.83173858791219057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1.635221945394658E-18</v>
      </c>
      <c r="AX161" s="23">
        <f t="shared" si="166"/>
        <v>0.83173858791219057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287.69656598881124</v>
      </c>
      <c r="BJ161" s="62">
        <f t="shared" si="146"/>
        <v>221.9773436301067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1.0483819531639305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5.5557920838852286E-18</v>
      </c>
      <c r="BS161" s="24">
        <f t="shared" si="169"/>
        <v>1.0483819531639305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310.95287409903602</v>
      </c>
      <c r="T162" s="62">
        <f t="shared" si="142"/>
        <v>224.10083380795163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-1.2710188457276673E-13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382.55387448074327</v>
      </c>
      <c r="AO162" s="62">
        <f t="shared" si="144"/>
        <v>476.29465646955543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0.81542870151367841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1.156276526333621E-18</v>
      </c>
      <c r="AX162" s="23">
        <f t="shared" si="166"/>
        <v>0.81542870151367841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287.69656598881124</v>
      </c>
      <c r="BJ162" s="62">
        <f t="shared" si="146"/>
        <v>221.9773436301067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1.0278238225122367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3.9285382573777852E-18</v>
      </c>
      <c r="BS162" s="24">
        <f t="shared" si="169"/>
        <v>1.0278238225122367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310.95287409903602</v>
      </c>
      <c r="T163" s="62">
        <f t="shared" si="142"/>
        <v>224.10083380795163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-1.2710188457276673E-13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382.55387448074327</v>
      </c>
      <c r="AO163" s="62">
        <f t="shared" si="144"/>
        <v>476.29465646955543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0.79943864203939263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8.1761097269732898E-19</v>
      </c>
      <c r="AX163" s="23">
        <f t="shared" si="166"/>
        <v>0.79943864203939263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287.69656598881124</v>
      </c>
      <c r="BJ163" s="62">
        <f t="shared" si="146"/>
        <v>221.9773436301067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1.0076688242634011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2.7778960419426143E-18</v>
      </c>
      <c r="BS163" s="24">
        <f t="shared" si="169"/>
        <v>1.0076688242634011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310.95287409903602</v>
      </c>
      <c r="T164" s="62">
        <f t="shared" si="142"/>
        <v>224.10083380795163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-1.2710188457276673E-13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382.55387448074327</v>
      </c>
      <c r="AO164" s="62">
        <f t="shared" si="144"/>
        <v>476.29465646955543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0.7837621378784243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5.7813826316681048E-19</v>
      </c>
      <c r="AX164" s="23">
        <f t="shared" si="166"/>
        <v>0.7837621378784243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287.69656598881124</v>
      </c>
      <c r="BJ164" s="62">
        <f t="shared" si="146"/>
        <v>221.9773436301067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0.98790905323689016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1.9642691286888926E-18</v>
      </c>
      <c r="BS164" s="24">
        <f t="shared" si="169"/>
        <v>0.98790905323689016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310.95287409903602</v>
      </c>
      <c r="T165" s="62">
        <f t="shared" si="142"/>
        <v>224.10083380795163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-1.2710188457276673E-13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382.55387448074327</v>
      </c>
      <c r="AO165" s="62">
        <f t="shared" si="144"/>
        <v>476.29465646955543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0.76839304040232925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4.0880548634866449E-19</v>
      </c>
      <c r="AX165" s="23">
        <f t="shared" si="166"/>
        <v>0.76839304040232925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287.69656598881124</v>
      </c>
      <c r="BJ165" s="62">
        <f t="shared" si="146"/>
        <v>221.9773436301067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0.96853675926793881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1.3889480209713072E-18</v>
      </c>
      <c r="BS165" s="24">
        <f t="shared" si="169"/>
        <v>0.96853675926793881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310.95287409903602</v>
      </c>
      <c r="T166" s="62">
        <f t="shared" si="142"/>
        <v>224.10083380795163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-1.2710188457276673E-13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382.55387448074327</v>
      </c>
      <c r="AO166" s="62">
        <f t="shared" si="144"/>
        <v>476.29465646955543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0.75332532155351661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2.8906913158340524E-19</v>
      </c>
      <c r="AX166" s="23">
        <f t="shared" si="166"/>
        <v>0.75332532155351661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287.69656598881124</v>
      </c>
      <c r="BJ166" s="62">
        <f t="shared" si="146"/>
        <v>221.9773436301067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0.9495443441677861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9.8213456434444629E-19</v>
      </c>
      <c r="BS166" s="24">
        <f t="shared" si="169"/>
        <v>0.9495443441677861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310.95287409903602</v>
      </c>
      <c r="T167" s="62">
        <f t="shared" si="142"/>
        <v>224.10083380795163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-1.2710188457276673E-13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382.55387448074327</v>
      </c>
      <c r="AO167" s="62">
        <f t="shared" si="144"/>
        <v>476.29465646955543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0.73855307148092808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2.0440274317433225E-19</v>
      </c>
      <c r="AX167" s="23">
        <f t="shared" si="166"/>
        <v>0.73855307148092808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287.69656598881124</v>
      </c>
      <c r="BJ167" s="62">
        <f t="shared" si="146"/>
        <v>221.9773436301067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0.93092435874351798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6.9447401048565358E-19</v>
      </c>
      <c r="BS167" s="24">
        <f t="shared" si="169"/>
        <v>0.93092435874351798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310.95287409903602</v>
      </c>
      <c r="T168" s="62">
        <f t="shared" si="142"/>
        <v>224.10083380795163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-1.2710188457276673E-13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382.55387448074327</v>
      </c>
      <c r="AO168" s="62">
        <f t="shared" si="144"/>
        <v>476.29465646955543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0.7240704962220802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1.4453456579170262E-19</v>
      </c>
      <c r="AX168" s="23">
        <f t="shared" si="166"/>
        <v>0.7240704962220802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287.69656598881124</v>
      </c>
      <c r="BJ168" s="62">
        <f t="shared" si="146"/>
        <v>221.9773436301067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0.91266949987635004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4.9106728217222314E-19</v>
      </c>
      <c r="BS168" s="24">
        <f t="shared" si="169"/>
        <v>0.91266949987635004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310.95287409903602</v>
      </c>
      <c r="T169" s="62">
        <f t="shared" si="142"/>
        <v>224.10083380795163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-1.2710188457276673E-13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382.55387448074327</v>
      </c>
      <c r="AO169" s="62">
        <f t="shared" si="144"/>
        <v>476.29465646955543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0.70987191543055961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1.0220137158716612E-19</v>
      </c>
      <c r="AX169" s="23">
        <f t="shared" si="166"/>
        <v>0.70987191543055961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287.69656598881124</v>
      </c>
      <c r="BJ169" s="62">
        <f t="shared" si="146"/>
        <v>221.9773436301067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0.89477260765720279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3.4723700524282679E-19</v>
      </c>
      <c r="BS169" s="24">
        <f t="shared" si="169"/>
        <v>0.89477260765720279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310.95287409903602</v>
      </c>
      <c r="T170" s="62">
        <f t="shared" si="142"/>
        <v>224.10083380795163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-1.2710188457276673E-13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382.55387448074327</v>
      </c>
      <c r="AO170" s="62">
        <f t="shared" si="144"/>
        <v>476.29465646955543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0.69595176014808158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7.226728289585131E-20</v>
      </c>
      <c r="AX170" s="23">
        <f t="shared" si="166"/>
        <v>0.69595176014808158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287.69656598881124</v>
      </c>
      <c r="BJ170" s="62">
        <f t="shared" si="146"/>
        <v>221.9773436301067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0.87722666257844661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2.4553364108611157E-19</v>
      </c>
      <c r="BS170" s="24">
        <f t="shared" si="169"/>
        <v>0.87722666257844661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310.95287409903602</v>
      </c>
      <c r="T171" s="62">
        <f t="shared" si="142"/>
        <v>224.10083380795163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-1.2710188457276673E-13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382.55387448074327</v>
      </c>
      <c r="AO171" s="62">
        <f t="shared" si="144"/>
        <v>476.29465646955543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0.68230457062023664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5.1100685793583061E-20</v>
      </c>
      <c r="AX171" s="23">
        <f t="shared" si="166"/>
        <v>0.68230457062023664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287.69656598881124</v>
      </c>
      <c r="BJ171" s="62">
        <f t="shared" si="146"/>
        <v>221.9773436301067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0.86002478278071515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1.7361850262141339E-19</v>
      </c>
      <c r="BS171" s="24">
        <f t="shared" si="169"/>
        <v>0.86002478278071515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310.95287409903602</v>
      </c>
      <c r="T172" s="62">
        <f t="shared" si="142"/>
        <v>224.10083380795163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-1.2710188457276673E-13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382.55387448074327</v>
      </c>
      <c r="AO172" s="62">
        <f t="shared" si="144"/>
        <v>476.29465646955543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0.66892499415506901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3.6133641447925655E-20</v>
      </c>
      <c r="AX172" s="23">
        <f t="shared" si="166"/>
        <v>0.66892499415506901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287.69656598881124</v>
      </c>
      <c r="BJ172" s="62">
        <f t="shared" si="146"/>
        <v>221.9773436301067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0.8431602213537065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1.2276682054305579E-19</v>
      </c>
      <c r="BS172" s="24">
        <f t="shared" si="169"/>
        <v>0.8431602213537065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310.95287409903602</v>
      </c>
      <c r="T173" s="62">
        <f t="shared" si="142"/>
        <v>224.10083380795163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-1.2710188457276673E-13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382.55387448074327</v>
      </c>
      <c r="AO173" s="62">
        <f t="shared" si="144"/>
        <v>476.29465646955543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0.65580778302364751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2.5550342896791531E-20</v>
      </c>
      <c r="AX173" s="23">
        <f t="shared" si="166"/>
        <v>0.65580778302364751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287.69656598881124</v>
      </c>
      <c r="BJ173" s="62">
        <f t="shared" si="146"/>
        <v>221.9773436301067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0.82662636368991471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8.6809251310706697E-20</v>
      </c>
      <c r="BS173" s="24">
        <f t="shared" si="169"/>
        <v>0.82662636368991471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310.95287409903602</v>
      </c>
      <c r="T174" s="62">
        <f t="shared" si="142"/>
        <v>224.10083380795163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-1.2710188457276673E-13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382.55387448074327</v>
      </c>
      <c r="AO174" s="62">
        <f t="shared" si="144"/>
        <v>476.29465646955543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0.64294779240180433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1.8066820723962827E-20</v>
      </c>
      <c r="AX174" s="23">
        <f t="shared" si="166"/>
        <v>0.64294779240180433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287.69656598881124</v>
      </c>
      <c r="BJ174" s="62">
        <f t="shared" si="146"/>
        <v>221.9773436301067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0.81041672489025252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6.1383410271527893E-20</v>
      </c>
      <c r="BS174" s="24">
        <f t="shared" si="169"/>
        <v>0.81041672489025252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310.95287409903602</v>
      </c>
      <c r="T175" s="62">
        <f t="shared" si="142"/>
        <v>224.10083380795163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-1.2710188457276673E-13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382.55387448074327</v>
      </c>
      <c r="AO175" s="62">
        <f t="shared" si="144"/>
        <v>476.29465646955543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0.63033997835223576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1.2775171448395765E-20</v>
      </c>
      <c r="AX175" s="23">
        <f t="shared" si="166"/>
        <v>0.63033997835223576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287.69656598881124</v>
      </c>
      <c r="BJ175" s="62">
        <f t="shared" si="146"/>
        <v>221.9773436301067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0.79452494722054823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4.3404625655353348E-20</v>
      </c>
      <c r="BS175" s="24">
        <f t="shared" si="169"/>
        <v>0.79452494722054823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310.95287409903602</v>
      </c>
      <c r="T176" s="62">
        <f t="shared" si="142"/>
        <v>224.10083380795163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-1.2710188457276673E-13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382.55387448074327</v>
      </c>
      <c r="AO176" s="62">
        <f t="shared" si="144"/>
        <v>476.29465646955543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0.61797939584617201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9.0334103619814137E-21</v>
      </c>
      <c r="AX176" s="23">
        <f t="shared" si="166"/>
        <v>0.61797939584617201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287.69656598881124</v>
      </c>
      <c r="BJ176" s="62">
        <f t="shared" si="146"/>
        <v>221.9773436301067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0.77894479761791957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3.0691705135763947E-20</v>
      </c>
      <c r="BS176" s="24">
        <f t="shared" si="169"/>
        <v>0.77894479761791957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310.95287409903602</v>
      </c>
      <c r="T177" s="62">
        <f t="shared" si="142"/>
        <v>224.10083380795163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-1.2710188457276673E-13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382.55387448074327</v>
      </c>
      <c r="AO177" s="62">
        <f t="shared" si="144"/>
        <v>476.29465646955543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0.60586119682384132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6.3875857241978827E-21</v>
      </c>
      <c r="AX177" s="23">
        <f t="shared" si="166"/>
        <v>0.60586119682384132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287.69656598881124</v>
      </c>
      <c r="BJ177" s="62">
        <f t="shared" si="146"/>
        <v>221.9773436301067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0.76367016524604558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2.1702312827676674E-20</v>
      </c>
      <c r="BS177" s="24">
        <f t="shared" si="169"/>
        <v>0.76367016524604558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310.95287409903602</v>
      </c>
      <c r="T178" s="62">
        <f t="shared" si="142"/>
        <v>224.10083380795163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-1.2710188457276673E-13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382.55387448074327</v>
      </c>
      <c r="AO178" s="62">
        <f t="shared" si="144"/>
        <v>476.29465646955543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0.59398062829296694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4.5167051809907069E-21</v>
      </c>
      <c r="AX178" s="23">
        <f t="shared" si="166"/>
        <v>0.59398062829296694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287.69656598881124</v>
      </c>
      <c r="BJ178" s="62">
        <f t="shared" si="146"/>
        <v>221.9773436301067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0.74869505909837819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1.5345852567881973E-20</v>
      </c>
      <c r="BS178" s="24">
        <f t="shared" si="169"/>
        <v>0.74869505909837819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310.95287409903602</v>
      </c>
      <c r="T179" s="62">
        <f t="shared" si="142"/>
        <v>224.10083380795163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-1.2710188457276673E-13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382.55387448074327</v>
      </c>
      <c r="AO179" s="62">
        <f t="shared" si="144"/>
        <v>476.29465646955543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0.58233303046455176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3.1937928620989413E-21</v>
      </c>
      <c r="AX179" s="23">
        <f t="shared" si="166"/>
        <v>0.58233303046455176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287.69656598881124</v>
      </c>
      <c r="BJ179" s="62">
        <f t="shared" si="146"/>
        <v>221.9773436301067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0.73401360564835372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1.0851156413838337E-20</v>
      </c>
      <c r="BS179" s="24">
        <f t="shared" si="169"/>
        <v>0.73401360564835372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310.95287409903602</v>
      </c>
      <c r="T180" s="62">
        <f t="shared" si="142"/>
        <v>224.10083380795163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-1.2710188457276673E-13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382.55387448074327</v>
      </c>
      <c r="AO180" s="62">
        <f t="shared" si="144"/>
        <v>476.29465646955543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0.57091383492521852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2.2583525904953534E-21</v>
      </c>
      <c r="AX180" s="23">
        <f t="shared" si="166"/>
        <v>0.57091383492521852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287.69656598881124</v>
      </c>
      <c r="BJ180" s="62">
        <f t="shared" si="146"/>
        <v>221.9773436301067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0.71962004654568179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7.6729262839409866E-21</v>
      </c>
      <c r="BS180" s="24">
        <f t="shared" si="169"/>
        <v>0.71962004654568179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310.95287409903602</v>
      </c>
      <c r="T181" s="62">
        <f t="shared" si="142"/>
        <v>224.10083380795163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-1.2710188457276673E-13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382.55387448074327</v>
      </c>
      <c r="AO181" s="62">
        <f t="shared" si="144"/>
        <v>476.29465646955543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0.55971856284539012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1.5968964310494707E-21</v>
      </c>
      <c r="AX181" s="23">
        <f t="shared" si="166"/>
        <v>0.55971856284539012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287.69656598881124</v>
      </c>
      <c r="BJ181" s="62">
        <f t="shared" si="146"/>
        <v>221.9773436301067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0.70550873635780909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5.4255782069191686E-21</v>
      </c>
      <c r="BS181" s="24">
        <f t="shared" si="169"/>
        <v>0.70550873635780909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310.95287409903602</v>
      </c>
      <c r="T182" s="62">
        <f t="shared" si="142"/>
        <v>224.10083380795163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-1.2710188457276673E-13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382.55387448074327</v>
      </c>
      <c r="AO182" s="62">
        <f t="shared" si="144"/>
        <v>476.29465646955543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0.54874282322260548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1.1291762952476767E-21</v>
      </c>
      <c r="AX182" s="23">
        <f t="shared" si="166"/>
        <v>0.54874282322260548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287.69656598881124</v>
      </c>
      <c r="BJ182" s="62">
        <f t="shared" si="146"/>
        <v>221.9773436301067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0.69167414035567132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3.8364631419704933E-21</v>
      </c>
      <c r="BS182" s="24">
        <f t="shared" si="169"/>
        <v>0.69167414035567132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310.95287409903602</v>
      </c>
      <c r="T183" s="62">
        <f t="shared" si="142"/>
        <v>224.10083380795163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-1.2710188457276673E-13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382.55387448074327</v>
      </c>
      <c r="AO183" s="62">
        <f t="shared" si="144"/>
        <v>476.29465646955543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0.53798231115928341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7.9844821552473533E-22</v>
      </c>
      <c r="AX183" s="23">
        <f t="shared" si="166"/>
        <v>0.53798231115928341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287.69656598881124</v>
      </c>
      <c r="BJ183" s="62">
        <f t="shared" si="146"/>
        <v>221.9773436301067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0.67811083234286507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2.7127891034595843E-21</v>
      </c>
      <c r="BS183" s="24">
        <f t="shared" si="169"/>
        <v>0.67811083234286507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310.95287409903602</v>
      </c>
      <c r="T184" s="62">
        <f t="shared" si="142"/>
        <v>224.10083380795163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-1.2710188457276673E-13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382.55387448074327</v>
      </c>
      <c r="AO184" s="62">
        <f t="shared" si="144"/>
        <v>476.29465646955543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0.52743280617425881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5.6458814762383836E-22</v>
      </c>
      <c r="AX184" s="23">
        <f t="shared" si="166"/>
        <v>0.52743280617425881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287.69656598881124</v>
      </c>
      <c r="BJ184" s="62">
        <f t="shared" si="146"/>
        <v>221.9773436301067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0.66481349252738897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1.9182315709852467E-21</v>
      </c>
      <c r="BS184" s="24">
        <f t="shared" si="169"/>
        <v>0.66481349252738897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310.95287409903602</v>
      </c>
      <c r="T185" s="62">
        <f t="shared" si="142"/>
        <v>224.10083380795163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-1.2710188457276673E-13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382.55387448074327</v>
      </c>
      <c r="AO185" s="62">
        <f t="shared" si="144"/>
        <v>476.29465646955543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0.5170901705474279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3.9922410776236767E-22</v>
      </c>
      <c r="AX185" s="23">
        <f t="shared" si="166"/>
        <v>0.5170901705474279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287.69656598881124</v>
      </c>
      <c r="BJ185" s="62">
        <f t="shared" si="146"/>
        <v>221.9773436301067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0.6517769054351179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1.3563945517297921E-21</v>
      </c>
      <c r="BS185" s="24">
        <f t="shared" si="169"/>
        <v>0.6517769054351179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310.95287409903602</v>
      </c>
      <c r="T186" s="62">
        <f t="shared" si="142"/>
        <v>224.10083380795163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-1.2710188457276673E-13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382.55387448074327</v>
      </c>
      <c r="AO186" s="62">
        <f t="shared" si="144"/>
        <v>476.29465646955543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0.50695034769685432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2.8229407381191918E-22</v>
      </c>
      <c r="AX186" s="23">
        <f t="shared" si="166"/>
        <v>0.50695034769685432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287.69656598881124</v>
      </c>
      <c r="BJ186" s="62">
        <f t="shared" si="146"/>
        <v>221.9773436301067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0.63899595786419328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9.5911578549262333E-22</v>
      </c>
      <c r="BS186" s="24">
        <f t="shared" si="169"/>
        <v>0.63899595786419328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310.95287409903602</v>
      </c>
      <c r="T187" s="62">
        <f t="shared" si="142"/>
        <v>224.10083380795163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-1.2710188457276673E-13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382.55387448074327</v>
      </c>
      <c r="AO187" s="62">
        <f t="shared" si="144"/>
        <v>476.29465646955543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0.49700936058769923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1.9961205388118383E-22</v>
      </c>
      <c r="AX187" s="23">
        <f t="shared" si="166"/>
        <v>0.49700936058769923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287.69656598881124</v>
      </c>
      <c r="BJ187" s="62">
        <f t="shared" si="146"/>
        <v>221.9773436301067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0.62646563687952617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6.7819727586489607E-22</v>
      </c>
      <c r="BS187" s="24">
        <f t="shared" si="169"/>
        <v>0.62646563687952617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310.95287409903602</v>
      </c>
      <c r="T188" s="62">
        <f t="shared" si="142"/>
        <v>224.10083380795163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-1.2710188457276673E-13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382.55387448074327</v>
      </c>
      <c r="AO188" s="62">
        <f t="shared" si="144"/>
        <v>476.29465646955543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0.48726331017235125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1.4114703690595959E-22</v>
      </c>
      <c r="AX188" s="23">
        <f t="shared" si="166"/>
        <v>0.48726331017235125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287.69656598881124</v>
      </c>
      <c r="BJ188" s="62">
        <f t="shared" si="146"/>
        <v>221.9773436301067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0.61418102784662731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4.7955789274631166E-22</v>
      </c>
      <c r="BS188" s="24">
        <f t="shared" si="169"/>
        <v>0.61418102784662731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310.95287409903602</v>
      </c>
      <c r="T189" s="62">
        <f t="shared" si="142"/>
        <v>224.10083380795163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-1.2710188457276673E-13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382.55387448074327</v>
      </c>
      <c r="AO189" s="62">
        <f t="shared" si="144"/>
        <v>476.29465646955543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0.47770837386114445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9.9806026940591917E-23</v>
      </c>
      <c r="AX189" s="23">
        <f t="shared" si="166"/>
        <v>0.47770837386114445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287.69656598881124</v>
      </c>
      <c r="BJ189" s="62">
        <f t="shared" si="146"/>
        <v>221.9773436301067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0.60213731250399194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3.3909863793244803E-22</v>
      </c>
      <c r="BS189" s="24">
        <f t="shared" si="169"/>
        <v>0.60213731250399194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310.95287409903602</v>
      </c>
      <c r="T190" s="62">
        <f t="shared" si="142"/>
        <v>224.10083380795163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-1.2710188457276673E-13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382.55387448074327</v>
      </c>
      <c r="AO190" s="62">
        <f t="shared" si="144"/>
        <v>476.29465646955543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0.46834080402306472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7.0573518452979795E-23</v>
      </c>
      <c r="AX190" s="23">
        <f t="shared" si="166"/>
        <v>0.46834080402306472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287.69656598881124</v>
      </c>
      <c r="BJ190" s="62">
        <f t="shared" si="146"/>
        <v>221.9773436301067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0.59032976707328466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2.3977894637315583E-22</v>
      </c>
      <c r="BS190" s="24">
        <f t="shared" si="169"/>
        <v>0.59032976707328466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310.95287409903602</v>
      </c>
      <c r="T191" s="62">
        <f t="shared" si="142"/>
        <v>224.10083380795163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-1.2710188457276673E-13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382.55387448074327</v>
      </c>
      <c r="AO191" s="62">
        <f t="shared" si="144"/>
        <v>476.29465646955543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0.45915692651585632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4.9903013470295958E-23</v>
      </c>
      <c r="AX191" s="23">
        <f t="shared" si="166"/>
        <v>0.45915692651585632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287.69656598881124</v>
      </c>
      <c r="BJ191" s="62">
        <f t="shared" si="146"/>
        <v>221.9773436301067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0.57875376040658189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1.6954931896622402E-22</v>
      </c>
      <c r="BS191" s="24">
        <f t="shared" si="169"/>
        <v>0.57875376040658189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310.95287409903602</v>
      </c>
      <c r="T192" s="62">
        <f t="shared" si="142"/>
        <v>224.10083380795163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-1.2710188457276673E-13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382.55387448074327</v>
      </c>
      <c r="AO192" s="62">
        <f t="shared" si="144"/>
        <v>476.29465646955543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0.45015313924495209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3.5286759226489897E-23</v>
      </c>
      <c r="AX192" s="23">
        <f t="shared" si="166"/>
        <v>0.45015313924495209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287.69656598881124</v>
      </c>
      <c r="BJ192" s="62">
        <f t="shared" si="146"/>
        <v>221.9773436301067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0.56740475216994635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1.1988947318657792E-22</v>
      </c>
      <c r="BS192" s="24">
        <f t="shared" si="169"/>
        <v>0.56740475216994635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310.95287409903602</v>
      </c>
      <c r="T193" s="62">
        <f t="shared" si="142"/>
        <v>224.10083380795163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-1.2710188457276673E-13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382.55387448074327</v>
      </c>
      <c r="AO193" s="62">
        <f t="shared" si="144"/>
        <v>476.29465646955543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0.44132591075066235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2.4951506735147979E-23</v>
      </c>
      <c r="AX193" s="23">
        <f t="shared" si="166"/>
        <v>0.44132591075066235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287.69656598881124</v>
      </c>
      <c r="BJ193" s="62">
        <f t="shared" si="146"/>
        <v>221.9773436301067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0.55627829106261972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8.4774659483112009E-23</v>
      </c>
      <c r="BS193" s="24">
        <f t="shared" si="169"/>
        <v>0.55627829106261972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310.95287409903602</v>
      </c>
      <c r="T194" s="62">
        <f t="shared" si="142"/>
        <v>224.10083380795163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-1.2710188457276673E-13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382.55387448074327</v>
      </c>
      <c r="AO194" s="62">
        <f t="shared" si="144"/>
        <v>476.29465646955543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0.4326717788230679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1.7643379613244949E-23</v>
      </c>
      <c r="AX194" s="23">
        <f t="shared" si="166"/>
        <v>0.4326717788230679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287.69656598881124</v>
      </c>
      <c r="BJ194" s="62">
        <f t="shared" si="146"/>
        <v>221.9773436301067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0.54537001307113653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5.9944736593288958E-23</v>
      </c>
      <c r="BS194" s="24">
        <f t="shared" si="169"/>
        <v>0.54537001307113653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310.95287409903602</v>
      </c>
      <c r="T195" s="62">
        <f t="shared" si="142"/>
        <v>224.10083380795163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-1.2710188457276673E-13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382.55387448074327</v>
      </c>
      <c r="AO195" s="62">
        <f t="shared" si="144"/>
        <v>476.29465646955543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0.4241873491440743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1.247575336757399E-23</v>
      </c>
      <c r="AX195" s="23">
        <f t="shared" si="166"/>
        <v>0.4241873491440743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287.69656598881124</v>
      </c>
      <c r="BJ195" s="62">
        <f t="shared" si="146"/>
        <v>221.9773436301067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0.53467563975767374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4.2387329741556004E-23</v>
      </c>
      <c r="BS195" s="24">
        <f t="shared" si="169"/>
        <v>0.53467563975767374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310.95287409903602</v>
      </c>
      <c r="T196" s="62">
        <f t="shared" si="142"/>
        <v>224.10083380795163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-1.2710188457276673E-13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382.55387448074327</v>
      </c>
      <c r="AO196" s="62">
        <f t="shared" si="144"/>
        <v>476.29465646955543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0.41586929395609462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8.8216898066224744E-24</v>
      </c>
      <c r="AX196" s="23">
        <f t="shared" si="166"/>
        <v>0.41586929395609462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287.69656598881124</v>
      </c>
      <c r="BJ196" s="62">
        <f t="shared" si="146"/>
        <v>221.9773436301067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0.52419097658196434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2.9972368296644479E-23</v>
      </c>
      <c r="BS196" s="24">
        <f t="shared" si="169"/>
        <v>0.52419097658196434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310.95287409903602</v>
      </c>
      <c r="T197" s="62">
        <f t="shared" ref="T197:T203" si="204">$T$3</f>
        <v>224.10083380795163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-1.2710188457276673E-13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382.55387448074327</v>
      </c>
      <c r="AO197" s="62">
        <f t="shared" ref="AO197:AO203" si="205">$AO$3</f>
        <v>476.29465646955543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0.40771435075683854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6.2378766837869948E-24</v>
      </c>
      <c r="AX197" s="23">
        <f t="shared" si="166"/>
        <v>0.40771435075683854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287.69656598881124</v>
      </c>
      <c r="BJ197" s="62">
        <f t="shared" ref="BJ197:BJ203" si="206">$BJ$3</f>
        <v>221.9773436301067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0.51391191125611757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2.1193664870778002E-23</v>
      </c>
      <c r="BS197" s="24">
        <f t="shared" si="169"/>
        <v>0.51391191125611757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310.95287409903602</v>
      </c>
      <c r="T198" s="62">
        <f t="shared" si="204"/>
        <v>224.10083380795163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-1.2710188457276673E-13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382.55387448074327</v>
      </c>
      <c r="AO198" s="62">
        <f t="shared" si="205"/>
        <v>476.29465646955543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0.39971932101969565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4.4108449033112372E-24</v>
      </c>
      <c r="AX198" s="23">
        <f t="shared" si="166"/>
        <v>0.39971932101969565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287.69656598881124</v>
      </c>
      <c r="BJ198" s="62">
        <f t="shared" si="206"/>
        <v>221.9773436301067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0.50383441213169988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1.498618414832224E-23</v>
      </c>
      <c r="BS198" s="24">
        <f t="shared" si="169"/>
        <v>0.50383441213169988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310.95287409903602</v>
      </c>
      <c r="T199" s="62">
        <f t="shared" si="204"/>
        <v>224.10083380795163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-1.2710188457276673E-13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382.55387448074327</v>
      </c>
      <c r="AO199" s="62">
        <f t="shared" si="205"/>
        <v>476.29465646955543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0.39188106893921154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3.1189383418934974E-24</v>
      </c>
      <c r="AX199" s="23">
        <f t="shared" si="166"/>
        <v>0.39188106893921154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287.69656598881124</v>
      </c>
      <c r="BJ199" s="62">
        <f t="shared" si="206"/>
        <v>221.9773436301067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0.49395452661844447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1.0596832435389001E-23</v>
      </c>
      <c r="BS199" s="24">
        <f t="shared" si="169"/>
        <v>0.49395452661844447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310.95287409903602</v>
      </c>
      <c r="T200" s="62">
        <f t="shared" si="204"/>
        <v>224.10083380795163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-1.2710188457276673E-13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382.55387448074327</v>
      </c>
      <c r="AO200" s="62">
        <f t="shared" si="205"/>
        <v>476.29465646955543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0.38419652020116402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2.2054224516556186E-24</v>
      </c>
      <c r="AX200" s="23">
        <f t="shared" si="166"/>
        <v>0.38419652020116402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287.69656598881124</v>
      </c>
      <c r="BJ200" s="62">
        <f t="shared" si="206"/>
        <v>221.9773436301067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0.48426837963396885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7.4930920741611198E-24</v>
      </c>
      <c r="BS200" s="24">
        <f t="shared" si="169"/>
        <v>0.48426837963396885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310.95287409903602</v>
      </c>
      <c r="T201" s="62">
        <f t="shared" si="204"/>
        <v>224.10083380795163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-1.2710188457276673E-13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382.55387448074327</v>
      </c>
      <c r="AO201" s="62">
        <f t="shared" si="205"/>
        <v>476.29465646955543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0.3766626607767577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1.5594691709467487E-24</v>
      </c>
      <c r="AX201" s="23">
        <f t="shared" si="166"/>
        <v>0.3766626607767577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287.69656598881124</v>
      </c>
      <c r="BJ201" s="62">
        <f t="shared" si="206"/>
        <v>221.9773436301067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0.4747721720838925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5.2984162176945005E-24</v>
      </c>
      <c r="BS201" s="24">
        <f t="shared" si="169"/>
        <v>0.4747721720838925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310.95287409903602</v>
      </c>
      <c r="T202" s="62">
        <f t="shared" si="204"/>
        <v>224.10083380795163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-1.2710188457276673E-13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382.55387448074327</v>
      </c>
      <c r="AO202" s="62">
        <f t="shared" si="205"/>
        <v>476.29465646955543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0.36927653574046349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1.1027112258278093E-24</v>
      </c>
      <c r="AX202" s="23">
        <f t="shared" si="166"/>
        <v>0.36927653574046349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287.69656598881124</v>
      </c>
      <c r="BJ202" s="62">
        <f t="shared" si="206"/>
        <v>221.9773436301067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0.46546217937175843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3.7465460370805599E-24</v>
      </c>
      <c r="BS202" s="24">
        <f t="shared" si="169"/>
        <v>0.46546217937175843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310.95287409903602</v>
      </c>
      <c r="T203" s="62">
        <f t="shared" si="204"/>
        <v>224.10083380795163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-1.2710188457276673E-13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382.55387448074327</v>
      </c>
      <c r="AO203" s="62">
        <f t="shared" si="205"/>
        <v>476.29465646955543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0.36203524811103954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7.7973458547337435E-25</v>
      </c>
      <c r="AX203" s="23">
        <f t="shared" si="166"/>
        <v>0.36203524811103954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287.69656598881124</v>
      </c>
      <c r="BJ203" s="62">
        <f t="shared" si="206"/>
        <v>221.9773436301067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0.45633474993817447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2.6492081088472503E-24</v>
      </c>
      <c r="BS203" s="24">
        <f t="shared" si="169"/>
        <v>0.45633474993817447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1.3070441688874561</v>
      </c>
      <c r="BA205" s="88">
        <f>EXP(LN('Données projet'!B88)/'Données projet'!A88)</f>
        <v>1.244502252163008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2.1749999999999998</v>
      </c>
      <c r="C6" s="156">
        <f ca="1">IF(OR('Données projet'!B9="",'Données projet'!C9="",'Données projet'!C9=0%),0,Calculateur!S3)</f>
        <v>310.95287409903602</v>
      </c>
      <c r="D6" s="156">
        <f>IF(OR('Données projet'!B9="",'Données projet'!C9="",'Données projet'!C9=0%),0,Calculateur!T3)</f>
        <v>224.10083380795163</v>
      </c>
      <c r="E6" s="156">
        <f ca="1">MIN(C6,D6)</f>
        <v>224.10083380795163</v>
      </c>
      <c r="F6" s="156">
        <f ca="1">E6*B6</f>
        <v>487.41931353229478</v>
      </c>
      <c r="G6" s="156">
        <f ca="1">F6*(100%-'Données projet'!$C$24)*(100%-'Données projet'!$C$25)*(100%-'Données projet'!$C$26)*(100%-'Données projet'!$C$27)</f>
        <v>394.80964396115877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394.80964396115877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0.47849999999999998</v>
      </c>
      <c r="C7" s="156">
        <f ca="1">IF(OR('Données projet'!B10="",'Données projet'!C10="",'Données projet'!C10=0%),0,Calculateur!AN3)</f>
        <v>382.55387448074327</v>
      </c>
      <c r="D7" s="156">
        <f>IF(OR('Données projet'!B10="",'Données projet'!C10="",'Données projet'!C10=0%),0,Calculateur!AO3)</f>
        <v>476.29465646955543</v>
      </c>
      <c r="E7" s="156">
        <f t="shared" ref="E7:E15" ca="1" si="0">MIN(C7,D7)</f>
        <v>382.55387448074327</v>
      </c>
      <c r="F7" s="156">
        <f t="shared" ref="F7:F15" ca="1" si="1">E7*B7</f>
        <v>183.05202893903564</v>
      </c>
      <c r="G7" s="156">
        <f ca="1">F7*(100%-'Données projet'!$C$24)*(100%-'Données projet'!$C$25)*(100%-'Données projet'!$C$26)*(100%-'Données projet'!$C$27)</f>
        <v>148.27214344061889</v>
      </c>
      <c r="H7" s="164">
        <f>IF(OR('Données projet'!B10="",'Données projet'!C10="",'Données projet'!C10=0%),0,AVERAGE(Calculateur!$AX$3:$AX$33)*B7)</f>
        <v>2.1482316403421757</v>
      </c>
      <c r="I7" s="158">
        <f>H7*(100%-'Données projet'!$C$24)*(100%-'Données projet'!$C$25)*(100%-'Données projet'!$C$26)*(100%-'Données projet'!$C$27)</f>
        <v>1.7400676286771624</v>
      </c>
      <c r="J7" s="159">
        <f>IF(OR('Données projet'!B10="",'Données projet'!C10="",'Données projet'!C10=0%),0,SUM(Calculateur!$AQ$3:$AQ$33)*VLOOKUP('Données projet'!$B$10,Paramètres!$A$1:$I$89,9,0)*B7)</f>
        <v>22.221539999999997</v>
      </c>
      <c r="K7" s="160">
        <f>J7*(100%-'Données projet'!$C$24)*(100%-'Données projet'!$C$25)*(100%-'Données projet'!$C$26)*(100%-'Données projet'!$C$27)</f>
        <v>17.999447399999998</v>
      </c>
      <c r="L7" s="161">
        <f t="shared" ref="L7:L15" ca="1" si="2">G7+I7+K7</f>
        <v>168.01165846929607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1.6964999999999999</v>
      </c>
      <c r="C8" s="156">
        <f ca="1">IF(OR('Données projet'!B11="",'Données projet'!C11="",'Données projet'!C11=0%),0,Calculateur!BI3)</f>
        <v>287.69656598881124</v>
      </c>
      <c r="D8" s="156">
        <f>IF(OR('Données projet'!B11="",'Données projet'!C11="",'Données projet'!C11=0%),0,Calculateur!BJ3)</f>
        <v>221.9773436301067</v>
      </c>
      <c r="E8" s="156">
        <f t="shared" ca="1" si="0"/>
        <v>221.9773436301067</v>
      </c>
      <c r="F8" s="156">
        <f t="shared" ca="1" si="1"/>
        <v>376.58456346847601</v>
      </c>
      <c r="G8" s="156">
        <f ca="1">F8*(100%-'Données projet'!$C$24)*(100%-'Données projet'!$C$25)*(100%-'Données projet'!$C$26)*(100%-'Données projet'!$C$27)</f>
        <v>305.03349640946561</v>
      </c>
      <c r="H8" s="164">
        <f>IF(OR('Données projet'!B11="",'Données projet'!C11="",'Données projet'!C11=0%),0,AVERAGE(Calculateur!$BS$3:$BS$33)*B8)</f>
        <v>4.8412096227593695</v>
      </c>
      <c r="I8" s="158">
        <f>H8*(100%-'Données projet'!$C$24)*(100%-'Données projet'!$C$25)*(100%-'Données projet'!$C$26)*(100%-'Données projet'!$C$27)</f>
        <v>3.9213797944350892</v>
      </c>
      <c r="J8" s="159">
        <f>IF(OR('Données projet'!B11="",'Données projet'!C11="",'Données projet'!C11=0%),0,SUM(Calculateur!$BL$3:$BL$33)*VLOOKUP('Données projet'!$B$11,Paramètres!$A$1:$I$89,9,0)*B8)</f>
        <v>48.876164999999993</v>
      </c>
      <c r="K8" s="160">
        <f>J8*(100%-'Données projet'!$C$24)*(100%-'Données projet'!$C$25)*(100%-'Données projet'!$C$26)*(100%-'Données projet'!$C$27)</f>
        <v>39.589693649999994</v>
      </c>
      <c r="L8" s="161">
        <f t="shared" ca="1" si="2"/>
        <v>348.54456985390073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1047.0559059398065</v>
      </c>
      <c r="G16" s="175">
        <f t="shared" ca="1" si="3"/>
        <v>848.11528381124322</v>
      </c>
      <c r="H16" s="176">
        <f t="shared" si="3"/>
        <v>6.9894412631015452</v>
      </c>
      <c r="I16" s="176">
        <f t="shared" si="3"/>
        <v>5.6614474231122518</v>
      </c>
      <c r="J16" s="177">
        <f t="shared" si="3"/>
        <v>71.097704999999991</v>
      </c>
      <c r="K16" s="177">
        <f t="shared" si="3"/>
        <v>57.589141049999995</v>
      </c>
      <c r="L16" s="178">
        <f t="shared" ca="1" si="3"/>
        <v>911.36587228435553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F65" sqref="F6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1685.2755715400876</v>
      </c>
      <c r="U10" s="190">
        <f>'Données projet'!D9</f>
        <v>2.1749999999999998</v>
      </c>
      <c r="V10" s="189">
        <f>U10*T10</f>
        <v>3665.4743680996903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4410.9289958392565</v>
      </c>
      <c r="U11" s="190">
        <f>'Données projet'!D10</f>
        <v>0.47849999999999998</v>
      </c>
      <c r="V11" s="189">
        <f t="shared" ref="V11" si="0">U11*T11</f>
        <v>2110.6295245090841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1997.5625420038677</v>
      </c>
      <c r="U12" s="190">
        <f>'Données projet'!D11</f>
        <v>1.6964999999999999</v>
      </c>
      <c r="V12" s="189">
        <f t="shared" ref="V12:V19" si="1">U12*T12</f>
        <v>3388.8648525095614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70.000000000000114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2800.0000000000045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4219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1250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750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900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-20809.300707965238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559.1224841314081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15</v>
      </c>
      <c r="D25" s="194">
        <f t="shared" si="2"/>
        <v>1320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-21368.423192096645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32</v>
      </c>
      <c r="D27" s="194">
        <f t="shared" si="2"/>
        <v>3264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45</v>
      </c>
      <c r="D28" s="194">
        <f t="shared" si="2"/>
        <v>5085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58</v>
      </c>
      <c r="D29" s="194">
        <f t="shared" si="2"/>
        <v>7192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62</v>
      </c>
      <c r="D30" s="194">
        <f t="shared" si="2"/>
        <v>8370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70</v>
      </c>
      <c r="D31" s="194">
        <f t="shared" si="2"/>
        <v>50610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19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54</v>
      </c>
      <c r="C55" s="204">
        <v>12</v>
      </c>
      <c r="D55" s="191">
        <f t="shared" ref="D55:D73" si="4">B55*C55</f>
        <v>648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54</v>
      </c>
      <c r="C56" s="204">
        <v>12</v>
      </c>
      <c r="D56" s="191">
        <f t="shared" si="4"/>
        <v>648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69</v>
      </c>
      <c r="C57" s="204">
        <v>18</v>
      </c>
      <c r="D57" s="191">
        <f t="shared" si="4"/>
        <v>1242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72</v>
      </c>
      <c r="C58" s="204">
        <v>24</v>
      </c>
      <c r="D58" s="191">
        <f t="shared" si="4"/>
        <v>1728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66</v>
      </c>
      <c r="C59" s="204">
        <v>35</v>
      </c>
      <c r="D59" s="191">
        <f t="shared" si="4"/>
        <v>2310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48</v>
      </c>
      <c r="C60" s="204">
        <v>46</v>
      </c>
      <c r="D60" s="191">
        <f t="shared" si="4"/>
        <v>2208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35</v>
      </c>
      <c r="C61" s="204">
        <v>54</v>
      </c>
      <c r="D61" s="191">
        <f t="shared" si="4"/>
        <v>1890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666</v>
      </c>
      <c r="C62" s="204">
        <v>62</v>
      </c>
      <c r="D62" s="191">
        <f t="shared" si="4"/>
        <v>41292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22</v>
      </c>
      <c r="B85" s="193">
        <f>'Données projet'!D88</f>
        <v>16</v>
      </c>
      <c r="C85" s="204">
        <v>12</v>
      </c>
      <c r="D85" s="191">
        <f>B85*C85</f>
        <v>192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17</v>
      </c>
      <c r="C86" s="204">
        <v>12</v>
      </c>
      <c r="D86" s="191">
        <f t="shared" ref="D86:D104" si="6">B86*C86</f>
        <v>204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34</v>
      </c>
      <c r="C87" s="204">
        <v>15</v>
      </c>
      <c r="D87" s="191">
        <f t="shared" si="6"/>
        <v>510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41</v>
      </c>
      <c r="C88" s="204">
        <v>17</v>
      </c>
      <c r="D88" s="191">
        <f t="shared" si="6"/>
        <v>697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41</v>
      </c>
      <c r="C89" s="204">
        <v>17</v>
      </c>
      <c r="D89" s="191">
        <f t="shared" si="6"/>
        <v>697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53</v>
      </c>
      <c r="C90" s="204">
        <v>17</v>
      </c>
      <c r="D90" s="191">
        <f t="shared" si="6"/>
        <v>901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53</v>
      </c>
      <c r="C91" s="204">
        <v>20</v>
      </c>
      <c r="D91" s="191">
        <f t="shared" si="6"/>
        <v>1060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58</v>
      </c>
      <c r="B92" s="193">
        <f>'Données projet'!D95</f>
        <v>78</v>
      </c>
      <c r="C92" s="204">
        <v>25</v>
      </c>
      <c r="D92" s="191">
        <f t="shared" si="6"/>
        <v>1950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66</v>
      </c>
      <c r="B93" s="193">
        <f>'Données projet'!D96</f>
        <v>65</v>
      </c>
      <c r="C93" s="204">
        <v>30</v>
      </c>
      <c r="D93" s="191">
        <f t="shared" si="6"/>
        <v>1950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74</v>
      </c>
      <c r="B94" s="193">
        <f>'Données projet'!D97</f>
        <v>37</v>
      </c>
      <c r="C94" s="204">
        <v>35</v>
      </c>
      <c r="D94" s="191">
        <f t="shared" si="6"/>
        <v>1295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82</v>
      </c>
      <c r="B95" s="193">
        <f>'Données projet'!D98</f>
        <v>555</v>
      </c>
      <c r="C95" s="204">
        <v>60</v>
      </c>
      <c r="D95" s="191">
        <f t="shared" si="6"/>
        <v>33300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2024-07-08T11:53:35Z</dcterms:modified>
</cp:coreProperties>
</file>