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Geoffroy.Rombaut\Desktop\Les projets\CNPF C+for n° 163 Villebourg &amp; Dissay-sous-Courcillon (Valloire Habitat n° 2)\"/>
    </mc:Choice>
  </mc:AlternateContent>
  <bookViews>
    <workbookView xWindow="0" yWindow="0" windowWidth="11748" windowHeight="5316" tabRatio="866" activeTab="1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6" i="1" l="1"/>
  <c r="B96" i="1"/>
  <c r="D95" i="1"/>
  <c r="B95" i="1"/>
  <c r="D94" i="1"/>
  <c r="B94" i="1"/>
  <c r="D93" i="1"/>
  <c r="B93" i="1"/>
  <c r="D92" i="1"/>
  <c r="B92" i="1"/>
  <c r="D91" i="1"/>
  <c r="B91" i="1"/>
  <c r="D90" i="1"/>
  <c r="B90" i="1"/>
  <c r="D89" i="1"/>
  <c r="B89" i="1"/>
  <c r="B88" i="1"/>
  <c r="B81" i="1"/>
  <c r="D81" i="1" s="1"/>
  <c r="D80" i="1"/>
  <c r="B80" i="1"/>
  <c r="D79" i="1"/>
  <c r="B79" i="1"/>
  <c r="D78" i="1"/>
  <c r="B78" i="1"/>
  <c r="D77" i="1"/>
  <c r="B77" i="1"/>
  <c r="B76" i="1"/>
  <c r="D75" i="1"/>
  <c r="B75" i="1"/>
  <c r="B74" i="1"/>
  <c r="D73" i="1"/>
  <c r="B73" i="1"/>
  <c r="B72" i="1"/>
  <c r="D71" i="1"/>
  <c r="B71" i="1"/>
  <c r="B70" i="1"/>
  <c r="D69" i="1"/>
  <c r="B69" i="1"/>
  <c r="B68" i="1"/>
  <c r="D67" i="1"/>
  <c r="B67" i="1"/>
  <c r="B66" i="1"/>
  <c r="D65" i="1"/>
  <c r="B65" i="1"/>
  <c r="B64" i="1"/>
  <c r="B63" i="1"/>
  <c r="B62" i="1"/>
  <c r="B114" i="1" l="1"/>
  <c r="B115" i="1"/>
  <c r="D115" i="1"/>
  <c r="B116" i="1"/>
  <c r="B117" i="1"/>
  <c r="D117" i="1"/>
  <c r="B118" i="1"/>
  <c r="B119" i="1"/>
  <c r="D119" i="1"/>
  <c r="B120" i="1"/>
  <c r="B121" i="1"/>
  <c r="D121" i="1"/>
  <c r="B122" i="1"/>
  <c r="B123" i="1"/>
  <c r="D123" i="1"/>
  <c r="B124" i="1"/>
  <c r="B125" i="1"/>
  <c r="D125" i="1"/>
  <c r="B126" i="1"/>
  <c r="B127" i="1"/>
  <c r="D127" i="1"/>
  <c r="B128" i="1"/>
  <c r="D128" i="1"/>
  <c r="B129" i="1"/>
  <c r="D129" i="1"/>
  <c r="B130" i="1"/>
  <c r="D130" i="1"/>
  <c r="B131" i="1"/>
  <c r="D131" i="1"/>
  <c r="B132" i="1"/>
  <c r="D132" i="1"/>
  <c r="B133" i="1"/>
  <c r="D133" i="1"/>
  <c r="B36" i="1"/>
  <c r="B37" i="1"/>
  <c r="D37" i="1"/>
  <c r="B38" i="1"/>
  <c r="B39" i="1"/>
  <c r="D39" i="1"/>
  <c r="B40" i="1"/>
  <c r="B41" i="1"/>
  <c r="D41" i="1"/>
  <c r="B42" i="1"/>
  <c r="B43" i="1"/>
  <c r="D43" i="1"/>
  <c r="B44" i="1"/>
  <c r="B45" i="1"/>
  <c r="D45" i="1"/>
  <c r="B46" i="1"/>
  <c r="B47" i="1"/>
  <c r="D47" i="1"/>
  <c r="B48" i="1"/>
  <c r="B49" i="1"/>
  <c r="D49" i="1"/>
  <c r="B50" i="1"/>
  <c r="D50" i="1"/>
  <c r="B51" i="1"/>
  <c r="D51" i="1"/>
  <c r="B52" i="1"/>
  <c r="D52" i="1"/>
  <c r="B53" i="1"/>
  <c r="D53" i="1"/>
  <c r="B54" i="1"/>
  <c r="D54" i="1"/>
  <c r="B55" i="1"/>
  <c r="D55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EA4" i="2" l="1"/>
  <c r="EC4" i="2"/>
  <c r="FQ4" i="2"/>
  <c r="GL4" i="2"/>
  <c r="BQ4" i="2"/>
  <c r="BR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FR5" i="2" l="1"/>
  <c r="EC5" i="2"/>
  <c r="EA5" i="2"/>
  <c r="EX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V7" i="2"/>
  <c r="EX7" i="2"/>
  <c r="EA7" i="2"/>
  <c r="EB7" i="2"/>
  <c r="EW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HG10" i="2"/>
  <c r="HH10" i="2"/>
  <c r="EA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C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EW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X14" i="2" l="1"/>
  <c r="EB14" i="2"/>
  <c r="HH14" i="2"/>
  <c r="HG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W18" i="2"/>
  <c r="EX18" i="2"/>
  <c r="HG18" i="2"/>
  <c r="EV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FS20" i="2"/>
  <c r="EC20" i="2"/>
  <c r="HG20" i="2"/>
  <c r="HH20" i="2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H21" i="2" l="1"/>
  <c r="EV21" i="2"/>
  <c r="EW21" i="2"/>
  <c r="HI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H22" i="2" l="1"/>
  <c r="EW22" i="2"/>
  <c r="EB22" i="2"/>
  <c r="HG22" i="2"/>
  <c r="EC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HG24" i="2"/>
  <c r="FR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FS27" i="2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FS28" i="2"/>
  <c r="EC28" i="2"/>
  <c r="HI28" i="2"/>
  <c r="HG28" i="2"/>
  <c r="EB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X29" i="2"/>
  <c r="HI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B33" i="2" l="1"/>
  <c r="EA33" i="2"/>
  <c r="EV33" i="2"/>
  <c r="EW33" i="2"/>
  <c r="HG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EA35" i="2" s="1"/>
  <c r="DC35" i="2"/>
  <c r="DD35" i="2"/>
  <c r="BN35" i="2"/>
  <c r="CI35" i="2"/>
  <c r="BM35" i="2"/>
  <c r="W35" i="2"/>
  <c r="FN35" i="2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HH35" i="2" l="1"/>
  <c r="FQ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G37" i="2" l="1"/>
  <c r="EA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W38" i="2" l="1"/>
  <c r="EX38" i="2"/>
  <c r="EA38" i="2"/>
  <c r="HG38" i="2"/>
  <c r="HI38" i="2"/>
  <c r="HH38" i="2"/>
  <c r="FS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V42" i="2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A43" i="2" l="1"/>
  <c r="HG43" i="2"/>
  <c r="HI43" i="2"/>
  <c r="EX43" i="2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HG44" i="2"/>
  <c r="FS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HI45" i="2"/>
  <c r="HG45" i="2"/>
  <c r="EX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HG46" i="2"/>
  <c r="HI46" i="2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EA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G48" i="2" l="1"/>
  <c r="HI48" i="2"/>
  <c r="HH48" i="2"/>
  <c r="EC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X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HH57" i="2"/>
  <c r="HG57" i="2"/>
  <c r="HI57" i="2"/>
  <c r="EV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A59" i="2"/>
  <c r="HH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HH60" i="2"/>
  <c r="HG60" i="2"/>
  <c r="EW60" i="2"/>
  <c r="EV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V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I62" i="2"/>
  <c r="HH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C63" i="2"/>
  <c r="HG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EC64" i="2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FS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W70" i="2" l="1"/>
  <c r="HG70" i="2"/>
  <c r="HI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W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W74" i="2" l="1"/>
  <c r="FS74" i="2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HH75" i="2"/>
  <c r="HG75" i="2"/>
  <c r="EA75" i="2"/>
  <c r="EB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B77" i="2"/>
  <c r="EA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W78" i="2" l="1"/>
  <c r="EB78" i="2"/>
  <c r="HI78" i="2"/>
  <c r="EV78" i="2"/>
  <c r="EC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FS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HG85" i="2"/>
  <c r="EC85" i="2"/>
  <c r="HH85" i="2"/>
  <c r="HI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B87" i="2"/>
  <c r="EA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HI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HI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FQ95" i="2"/>
  <c r="EB95" i="2"/>
  <c r="HG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HI98" i="2"/>
  <c r="EX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B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V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V105" i="2" l="1"/>
  <c r="EA105" i="2"/>
  <c r="HH105" i="2"/>
  <c r="FS105" i="2"/>
  <c r="EB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HG107" i="2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B108" i="2"/>
  <c r="FS108" i="2"/>
  <c r="EW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FQ112" i="2"/>
  <c r="HI112" i="2"/>
  <c r="EB112" i="2"/>
  <c r="EC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X113" i="2" l="1"/>
  <c r="EC113" i="2"/>
  <c r="EB113" i="2"/>
  <c r="HG113" i="2"/>
  <c r="HI113" i="2"/>
  <c r="FS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HG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HG116" i="2"/>
  <c r="EV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I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FQ118" i="2"/>
  <c r="FS118" i="2"/>
  <c r="HH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EX120" i="2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FR121" i="2" l="1"/>
  <c r="EA121" i="2"/>
  <c r="HI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W122" i="2" l="1"/>
  <c r="EC122" i="2"/>
  <c r="HI122" i="2"/>
  <c r="HH122" i="2"/>
  <c r="FS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G124" i="2"/>
  <c r="HH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HI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HG126" i="2"/>
  <c r="EA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V128" i="2"/>
  <c r="EX128" i="2"/>
  <c r="HG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HI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FS130" i="2"/>
  <c r="HH130" i="2"/>
  <c r="HI130" i="2"/>
  <c r="HG130" i="2"/>
  <c r="EW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W133" i="2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HG134" i="2"/>
  <c r="HI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X135" i="2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A139" i="2" l="1"/>
  <c r="EB139" i="2"/>
  <c r="HH139" i="2"/>
  <c r="FS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EX140" i="2"/>
  <c r="FR140" i="2"/>
  <c r="EC140" i="2"/>
  <c r="HH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HH141" i="2"/>
  <c r="EB141" i="2"/>
  <c r="HG141" i="2"/>
  <c r="EA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W142" i="2"/>
  <c r="EC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EA144" i="2"/>
  <c r="HH144" i="2"/>
  <c r="HG144" i="2"/>
  <c r="FR144" i="2"/>
  <c r="EX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B145" i="2" l="1"/>
  <c r="EA145" i="2"/>
  <c r="FR145" i="2"/>
  <c r="EX145" i="2"/>
  <c r="HG145" i="2"/>
  <c r="HH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HG146" i="2"/>
  <c r="HH146" i="2"/>
  <c r="FR146" i="2"/>
  <c r="HI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H149" i="2"/>
  <c r="HG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HI150" i="2"/>
  <c r="HH150" i="2"/>
  <c r="HG150" i="2"/>
  <c r="EV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V151" i="2"/>
  <c r="EC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EB152" i="2"/>
  <c r="HI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EX153" i="2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HG154" i="2"/>
  <c r="HH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D194" i="2"/>
  <c r="G194" i="2" s="1"/>
  <c r="DI153" i="2"/>
  <c r="FT153" i="2"/>
  <c r="CN153" i="2"/>
  <c r="HJ153" i="2"/>
  <c r="GO153" i="2"/>
  <c r="EY153" i="2"/>
  <c r="ED153" i="2"/>
  <c r="AC153" i="2"/>
  <c r="AX151" i="2"/>
  <c r="ED154" i="2" l="1"/>
  <c r="EX155" i="2"/>
  <c r="EY154" i="2"/>
  <c r="HJ154" i="2"/>
  <c r="DI154" i="2"/>
  <c r="HG155" i="2"/>
  <c r="HH155" i="2"/>
  <c r="EW155" i="2"/>
  <c r="EA155" i="2"/>
  <c r="AC154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AB156" i="2" l="1"/>
  <c r="EX156" i="2"/>
  <c r="EY155" i="2"/>
  <c r="ED155" i="2"/>
  <c r="EB156" i="2"/>
  <c r="HH156" i="2"/>
  <c r="HG156" i="2"/>
  <c r="HI156" i="2"/>
  <c r="FS156" i="2"/>
  <c r="DH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X157" i="2" l="1"/>
  <c r="CN156" i="2"/>
  <c r="HH157" i="2"/>
  <c r="EC157" i="2"/>
  <c r="EB157" i="2"/>
  <c r="HG157" i="2"/>
  <c r="EA157" i="2"/>
  <c r="ED157" i="2" s="1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C158" i="2" l="1"/>
  <c r="HH158" i="2"/>
  <c r="HG158" i="2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D158" i="2"/>
  <c r="HI159" i="2"/>
  <c r="EA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EY159" i="2"/>
  <c r="FS160" i="2"/>
  <c r="EC160" i="2"/>
  <c r="DG160" i="2"/>
  <c r="HI160" i="2"/>
  <c r="H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FS161" i="2"/>
  <c r="HH161" i="2"/>
  <c r="ED160" i="2"/>
  <c r="HG161" i="2"/>
  <c r="EX161" i="2"/>
  <c r="EA161" i="2"/>
  <c r="EB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HH162" i="2" l="1"/>
  <c r="ED161" i="2"/>
  <c r="EB162" i="2"/>
  <c r="HG162" i="2"/>
  <c r="EW162" i="2"/>
  <c r="EY161" i="2"/>
  <c r="DI161" i="2"/>
  <c r="EC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HH163" i="2" l="1"/>
  <c r="EY162" i="2"/>
  <c r="ED162" i="2"/>
  <c r="EB163" i="2"/>
  <c r="HG163" i="2"/>
  <c r="HI163" i="2"/>
  <c r="EV163" i="2"/>
  <c r="EA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V164" i="2" l="1"/>
  <c r="ED163" i="2"/>
  <c r="HG164" i="2"/>
  <c r="HH164" i="2"/>
  <c r="EY163" i="2"/>
  <c r="EA164" i="2"/>
  <c r="FR164" i="2"/>
  <c r="FS164" i="2"/>
  <c r="EX164" i="2"/>
  <c r="DI163" i="2"/>
  <c r="D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A165" i="2" l="1"/>
  <c r="HH165" i="2"/>
  <c r="HG165" i="2"/>
  <c r="EX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EC166" i="2"/>
  <c r="FS166" i="2"/>
  <c r="HG166" i="2"/>
  <c r="CN165" i="2"/>
  <c r="HI166" i="2"/>
  <c r="EX166" i="2"/>
  <c r="EW166" i="2"/>
  <c r="EY165" i="2"/>
  <c r="FR166" i="2"/>
  <c r="GN166" i="2"/>
  <c r="HH166" i="2"/>
  <c r="HJ166" i="2" s="1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B167" i="2" l="1"/>
  <c r="EY166" i="2"/>
  <c r="EC167" i="2"/>
  <c r="DG167" i="2"/>
  <c r="HH167" i="2"/>
  <c r="HI167" i="2"/>
  <c r="FR167" i="2"/>
  <c r="EX167" i="2"/>
  <c r="EA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EB168" i="2" s="1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C168" i="2" l="1"/>
  <c r="DG168" i="2"/>
  <c r="HI168" i="2"/>
  <c r="HH168" i="2"/>
  <c r="EW168" i="2"/>
  <c r="EV168" i="2"/>
  <c r="DI167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EY168" i="2"/>
  <c r="HH169" i="2"/>
  <c r="FS169" i="2"/>
  <c r="EX169" i="2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D171" i="2" l="1"/>
  <c r="EB172" i="2"/>
  <c r="EA172" i="2"/>
  <c r="EY171" i="2"/>
  <c r="HG172" i="2"/>
  <c r="HI172" i="2"/>
  <c r="EW172" i="2"/>
  <c r="EV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D172" i="2"/>
  <c r="EW173" i="2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Y173" i="2" l="1"/>
  <c r="EC174" i="2"/>
  <c r="HH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EW175" i="2" l="1"/>
  <c r="AA175" i="2"/>
  <c r="FS175" i="2"/>
  <c r="ED174" i="2"/>
  <c r="EB175" i="2"/>
  <c r="HI175" i="2"/>
  <c r="EA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EY175" i="2"/>
  <c r="EC176" i="2"/>
  <c r="HH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Q177" i="2" l="1"/>
  <c r="FS177" i="2"/>
  <c r="EC177" i="2"/>
  <c r="HH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D177" i="2" l="1"/>
  <c r="FS178" i="2"/>
  <c r="EW178" i="2"/>
  <c r="FQ178" i="2"/>
  <c r="HG178" i="2"/>
  <c r="HH178" i="2"/>
  <c r="EA178" i="2"/>
  <c r="EB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 l="1"/>
  <c r="EB179" i="2"/>
  <c r="EA179" i="2"/>
  <c r="HH179" i="2"/>
  <c r="HI179" i="2"/>
  <c r="HG179" i="2"/>
  <c r="EV179" i="2"/>
  <c r="DF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D179" i="2" l="1"/>
  <c r="EY179" i="2"/>
  <c r="HI180" i="2"/>
  <c r="HG180" i="2"/>
  <c r="EX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W181" i="2" l="1"/>
  <c r="FS181" i="2"/>
  <c r="ED180" i="2"/>
  <c r="HG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C182" i="2"/>
  <c r="EX182" i="2"/>
  <c r="DG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 l="1"/>
  <c r="FS183" i="2"/>
  <c r="ED182" i="2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EY183" i="2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Y184" i="2" l="1"/>
  <c r="ED184" i="2"/>
  <c r="HI185" i="2"/>
  <c r="HH185" i="2"/>
  <c r="HG185" i="2"/>
  <c r="EW185" i="2"/>
  <c r="EV185" i="2"/>
  <c r="EA185" i="2"/>
  <c r="EB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W186" i="2" l="1"/>
  <c r="ED185" i="2"/>
  <c r="EB186" i="2"/>
  <c r="EA186" i="2"/>
  <c r="HH186" i="2"/>
  <c r="HG186" i="2"/>
  <c r="FR186" i="2"/>
  <c r="FS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B187" i="2" l="1"/>
  <c r="EY186" i="2"/>
  <c r="EC187" i="2"/>
  <c r="HH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D187" i="2" l="1"/>
  <c r="HI188" i="2"/>
  <c r="HG188" i="2"/>
  <c r="HH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AA189" i="2" l="1"/>
  <c r="EY188" i="2"/>
  <c r="HH189" i="2"/>
  <c r="EV189" i="2"/>
  <c r="EB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V190" i="2" l="1"/>
  <c r="EY189" i="2"/>
  <c r="ED189" i="2"/>
  <c r="HJ189" i="2"/>
  <c r="EW190" i="2"/>
  <c r="EB190" i="2"/>
  <c r="HH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W191" i="2" l="1"/>
  <c r="HH191" i="2"/>
  <c r="ED190" i="2"/>
  <c r="HG191" i="2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W192" i="2" l="1"/>
  <c r="EY191" i="2"/>
  <c r="HH192" i="2"/>
  <c r="EC192" i="2"/>
  <c r="EA192" i="2"/>
  <c r="EB192" i="2"/>
  <c r="HG192" i="2"/>
  <c r="HI192" i="2"/>
  <c r="EV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A193" i="2" l="1"/>
  <c r="ED192" i="2"/>
  <c r="EB193" i="2"/>
  <c r="EY192" i="2"/>
  <c r="HI193" i="2"/>
  <c r="FQ193" i="2"/>
  <c r="EX193" i="2"/>
  <c r="DI192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 l="1"/>
  <c r="FQ194" i="2"/>
  <c r="EB194" i="2"/>
  <c r="EA194" i="2"/>
  <c r="CN193" i="2"/>
  <c r="HI194" i="2"/>
  <c r="HG194" i="2"/>
  <c r="AW194" i="2"/>
  <c r="DI193" i="2"/>
  <c r="FS194" i="2"/>
  <c r="DF194" i="2"/>
  <c r="EX194" i="2"/>
  <c r="EC194" i="2"/>
  <c r="ED194" i="2" s="1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EB195" i="2" l="1"/>
  <c r="EA195" i="2"/>
  <c r="AA195" i="2"/>
  <c r="DH195" i="2"/>
  <c r="HI195" i="2"/>
  <c r="HG195" i="2"/>
  <c r="EY194" i="2"/>
  <c r="EX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Y195" i="2" l="1"/>
  <c r="HG196" i="2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W197" i="2"/>
  <c r="EY196" i="2"/>
  <c r="FS197" i="2"/>
  <c r="HG197" i="2"/>
  <c r="HH197" i="2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W198" i="2" l="1"/>
  <c r="ED197" i="2"/>
  <c r="HI198" i="2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W199" i="2" l="1"/>
  <c r="EY198" i="2"/>
  <c r="EV199" i="2"/>
  <c r="FS199" i="2"/>
  <c r="EB199" i="2"/>
  <c r="HH199" i="2"/>
  <c r="HG199" i="2"/>
  <c r="HJ199" i="2" s="1"/>
  <c r="EA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EX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BC5" i="2" s="1" a="1"/>
  <c r="BC5" i="2" s="1"/>
  <c r="BD5" i="2" s="1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AH4" i="2" a="1"/>
  <c r="AH4" i="2" s="1"/>
  <c r="AI4" i="2" s="1"/>
  <c r="AH5" i="2" a="1"/>
  <c r="AH5" i="2" s="1"/>
  <c r="EI4" i="2" a="1"/>
  <c r="EI4" i="2" s="1"/>
  <c r="EJ4" i="2" s="1"/>
  <c r="AX198" i="2"/>
  <c r="ED200" i="2" l="1"/>
  <c r="EY200" i="2"/>
  <c r="DI200" i="2"/>
  <c r="HH201" i="2"/>
  <c r="HG201" i="2"/>
  <c r="FS201" i="2"/>
  <c r="EB201" i="2"/>
  <c r="EA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 l="1"/>
  <c r="EW202" i="2"/>
  <c r="FS202" i="2"/>
  <c r="HH202" i="2"/>
  <c r="HG202" i="2"/>
  <c r="EX202" i="2"/>
  <c r="FR202" i="2"/>
  <c r="ED201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DN155" i="2" a="1"/>
  <c r="DN155" i="2" s="1"/>
  <c r="DN124" i="2" a="1"/>
  <c r="DN124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DN123" i="2" a="1"/>
  <c r="DN123" i="2" s="1"/>
  <c r="DN103" i="2" a="1"/>
  <c r="DN103" i="2" s="1"/>
  <c r="DN114" i="2" a="1"/>
  <c r="DN114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DN168" i="2" a="1"/>
  <c r="DN168" i="2" s="1"/>
  <c r="DN80" i="2" a="1"/>
  <c r="DN80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DN45" i="2" a="1"/>
  <c r="DN45" i="2" s="1"/>
  <c r="FD82" i="2" a="1"/>
  <c r="FD82" i="2" s="1"/>
  <c r="DN187" i="2" a="1"/>
  <c r="DN187" i="2" s="1"/>
  <c r="HJ202" i="2"/>
  <c r="AX200" i="2"/>
  <c r="FS203" i="2" l="1"/>
  <c r="EY202" i="2"/>
  <c r="EI128" i="2" a="1"/>
  <c r="EI128" i="2" s="1"/>
  <c r="AH151" i="2" a="1"/>
  <c r="AH151" i="2" s="1"/>
  <c r="AH92" i="2" a="1"/>
  <c r="AH92" i="2" s="1"/>
  <c r="EI106" i="2" a="1"/>
  <c r="EI106" i="2" s="1"/>
  <c r="EI87" i="2" a="1"/>
  <c r="EI87" i="2" s="1"/>
  <c r="EI153" i="2" a="1"/>
  <c r="EI153" i="2" s="1"/>
  <c r="EI109" i="2" a="1"/>
  <c r="EI109" i="2" s="1"/>
  <c r="EI113" i="2" a="1"/>
  <c r="EI113" i="2" s="1"/>
  <c r="HH203" i="2"/>
  <c r="FR203" i="2"/>
  <c r="EI142" i="2" a="1"/>
  <c r="EI142" i="2" s="1"/>
  <c r="EI139" i="2" a="1"/>
  <c r="EI139" i="2" s="1"/>
  <c r="EI165" i="2" a="1"/>
  <c r="EI165" i="2" s="1"/>
  <c r="EI145" i="2" a="1"/>
  <c r="EI145" i="2" s="1"/>
  <c r="EI37" i="2" a="1"/>
  <c r="EI37" i="2" s="1"/>
  <c r="EI166" i="2" a="1"/>
  <c r="EI166" i="2" s="1"/>
  <c r="EI195" i="2" a="1"/>
  <c r="EI195" i="2" s="1"/>
  <c r="EI67" i="2" a="1"/>
  <c r="EI67" i="2" s="1"/>
  <c r="EI71" i="2" a="1"/>
  <c r="EI71" i="2" s="1"/>
  <c r="EI162" i="2" a="1"/>
  <c r="EI162" i="2" s="1"/>
  <c r="EI38" i="2" a="1"/>
  <c r="EI38" i="2" s="1"/>
  <c r="EI34" i="2" a="1"/>
  <c r="EI34" i="2" s="1"/>
  <c r="EI198" i="2" a="1"/>
  <c r="EI198" i="2" s="1"/>
  <c r="EI170" i="2" a="1"/>
  <c r="EI170" i="2" s="1"/>
  <c r="EI57" i="2" a="1"/>
  <c r="EI57" i="2" s="1"/>
  <c r="EI150" i="2" a="1"/>
  <c r="EI150" i="2" s="1"/>
  <c r="EI20" i="2" a="1"/>
  <c r="EI20" i="2" s="1"/>
  <c r="EI35" i="2" a="1"/>
  <c r="EI35" i="2" s="1"/>
  <c r="EI178" i="2" a="1"/>
  <c r="EI178" i="2" s="1"/>
  <c r="EI16" i="2" a="1"/>
  <c r="EI16" i="2" s="1"/>
  <c r="EI36" i="2" a="1"/>
  <c r="EI36" i="2" s="1"/>
  <c r="EI29" i="2" a="1"/>
  <c r="EI29" i="2" s="1"/>
  <c r="AH163" i="2" a="1"/>
  <c r="AH163" i="2" s="1"/>
  <c r="AH199" i="2" a="1"/>
  <c r="AH199" i="2" s="1"/>
  <c r="AH62" i="2" a="1"/>
  <c r="AH62" i="2" s="1"/>
  <c r="AH166" i="2" a="1"/>
  <c r="AH166" i="2" s="1"/>
  <c r="AH90" i="2" a="1"/>
  <c r="AH90" i="2" s="1"/>
  <c r="AH19" i="2" a="1"/>
  <c r="AH19" i="2" s="1"/>
  <c r="HG203" i="2"/>
  <c r="FY57" i="2" a="1"/>
  <c r="FY57" i="2" s="1"/>
  <c r="FY54" i="2" a="1"/>
  <c r="FY54" i="2" s="1"/>
  <c r="FY109" i="2" a="1"/>
  <c r="FY109" i="2" s="1"/>
  <c r="FY79" i="2" a="1"/>
  <c r="FY79" i="2" s="1"/>
  <c r="FY47" i="2" a="1"/>
  <c r="FY47" i="2" s="1"/>
  <c r="FY22" i="2" a="1"/>
  <c r="FY22" i="2" s="1"/>
  <c r="FY90" i="2" a="1"/>
  <c r="FY90" i="2" s="1"/>
  <c r="BC32" i="2" a="1"/>
  <c r="BC32" i="2" s="1"/>
  <c r="BC18" i="2" a="1"/>
  <c r="BC18" i="2" s="1"/>
  <c r="BC38" i="2" a="1"/>
  <c r="BC38" i="2" s="1"/>
  <c r="BC126" i="2" a="1"/>
  <c r="BC126" i="2" s="1"/>
  <c r="BC82" i="2" a="1"/>
  <c r="BC82" i="2" s="1"/>
  <c r="BC84" i="2" a="1"/>
  <c r="BC84" i="2" s="1"/>
  <c r="BC31" i="2" a="1"/>
  <c r="BC31" i="2" s="1"/>
  <c r="BC114" i="2" a="1"/>
  <c r="BC114" i="2" s="1"/>
  <c r="BC83" i="2" a="1"/>
  <c r="BC83" i="2" s="1"/>
  <c r="BC164" i="2" a="1"/>
  <c r="BC164" i="2" s="1"/>
  <c r="BC47" i="2" a="1"/>
  <c r="BC47" i="2" s="1"/>
  <c r="BC151" i="2" a="1"/>
  <c r="BC151" i="2" s="1"/>
  <c r="BC192" i="2" a="1"/>
  <c r="BC192" i="2" s="1"/>
  <c r="BC68" i="2" a="1"/>
  <c r="BC68" i="2" s="1"/>
  <c r="BC55" i="2" a="1"/>
  <c r="BC55" i="2" s="1"/>
  <c r="BC117" i="2" a="1"/>
  <c r="BC117" i="2" s="1"/>
  <c r="BC58" i="2" a="1"/>
  <c r="BC58" i="2" s="1"/>
  <c r="BC7" i="2" a="1"/>
  <c r="BC7" i="2" s="1"/>
  <c r="BD7" i="2" s="1"/>
  <c r="BC130" i="2" a="1"/>
  <c r="BC130" i="2" s="1"/>
  <c r="BC181" i="2" a="1"/>
  <c r="BC181" i="2" s="1"/>
  <c r="BC34" i="2" a="1"/>
  <c r="BC34" i="2" s="1"/>
  <c r="BC185" i="2" a="1"/>
  <c r="BC185" i="2" s="1"/>
  <c r="BC143" i="2" a="1"/>
  <c r="BC143" i="2" s="1"/>
  <c r="BC65" i="2" a="1"/>
  <c r="BC65" i="2" s="1"/>
  <c r="BX107" i="2" a="1"/>
  <c r="BX107" i="2" s="1"/>
  <c r="CS72" i="2" a="1"/>
  <c r="CS72" i="2" s="1"/>
  <c r="CS134" i="2" a="1"/>
  <c r="CS134" i="2" s="1"/>
  <c r="CS38" i="2" a="1"/>
  <c r="CS38" i="2" s="1"/>
  <c r="CS56" i="2" a="1"/>
  <c r="CS56" i="2" s="1"/>
  <c r="CS137" i="2" a="1"/>
  <c r="CS137" i="2" s="1"/>
  <c r="CS129" i="2" a="1"/>
  <c r="CS129" i="2" s="1"/>
  <c r="CS52" i="2" a="1"/>
  <c r="CS52" i="2" s="1"/>
  <c r="CS114" i="2" a="1"/>
  <c r="CS114" i="2" s="1"/>
  <c r="CS116" i="2" a="1"/>
  <c r="CS116" i="2" s="1"/>
  <c r="CS66" i="2" a="1"/>
  <c r="CS66" i="2" s="1"/>
  <c r="CS105" i="2" a="1"/>
  <c r="CS105" i="2" s="1"/>
  <c r="CS77" i="2" a="1"/>
  <c r="CS77" i="2" s="1"/>
  <c r="CS185" i="2" a="1"/>
  <c r="CS185" i="2" s="1"/>
  <c r="CS161" i="2" a="1"/>
  <c r="CS161" i="2" s="1"/>
  <c r="CS24" i="2" a="1"/>
  <c r="CS24" i="2" s="1"/>
  <c r="CS120" i="2" a="1"/>
  <c r="CS120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ED203" i="2" s="1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FT203" i="2" s="1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8" i="2" l="1"/>
  <c r="FZ9" i="2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EY203" i="2"/>
  <c r="CN203" i="2"/>
  <c r="DI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FE65" i="2" l="1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GE11" i="2" l="1"/>
  <c r="GE141" i="2"/>
  <c r="GE122" i="2"/>
  <c r="GE31" i="2"/>
  <c r="GE179" i="2"/>
  <c r="GE178" i="2"/>
  <c r="GE43" i="2"/>
  <c r="GE81" i="2"/>
  <c r="GE199" i="2"/>
  <c r="GE21" i="2"/>
  <c r="GE23" i="2"/>
  <c r="GE148" i="2"/>
  <c r="GE25" i="2"/>
  <c r="GE195" i="2"/>
  <c r="GE68" i="2"/>
  <c r="GE172" i="2"/>
  <c r="GE167" i="2"/>
  <c r="GE121" i="2"/>
  <c r="GE161" i="2"/>
  <c r="GE185" i="2"/>
  <c r="GE55" i="2"/>
  <c r="GE61" i="2"/>
  <c r="GE189" i="2"/>
  <c r="GE112" i="2"/>
  <c r="GE143" i="2"/>
  <c r="GE192" i="2"/>
  <c r="GE176" i="2"/>
  <c r="GE188" i="2"/>
  <c r="GE14" i="2"/>
  <c r="GE3" i="2"/>
  <c r="C14" i="4" s="1"/>
  <c r="E14" i="4" s="1"/>
  <c r="F14" i="4" s="1"/>
  <c r="G14" i="4" s="1"/>
  <c r="L14" i="4" s="1"/>
  <c r="GE92" i="2"/>
  <c r="GE164" i="2"/>
  <c r="GE24" i="2"/>
  <c r="GE56" i="2"/>
  <c r="GE62" i="2"/>
  <c r="GE28" i="2"/>
  <c r="GE38" i="2"/>
  <c r="GE42" i="2"/>
  <c r="GE136" i="2"/>
  <c r="GE6" i="2"/>
  <c r="GE150" i="2"/>
  <c r="GE105" i="2"/>
  <c r="GE16" i="2"/>
  <c r="GE48" i="2"/>
  <c r="GE190" i="2"/>
  <c r="GE133" i="2"/>
  <c r="GE83" i="2"/>
  <c r="GE4" i="2"/>
  <c r="GE102" i="2"/>
  <c r="GE45" i="2"/>
  <c r="GE98" i="2"/>
  <c r="GE168" i="2"/>
  <c r="GE170" i="2"/>
  <c r="GE194" i="2"/>
  <c r="GE129" i="2"/>
  <c r="GE74" i="2"/>
  <c r="GE132" i="2"/>
  <c r="GE159" i="2"/>
  <c r="GE87" i="2"/>
  <c r="GE64" i="2"/>
  <c r="GE110" i="2"/>
  <c r="GE44" i="2"/>
  <c r="GE186" i="2"/>
  <c r="GE101" i="2"/>
  <c r="GE47" i="2"/>
  <c r="GE183" i="2"/>
  <c r="GE175" i="2"/>
  <c r="GE184" i="2"/>
  <c r="GE51" i="2"/>
  <c r="GE93" i="2"/>
  <c r="GE79" i="2"/>
  <c r="GE27" i="2"/>
  <c r="GE18" i="2"/>
  <c r="GE134" i="2"/>
  <c r="GE114" i="2"/>
  <c r="GE22" i="2"/>
  <c r="GE180" i="2"/>
  <c r="GE104" i="2"/>
  <c r="GE166" i="2"/>
  <c r="GE13" i="2"/>
  <c r="GE70" i="2"/>
  <c r="GE26" i="2"/>
  <c r="GE109" i="2"/>
  <c r="GE85" i="2"/>
  <c r="GE108" i="2"/>
  <c r="GE35" i="2"/>
  <c r="GE182" i="2"/>
  <c r="GE142" i="2"/>
  <c r="GE193" i="2"/>
  <c r="GE80" i="2"/>
  <c r="GE65" i="2"/>
  <c r="GE160" i="2"/>
  <c r="GE40" i="2"/>
  <c r="GE187" i="2"/>
  <c r="GE130" i="2"/>
  <c r="GE128" i="2"/>
  <c r="GE9" i="2"/>
  <c r="GE96" i="2"/>
  <c r="GE131" i="2"/>
  <c r="GE94" i="2"/>
  <c r="GE107" i="2"/>
  <c r="GE5" i="2"/>
  <c r="GE113" i="2"/>
  <c r="GE8" i="2"/>
  <c r="GE53" i="2"/>
  <c r="GE200" i="2"/>
  <c r="GE157" i="2"/>
  <c r="GE66" i="2"/>
  <c r="GE34" i="2"/>
  <c r="GE117" i="2"/>
  <c r="GE76" i="2"/>
  <c r="GE63" i="2"/>
  <c r="GE15" i="2"/>
  <c r="GE201" i="2"/>
  <c r="GE60" i="2"/>
  <c r="GE165" i="2"/>
  <c r="GE174" i="2"/>
  <c r="GE17" i="2"/>
  <c r="GE126" i="2"/>
  <c r="GE36" i="2"/>
  <c r="GE123" i="2"/>
  <c r="GE72" i="2"/>
  <c r="GE41" i="2"/>
  <c r="GE59" i="2"/>
  <c r="GE88" i="2"/>
  <c r="GE127" i="2"/>
  <c r="GE171" i="2"/>
  <c r="GE103" i="2"/>
  <c r="GE198" i="2"/>
  <c r="GE202" i="2"/>
  <c r="GE155" i="2"/>
  <c r="GE57" i="2"/>
  <c r="GE163" i="2"/>
  <c r="GE86" i="2"/>
  <c r="GE154" i="2"/>
  <c r="GE135" i="2"/>
  <c r="GE197" i="2"/>
  <c r="GE139" i="2"/>
  <c r="GE99" i="2"/>
  <c r="GE91" i="2"/>
  <c r="GE138" i="2"/>
  <c r="GE181" i="2"/>
  <c r="GE191" i="2"/>
  <c r="GE144" i="2"/>
  <c r="GE73" i="2"/>
  <c r="GE75" i="2"/>
  <c r="GE196" i="2"/>
  <c r="GE125" i="2"/>
  <c r="GE106" i="2"/>
  <c r="GE20" i="2"/>
  <c r="GE173" i="2"/>
  <c r="GE153" i="2"/>
  <c r="GE151" i="2"/>
  <c r="GE177" i="2"/>
  <c r="GE152" i="2"/>
  <c r="GE52" i="2"/>
  <c r="GE100" i="2"/>
  <c r="GE97" i="2"/>
  <c r="GE119" i="2"/>
  <c r="GE32" i="2"/>
  <c r="GE39" i="2"/>
  <c r="GE140" i="2"/>
  <c r="GE78" i="2"/>
  <c r="GE12" i="2"/>
  <c r="GE146" i="2"/>
  <c r="GE54" i="2"/>
  <c r="GE10" i="2"/>
  <c r="GE37" i="2"/>
  <c r="GE7" i="2"/>
  <c r="GE147" i="2"/>
  <c r="GE49" i="2"/>
  <c r="GE137" i="2"/>
  <c r="GE77" i="2"/>
  <c r="GE69" i="2"/>
  <c r="GE169" i="2"/>
  <c r="GE33" i="2"/>
  <c r="GE89" i="2"/>
  <c r="GE158" i="2"/>
  <c r="GE84" i="2"/>
  <c r="GE82" i="2"/>
  <c r="GE67" i="2"/>
  <c r="GE58" i="2"/>
  <c r="GE145" i="2"/>
  <c r="GE156" i="2"/>
  <c r="GE115" i="2"/>
  <c r="GE30" i="2"/>
  <c r="GE149" i="2"/>
  <c r="GE29" i="2"/>
  <c r="GE162" i="2"/>
  <c r="GE203" i="2"/>
  <c r="GE90" i="2"/>
  <c r="GE95" i="2"/>
  <c r="GE116" i="2"/>
  <c r="GE118" i="2"/>
  <c r="GE120" i="2"/>
  <c r="GE71" i="2"/>
  <c r="GE46" i="2"/>
  <c r="GE111" i="2"/>
  <c r="GE124" i="2"/>
  <c r="GE19" i="2"/>
  <c r="GE50" i="2"/>
  <c r="FE74" i="2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DT180" i="2" l="1"/>
  <c r="DT186" i="2"/>
  <c r="DT7" i="2"/>
  <c r="DT27" i="2"/>
  <c r="DT13" i="2"/>
  <c r="DT183" i="2"/>
  <c r="DT83" i="2"/>
  <c r="DT44" i="2"/>
  <c r="DT102" i="2"/>
  <c r="DT166" i="2"/>
  <c r="DT99" i="2"/>
  <c r="DT201" i="2"/>
  <c r="DT98" i="2"/>
  <c r="DT61" i="2"/>
  <c r="DT92" i="2"/>
  <c r="DT134" i="2"/>
  <c r="DT32" i="2"/>
  <c r="DT69" i="2"/>
  <c r="DT16" i="2"/>
  <c r="DT138" i="2"/>
  <c r="DT18" i="2"/>
  <c r="DT158" i="2"/>
  <c r="DT179" i="2"/>
  <c r="DT77" i="2"/>
  <c r="DT176" i="2"/>
  <c r="DT36" i="2"/>
  <c r="DT127" i="2"/>
  <c r="DT163" i="2"/>
  <c r="DT146" i="2"/>
  <c r="DT202" i="2"/>
  <c r="DT38" i="2"/>
  <c r="DT51" i="2"/>
  <c r="DT96" i="2"/>
  <c r="DT37" i="2"/>
  <c r="DT60" i="2"/>
  <c r="DT149" i="2"/>
  <c r="DT203" i="2"/>
  <c r="DT85" i="2"/>
  <c r="DT194" i="2"/>
  <c r="DT52" i="2"/>
  <c r="DT167" i="2"/>
  <c r="DT193" i="2"/>
  <c r="DT182" i="2"/>
  <c r="DT154" i="2"/>
  <c r="DT90" i="2"/>
  <c r="DT59" i="2"/>
  <c r="DT58" i="2"/>
  <c r="DT9" i="2"/>
  <c r="DT33" i="2"/>
  <c r="DT196" i="2"/>
  <c r="DT171" i="2"/>
  <c r="DT142" i="2"/>
  <c r="DT87" i="2"/>
  <c r="DT145" i="2"/>
  <c r="DT55" i="2"/>
  <c r="DT23" i="2"/>
  <c r="DT95" i="2"/>
  <c r="DT74" i="2"/>
  <c r="DT155" i="2"/>
  <c r="DT68" i="2"/>
  <c r="DT45" i="2"/>
  <c r="DT62" i="2"/>
  <c r="DT199" i="2"/>
  <c r="DT103" i="2"/>
  <c r="DT120" i="2"/>
  <c r="DT188" i="2"/>
  <c r="DT20" i="2"/>
  <c r="DT14" i="2"/>
  <c r="DT195" i="2"/>
  <c r="DT105" i="2"/>
  <c r="DT67" i="2"/>
  <c r="DT161" i="2"/>
  <c r="DT15" i="2"/>
  <c r="DT147" i="2"/>
  <c r="DT110" i="2"/>
  <c r="DT106" i="2"/>
  <c r="DT148" i="2"/>
  <c r="DT6" i="2"/>
  <c r="DT19" i="2"/>
  <c r="DT35" i="2"/>
  <c r="DT109" i="2"/>
  <c r="DT107" i="2"/>
  <c r="DT178" i="2"/>
  <c r="DT135" i="2"/>
  <c r="DT78" i="2"/>
  <c r="DT197" i="2"/>
  <c r="DT53" i="2"/>
  <c r="DT39" i="2"/>
  <c r="DT93" i="2"/>
  <c r="DT144" i="2"/>
  <c r="DT177" i="2"/>
  <c r="DT128" i="2"/>
  <c r="DT22" i="2"/>
  <c r="DT115" i="2"/>
  <c r="DT123" i="2"/>
  <c r="DT47" i="2"/>
  <c r="DT114" i="2"/>
  <c r="DT129" i="2"/>
  <c r="DT192" i="2"/>
  <c r="DT43" i="2"/>
  <c r="DT140" i="2"/>
  <c r="DT108" i="2"/>
  <c r="DT25" i="2"/>
  <c r="DT72" i="2"/>
  <c r="DT184" i="2"/>
  <c r="DT82" i="2"/>
  <c r="DT185" i="2"/>
  <c r="DT189" i="2"/>
  <c r="DT104" i="2"/>
  <c r="DT46" i="2"/>
  <c r="DT168" i="2"/>
  <c r="DT164" i="2"/>
  <c r="DT172" i="2"/>
  <c r="DT181" i="2"/>
  <c r="DT190" i="2"/>
  <c r="DT131" i="2"/>
  <c r="DT198" i="2"/>
  <c r="DT42" i="2"/>
  <c r="DT111" i="2"/>
  <c r="DT116" i="2"/>
  <c r="DT143" i="2"/>
  <c r="DT153" i="2"/>
  <c r="DT73" i="2"/>
  <c r="DT113" i="2"/>
  <c r="DT165" i="2"/>
  <c r="DT137" i="2"/>
  <c r="DT157" i="2"/>
  <c r="DT80" i="2"/>
  <c r="DT65" i="2"/>
  <c r="DT86" i="2"/>
  <c r="DT126" i="2"/>
  <c r="DT66" i="2"/>
  <c r="DT4" i="2"/>
  <c r="DT21" i="2"/>
  <c r="DT81" i="2"/>
  <c r="DT187" i="2"/>
  <c r="DT34" i="2"/>
  <c r="DT75" i="2"/>
  <c r="DT118" i="2"/>
  <c r="DT169" i="2"/>
  <c r="DT125" i="2"/>
  <c r="DT49" i="2"/>
  <c r="DT70" i="2"/>
  <c r="DT41" i="2"/>
  <c r="DT3" i="2"/>
  <c r="C11" i="4" s="1"/>
  <c r="E11" i="4" s="1"/>
  <c r="F11" i="4" s="1"/>
  <c r="G11" i="4" s="1"/>
  <c r="L11" i="4" s="1"/>
  <c r="DT136" i="2"/>
  <c r="DT76" i="2"/>
  <c r="DT175" i="2"/>
  <c r="DT130" i="2"/>
  <c r="DT139" i="2"/>
  <c r="DT200" i="2"/>
  <c r="DT141" i="2"/>
  <c r="DT151" i="2"/>
  <c r="DT31" i="2"/>
  <c r="DT100" i="2"/>
  <c r="DT191" i="2"/>
  <c r="DT173" i="2"/>
  <c r="DT174" i="2"/>
  <c r="DT89" i="2"/>
  <c r="DT97" i="2"/>
  <c r="DT150" i="2"/>
  <c r="DT94" i="2"/>
  <c r="DT71" i="2"/>
  <c r="DT64" i="2"/>
  <c r="DT63" i="2"/>
  <c r="DT50" i="2"/>
  <c r="DT124" i="2"/>
  <c r="DT159" i="2"/>
  <c r="DT26" i="2"/>
  <c r="DT160" i="2"/>
  <c r="DT101" i="2"/>
  <c r="DT152" i="2"/>
  <c r="DT133" i="2"/>
  <c r="DT119" i="2"/>
  <c r="DT117" i="2"/>
  <c r="DT28" i="2"/>
  <c r="DT91" i="2"/>
  <c r="DT29" i="2"/>
  <c r="DT84" i="2"/>
  <c r="DT8" i="2"/>
  <c r="DT30" i="2"/>
  <c r="DT170" i="2"/>
  <c r="DT56" i="2"/>
  <c r="DT132" i="2"/>
  <c r="DT54" i="2"/>
  <c r="DT11" i="2"/>
  <c r="DT40" i="2"/>
  <c r="DT79" i="2"/>
  <c r="DT17" i="2"/>
  <c r="DT121" i="2"/>
  <c r="DT88" i="2"/>
  <c r="DT48" i="2"/>
  <c r="DT5" i="2"/>
  <c r="DT12" i="2"/>
  <c r="DT162" i="2"/>
  <c r="DT24" i="2"/>
  <c r="DT156" i="2"/>
  <c r="DT112" i="2"/>
  <c r="DT10" i="2"/>
  <c r="DT57" i="2"/>
  <c r="DT122" i="2"/>
  <c r="CD150" i="2"/>
  <c r="CD128" i="2"/>
  <c r="CD86" i="2"/>
  <c r="CD156" i="2"/>
  <c r="CD29" i="2"/>
  <c r="CD152" i="2"/>
  <c r="CD84" i="2"/>
  <c r="CD13" i="2"/>
  <c r="CD68" i="2"/>
  <c r="CD181" i="2"/>
  <c r="CD35" i="2"/>
  <c r="CD21" i="2"/>
  <c r="CD117" i="2"/>
  <c r="CD36" i="2"/>
  <c r="CD60" i="2"/>
  <c r="CD151" i="2"/>
  <c r="CD6" i="2"/>
  <c r="CD135" i="2"/>
  <c r="CD58" i="2"/>
  <c r="CD141" i="2"/>
  <c r="CD175" i="2"/>
  <c r="CD185" i="2"/>
  <c r="CD55" i="2"/>
  <c r="CD202" i="2"/>
  <c r="CD134" i="2"/>
  <c r="CD129" i="2"/>
  <c r="CD45" i="2"/>
  <c r="CD61" i="2"/>
  <c r="CD54" i="2"/>
  <c r="CD69" i="2"/>
  <c r="CD63" i="2"/>
  <c r="CD10" i="2"/>
  <c r="CD179" i="2"/>
  <c r="CD143" i="2"/>
  <c r="CD16" i="2"/>
  <c r="CD201" i="2"/>
  <c r="CD130" i="2"/>
  <c r="CD173" i="2"/>
  <c r="CD37" i="2"/>
  <c r="CD165" i="2"/>
  <c r="CD48" i="2"/>
  <c r="CD71" i="2"/>
  <c r="CD88" i="2"/>
  <c r="CD34" i="2"/>
  <c r="CD51" i="2"/>
  <c r="CD163" i="2"/>
  <c r="CD162" i="2"/>
  <c r="CD12" i="2"/>
  <c r="CD30" i="2"/>
  <c r="CD183" i="2"/>
  <c r="CD75" i="2"/>
  <c r="CD109" i="2"/>
  <c r="CD133" i="2"/>
  <c r="CD154" i="2"/>
  <c r="CD93" i="2"/>
  <c r="CD194" i="2"/>
  <c r="CD148" i="2"/>
  <c r="CD195" i="2"/>
  <c r="CD101" i="2"/>
  <c r="CD72" i="2"/>
  <c r="CD120" i="2"/>
  <c r="CD164" i="2"/>
  <c r="CD122" i="2"/>
  <c r="CD44" i="2"/>
  <c r="CD85" i="2"/>
  <c r="CD87" i="2"/>
  <c r="CD9" i="2"/>
  <c r="CD161" i="2"/>
  <c r="CD77" i="2"/>
  <c r="CD90" i="2"/>
  <c r="CD74" i="2"/>
  <c r="CD17" i="2"/>
  <c r="CD19" i="2"/>
  <c r="CD38" i="2"/>
  <c r="CD20" i="2"/>
  <c r="CD8" i="2"/>
  <c r="CD157" i="2"/>
  <c r="CD3" i="2"/>
  <c r="C9" i="4" s="1"/>
  <c r="E9" i="4" s="1"/>
  <c r="F9" i="4" s="1"/>
  <c r="G9" i="4" s="1"/>
  <c r="L9" i="4" s="1"/>
  <c r="CD50" i="2"/>
  <c r="CD91" i="2"/>
  <c r="CD124" i="2"/>
  <c r="CD121" i="2"/>
  <c r="CD14" i="2"/>
  <c r="CD169" i="2"/>
  <c r="CD31" i="2"/>
  <c r="CD108" i="2"/>
  <c r="CD198" i="2"/>
  <c r="CD52" i="2"/>
  <c r="CD123" i="2"/>
  <c r="CD191" i="2"/>
  <c r="CD200" i="2"/>
  <c r="CD180" i="2"/>
  <c r="CD7" i="2"/>
  <c r="CD172" i="2"/>
  <c r="CD56" i="2"/>
  <c r="CD160" i="2"/>
  <c r="CD186" i="2"/>
  <c r="CD82" i="2"/>
  <c r="CD147" i="2"/>
  <c r="CD92" i="2"/>
  <c r="CD139" i="2"/>
  <c r="CD166" i="2"/>
  <c r="CD65" i="2"/>
  <c r="CD189" i="2"/>
  <c r="CD4" i="2"/>
  <c r="CD158" i="2"/>
  <c r="CD79" i="2"/>
  <c r="CD126" i="2"/>
  <c r="CD111" i="2"/>
  <c r="CD95" i="2"/>
  <c r="CD125" i="2"/>
  <c r="CD70" i="2"/>
  <c r="CD57" i="2"/>
  <c r="CD32" i="2"/>
  <c r="CD73" i="2"/>
  <c r="CD11" i="2"/>
  <c r="CD187" i="2"/>
  <c r="CD113" i="2"/>
  <c r="CD5" i="2"/>
  <c r="CD142" i="2"/>
  <c r="CD153" i="2"/>
  <c r="CD83" i="2"/>
  <c r="CD149" i="2"/>
  <c r="CD137" i="2"/>
  <c r="CD42" i="2"/>
  <c r="CD33" i="2"/>
  <c r="CD89" i="2"/>
  <c r="CD193" i="2"/>
  <c r="CD27" i="2"/>
  <c r="CD155" i="2"/>
  <c r="CD46" i="2"/>
  <c r="CD118" i="2"/>
  <c r="CD176" i="2"/>
  <c r="CD28" i="2"/>
  <c r="CD62" i="2"/>
  <c r="CD188" i="2"/>
  <c r="CD168" i="2"/>
  <c r="CD106" i="2"/>
  <c r="CD81" i="2"/>
  <c r="CD78" i="2"/>
  <c r="CD23" i="2"/>
  <c r="CD64" i="2"/>
  <c r="CD26" i="2"/>
  <c r="CD22" i="2"/>
  <c r="CD96" i="2"/>
  <c r="CD98" i="2"/>
  <c r="CD182" i="2"/>
  <c r="CD119" i="2"/>
  <c r="CD171" i="2"/>
  <c r="CD66" i="2"/>
  <c r="CD132" i="2"/>
  <c r="CD67" i="2"/>
  <c r="CD100" i="2"/>
  <c r="CD197" i="2"/>
  <c r="CD114" i="2"/>
  <c r="CD136" i="2"/>
  <c r="CD144" i="2"/>
  <c r="CD94" i="2"/>
  <c r="CD24" i="2"/>
  <c r="CD104" i="2"/>
  <c r="CD99" i="2"/>
  <c r="CD18" i="2"/>
  <c r="CD41" i="2"/>
  <c r="CD110" i="2"/>
  <c r="CD174" i="2"/>
  <c r="CD43" i="2"/>
  <c r="CD102" i="2"/>
  <c r="CD184" i="2"/>
  <c r="CD196" i="2"/>
  <c r="CD40" i="2"/>
  <c r="CD203" i="2"/>
  <c r="CD76" i="2"/>
  <c r="CD80" i="2"/>
  <c r="CD15" i="2"/>
  <c r="CD103" i="2"/>
  <c r="CD131" i="2"/>
  <c r="CD140" i="2"/>
  <c r="CD167" i="2"/>
  <c r="CD127" i="2"/>
  <c r="CD145" i="2"/>
  <c r="CD105" i="2"/>
  <c r="CD59" i="2"/>
  <c r="CD146" i="2"/>
  <c r="CD39" i="2"/>
  <c r="CD97" i="2"/>
  <c r="CD107" i="2"/>
  <c r="CD116" i="2"/>
  <c r="CD47" i="2"/>
  <c r="CD25" i="2"/>
  <c r="CD177" i="2"/>
  <c r="CD199" i="2"/>
  <c r="CD138" i="2"/>
  <c r="CD170" i="2"/>
  <c r="CD112" i="2"/>
  <c r="CD192" i="2"/>
  <c r="CD49" i="2"/>
  <c r="CD53" i="2"/>
  <c r="CD159" i="2"/>
  <c r="CD115" i="2"/>
  <c r="CD178" i="2"/>
  <c r="CD190" i="2"/>
  <c r="FJ156" i="2"/>
  <c r="FJ145" i="2"/>
  <c r="FJ196" i="2"/>
  <c r="FJ184" i="2"/>
  <c r="FJ94" i="2"/>
  <c r="FJ132" i="2"/>
  <c r="FJ109" i="2"/>
  <c r="FJ114" i="2"/>
  <c r="FJ52" i="2"/>
  <c r="FJ115" i="2"/>
  <c r="FJ149" i="2"/>
  <c r="FJ51" i="2"/>
  <c r="FJ38" i="2"/>
  <c r="FJ159" i="2"/>
  <c r="FJ165" i="2"/>
  <c r="FJ195" i="2"/>
  <c r="FJ26" i="2"/>
  <c r="FJ161" i="2"/>
  <c r="FJ143" i="2"/>
  <c r="FJ22" i="2"/>
  <c r="FJ140" i="2"/>
  <c r="FJ153" i="2"/>
  <c r="FJ47" i="2"/>
  <c r="FJ84" i="2"/>
  <c r="FJ88" i="2"/>
  <c r="FJ180" i="2"/>
  <c r="FJ100" i="2"/>
  <c r="FJ96" i="2"/>
  <c r="FJ147" i="2"/>
  <c r="FJ178" i="2"/>
  <c r="FJ4" i="2"/>
  <c r="FJ171" i="2"/>
  <c r="FJ194" i="2"/>
  <c r="FJ64" i="2"/>
  <c r="FJ189" i="2"/>
  <c r="FJ160" i="2"/>
  <c r="FJ104" i="2"/>
  <c r="FJ151" i="2"/>
  <c r="FJ169" i="2"/>
  <c r="FJ31" i="2"/>
  <c r="FJ83" i="2"/>
  <c r="FJ199" i="2"/>
  <c r="FJ141" i="2"/>
  <c r="FJ108" i="2"/>
  <c r="FJ152" i="2"/>
  <c r="FJ45" i="2"/>
  <c r="FJ76" i="2"/>
  <c r="FJ110" i="2"/>
  <c r="FJ28" i="2"/>
  <c r="FJ173" i="2"/>
  <c r="FJ182" i="2"/>
  <c r="FJ20" i="2"/>
  <c r="FJ130" i="2"/>
  <c r="FJ179" i="2"/>
  <c r="FJ111" i="2"/>
  <c r="FJ65" i="2"/>
  <c r="FJ193" i="2"/>
  <c r="FJ137" i="2"/>
  <c r="FJ40" i="2"/>
  <c r="FJ57" i="2"/>
  <c r="FJ122" i="2"/>
  <c r="FJ75" i="2"/>
  <c r="FJ187" i="2"/>
  <c r="FJ46" i="2"/>
  <c r="FJ105" i="2"/>
  <c r="FJ125" i="2"/>
  <c r="FJ97" i="2"/>
  <c r="FJ59" i="2"/>
  <c r="FJ15" i="2"/>
  <c r="FJ85" i="2"/>
  <c r="FJ80" i="2"/>
  <c r="FJ8" i="2"/>
  <c r="FJ81" i="2"/>
  <c r="FJ135" i="2"/>
  <c r="FJ18" i="2"/>
  <c r="FJ116" i="2"/>
  <c r="FJ14" i="2"/>
  <c r="FJ41" i="2"/>
  <c r="FJ30" i="2"/>
  <c r="FJ89" i="2"/>
  <c r="FJ12" i="2"/>
  <c r="FJ121" i="2"/>
  <c r="FJ42" i="2"/>
  <c r="FJ128" i="2"/>
  <c r="FJ118" i="2"/>
  <c r="FJ19" i="2"/>
  <c r="FJ101" i="2"/>
  <c r="FJ106" i="2"/>
  <c r="FJ131" i="2"/>
  <c r="FJ112" i="2"/>
  <c r="FJ77" i="2"/>
  <c r="FJ168" i="2"/>
  <c r="FJ154" i="2"/>
  <c r="FJ191" i="2"/>
  <c r="FJ10" i="2"/>
  <c r="FJ56" i="2"/>
  <c r="FJ127" i="2"/>
  <c r="FJ36" i="2"/>
  <c r="FJ39" i="2"/>
  <c r="FJ86" i="2"/>
  <c r="FJ142" i="2"/>
  <c r="FJ148" i="2"/>
  <c r="FJ183" i="2"/>
  <c r="FJ102" i="2"/>
  <c r="FJ150" i="2"/>
  <c r="FJ60" i="2"/>
  <c r="FJ163" i="2"/>
  <c r="FJ181" i="2"/>
  <c r="FJ172" i="2"/>
  <c r="FJ117" i="2"/>
  <c r="FJ138" i="2"/>
  <c r="FJ71" i="2"/>
  <c r="FJ103" i="2"/>
  <c r="FJ107" i="2"/>
  <c r="FJ66" i="2"/>
  <c r="FJ124" i="2"/>
  <c r="FJ33" i="2"/>
  <c r="FJ91" i="2"/>
  <c r="FJ55" i="2"/>
  <c r="FJ69" i="2"/>
  <c r="FJ202" i="2"/>
  <c r="FJ164" i="2"/>
  <c r="FJ166" i="2"/>
  <c r="FJ25" i="2"/>
  <c r="FJ174" i="2"/>
  <c r="FJ185" i="2"/>
  <c r="FJ146" i="2"/>
  <c r="FJ5" i="2"/>
  <c r="FJ62" i="2"/>
  <c r="FJ13" i="2"/>
  <c r="FJ133" i="2"/>
  <c r="FJ134" i="2"/>
  <c r="FJ67" i="2"/>
  <c r="FJ197" i="2"/>
  <c r="FJ79" i="2"/>
  <c r="FJ21" i="2"/>
  <c r="FJ61" i="2"/>
  <c r="FJ9" i="2"/>
  <c r="FJ73" i="2"/>
  <c r="FJ190" i="2"/>
  <c r="FJ11" i="2"/>
  <c r="FJ177" i="2"/>
  <c r="FJ58" i="2"/>
  <c r="FJ7" i="2"/>
  <c r="FJ17" i="2"/>
  <c r="FJ74" i="2"/>
  <c r="FJ70" i="2"/>
  <c r="FJ99" i="2"/>
  <c r="FJ35" i="2"/>
  <c r="FJ48" i="2"/>
  <c r="FJ87" i="2"/>
  <c r="FJ113" i="2"/>
  <c r="FJ162" i="2"/>
  <c r="FJ157" i="2"/>
  <c r="FJ63" i="2"/>
  <c r="FJ175" i="2"/>
  <c r="FJ27" i="2"/>
  <c r="FJ186" i="2"/>
  <c r="FJ170" i="2"/>
  <c r="FJ98" i="2"/>
  <c r="FJ54" i="2"/>
  <c r="FJ188" i="2"/>
  <c r="FJ23" i="2"/>
  <c r="FJ155" i="2"/>
  <c r="FJ34" i="2"/>
  <c r="FJ93" i="2"/>
  <c r="FJ50" i="2"/>
  <c r="FJ136" i="2"/>
  <c r="FJ16" i="2"/>
  <c r="FJ3" i="2"/>
  <c r="C13" i="4" s="1"/>
  <c r="E13" i="4" s="1"/>
  <c r="F13" i="4" s="1"/>
  <c r="G13" i="4" s="1"/>
  <c r="L13" i="4" s="1"/>
  <c r="FJ126" i="2"/>
  <c r="FJ78" i="2"/>
  <c r="FJ53" i="2"/>
  <c r="FJ24" i="2"/>
  <c r="FJ32" i="2"/>
  <c r="FJ37" i="2"/>
  <c r="FJ200" i="2"/>
  <c r="FJ144" i="2"/>
  <c r="FJ49" i="2"/>
  <c r="FJ176" i="2"/>
  <c r="FJ123" i="2"/>
  <c r="FJ203" i="2"/>
  <c r="FJ139" i="2"/>
  <c r="FJ92" i="2"/>
  <c r="FJ119" i="2"/>
  <c r="FJ120" i="2"/>
  <c r="FJ192" i="2"/>
  <c r="FJ44" i="2"/>
  <c r="FJ167" i="2"/>
  <c r="FJ90" i="2"/>
  <c r="FJ43" i="2"/>
  <c r="FJ82" i="2"/>
  <c r="FJ72" i="2"/>
  <c r="FJ68" i="2"/>
  <c r="FJ95" i="2"/>
  <c r="FJ198" i="2"/>
  <c r="FJ29" i="2"/>
  <c r="FJ129" i="2"/>
  <c r="FJ201" i="2"/>
  <c r="FJ6" i="2"/>
  <c r="FJ158" i="2"/>
  <c r="FE155" i="2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<sst xmlns="http://schemas.openxmlformats.org/spreadsheetml/2006/main" count="1173" uniqueCount="324">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</sst>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1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3.0873954293069432</c:v>
                </c:pt>
                <c:pt idx="2">
                  <c:v>3.6969523327533285</c:v>
                </c:pt>
                <c:pt idx="3">
                  <c:v>4.4273012249221102</c:v>
                </c:pt>
                <c:pt idx="4">
                  <c:v>5.3024617849498643</c:v>
                </c:pt>
                <c:pt idx="5">
                  <c:v>6.3512455158746723</c:v>
                </c:pt>
                <c:pt idx="6">
                  <c:v>7.6082145638704972</c:v>
                </c:pt>
                <c:pt idx="7">
                  <c:v>9.1148329231718037</c:v>
                </c:pt>
                <c:pt idx="8">
                  <c:v>10.92084872649014</c:v>
                </c:pt>
                <c:pt idx="9">
                  <c:v>13.085954123475267</c:v>
                </c:pt>
                <c:pt idx="10">
                  <c:v>15.681778629035497</c:v>
                </c:pt>
                <c:pt idx="11">
                  <c:v>18.794283098237205</c:v>
                </c:pt>
                <c:pt idx="12">
                  <c:v>22.526635038894295</c:v>
                </c:pt>
                <c:pt idx="13">
                  <c:v>27.002662268531896</c:v>
                </c:pt>
                <c:pt idx="14">
                  <c:v>32.371001514529802</c:v>
                </c:pt>
                <c:pt idx="15">
                  <c:v>38.810082112983899</c:v>
                </c:pt>
                <c:pt idx="16">
                  <c:v>46.534113286836906</c:v>
                </c:pt>
                <c:pt idx="17">
                  <c:v>55.800277543955367</c:v>
                </c:pt>
                <c:pt idx="18">
                  <c:v>66.917373694244205</c:v>
                </c:pt>
                <c:pt idx="19">
                  <c:v>80.256202241032796</c:v>
                </c:pt>
                <c:pt idx="20">
                  <c:v>96.262045139603686</c:v>
                </c:pt>
                <c:pt idx="21">
                  <c:v>108.73492274451898</c:v>
                </c:pt>
                <c:pt idx="22">
                  <c:v>121.17258390131538</c:v>
                </c:pt>
                <c:pt idx="23">
                  <c:v>133.57915795884725</c:v>
                </c:pt>
                <c:pt idx="24">
                  <c:v>145.95794243077449</c:v>
                </c:pt>
                <c:pt idx="25">
                  <c:v>158.31162856255909</c:v>
                </c:pt>
                <c:pt idx="26">
                  <c:v>156.10734926897979</c:v>
                </c:pt>
                <c:pt idx="27">
                  <c:v>171.52240247513097</c:v>
                </c:pt>
                <c:pt idx="28">
                  <c:v>186.90485368679899</c:v>
                </c:pt>
                <c:pt idx="29">
                  <c:v>202.25776507632233</c:v>
                </c:pt>
                <c:pt idx="30">
                  <c:v>217.58369540679928</c:v>
                </c:pt>
                <c:pt idx="31">
                  <c:v>235.06877345752704</c:v>
                </c:pt>
                <c:pt idx="32">
                  <c:v>252.52418390174873</c:v>
                </c:pt>
                <c:pt idx="33">
                  <c:v>269.95226599479992</c:v>
                </c:pt>
                <c:pt idx="34">
                  <c:v>287.35503217179337</c:v>
                </c:pt>
                <c:pt idx="35">
                  <c:v>304.73423115701871</c:v>
                </c:pt>
                <c:pt idx="36">
                  <c:v>231.57421272848475</c:v>
                </c:pt>
                <c:pt idx="37">
                  <c:v>249.9076676355476</c:v>
                </c:pt>
                <c:pt idx="38">
                  <c:v>268.21062796009522</c:v>
                </c:pt>
                <c:pt idx="39">
                  <c:v>286.48546717612544</c:v>
                </c:pt>
                <c:pt idx="40">
                  <c:v>304.73423115701877</c:v>
                </c:pt>
                <c:pt idx="41">
                  <c:v>322.95870071836066</c:v>
                </c:pt>
                <c:pt idx="42">
                  <c:v>341.16043929184929</c:v>
                </c:pt>
                <c:pt idx="43">
                  <c:v>359.34082988600289</c:v>
                </c:pt>
                <c:pt idx="44">
                  <c:v>377.50110417225511</c:v>
                </c:pt>
                <c:pt idx="45">
                  <c:v>395.64236567985591</c:v>
                </c:pt>
                <c:pt idx="46">
                  <c:v>322.52505476163668</c:v>
                </c:pt>
                <c:pt idx="47">
                  <c:v>340.29418424269664</c:v>
                </c:pt>
                <c:pt idx="48">
                  <c:v>358.0429114873923</c:v>
                </c:pt>
                <c:pt idx="49">
                  <c:v>375.77238986983883</c:v>
                </c:pt>
                <c:pt idx="50">
                  <c:v>393.4836550724026</c:v>
                </c:pt>
                <c:pt idx="51">
                  <c:v>410.74628007457642</c:v>
                </c:pt>
                <c:pt idx="52">
                  <c:v>427.99324784652981</c:v>
                </c:pt>
                <c:pt idx="53">
                  <c:v>445.22527789057045</c:v>
                </c:pt>
                <c:pt idx="54">
                  <c:v>462.44302949249573</c:v>
                </c:pt>
                <c:pt idx="55">
                  <c:v>479.64710886178597</c:v>
                </c:pt>
                <c:pt idx="56">
                  <c:v>405.56917103469476</c:v>
                </c:pt>
                <c:pt idx="57">
                  <c:v>421.95854377334393</c:v>
                </c:pt>
                <c:pt idx="58">
                  <c:v>438.33421494585309</c:v>
                </c:pt>
                <c:pt idx="59">
                  <c:v>454.69676831549214</c:v>
                </c:pt>
                <c:pt idx="60">
                  <c:v>471.04674221919896</c:v>
                </c:pt>
                <c:pt idx="61">
                  <c:v>486.52503910078349</c:v>
                </c:pt>
                <c:pt idx="62">
                  <c:v>501.99288641186791</c:v>
                </c:pt>
                <c:pt idx="63">
                  <c:v>517.45065135367156</c:v>
                </c:pt>
                <c:pt idx="64">
                  <c:v>532.8986774086593</c:v>
                </c:pt>
                <c:pt idx="65">
                  <c:v>548.33728653000776</c:v>
                </c:pt>
                <c:pt idx="66">
                  <c:v>472.76708100439259</c:v>
                </c:pt>
                <c:pt idx="67">
                  <c:v>487.38463458913111</c:v>
                </c:pt>
                <c:pt idx="68">
                  <c:v>501.99288641186786</c:v>
                </c:pt>
                <c:pt idx="69">
                  <c:v>516.59214520035414</c:v>
                </c:pt>
                <c:pt idx="70">
                  <c:v>531.18270081556818</c:v>
                </c:pt>
                <c:pt idx="71">
                  <c:v>544.47850023404101</c:v>
                </c:pt>
                <c:pt idx="72">
                  <c:v>557.76748661196802</c:v>
                </c:pt>
                <c:pt idx="73">
                  <c:v>571.04984509200233</c:v>
                </c:pt>
                <c:pt idx="74">
                  <c:v>584.32575150478135</c:v>
                </c:pt>
                <c:pt idx="75">
                  <c:v>597.59537304263756</c:v>
                </c:pt>
                <c:pt idx="76">
                  <c:v>520.45518659727634</c:v>
                </c:pt>
                <c:pt idx="77">
                  <c:v>533.32765337796286</c:v>
                </c:pt>
                <c:pt idx="78">
                  <c:v>546.193586977059</c:v>
                </c:pt>
                <c:pt idx="79">
                  <c:v>559.05316293312762</c:v>
                </c:pt>
                <c:pt idx="80">
                  <c:v>571.90654805285897</c:v>
                </c:pt>
                <c:pt idx="81">
                  <c:v>579.40156050484518</c:v>
                </c:pt>
                <c:pt idx="82">
                  <c:v>586.89455079472907</c:v>
                </c:pt>
                <c:pt idx="83">
                  <c:v>594.38554838462005</c:v>
                </c:pt>
                <c:pt idx="84">
                  <c:v>601.87458193334135</c:v>
                </c:pt>
                <c:pt idx="85">
                  <c:v>609.36167932827152</c:v>
                </c:pt>
                <c:pt idx="86">
                  <c:v>616.84686771553959</c:v>
                </c:pt>
                <c:pt idx="87">
                  <c:v>624.33017352867716</c:v>
                </c:pt>
                <c:pt idx="88">
                  <c:v>631.81162251582634</c:v>
                </c:pt>
                <c:pt idx="89">
                  <c:v>639.29123976559174</c:v>
                </c:pt>
                <c:pt idx="90">
                  <c:v>646.76904973162027</c:v>
                </c:pt>
                <c:pt idx="91">
                  <c:v>567.40855737534059</c:v>
                </c:pt>
                <c:pt idx="92">
                  <c:v>577.90272074471352</c:v>
                </c:pt>
                <c:pt idx="93">
                  <c:v>588.39290880026363</c:v>
                </c:pt>
                <c:pt idx="94">
                  <c:v>598.87920239707944</c:v>
                </c:pt>
                <c:pt idx="95">
                  <c:v>609.36167932827118</c:v>
                </c:pt>
                <c:pt idx="96">
                  <c:v>619.84041449272536</c:v>
                </c:pt>
                <c:pt idx="97">
                  <c:v>630.31548005092657</c:v>
                </c:pt>
                <c:pt idx="98">
                  <c:v>640.78694556988705</c:v>
                </c:pt>
                <c:pt idx="99">
                  <c:v>651.25487815811289</c:v>
                </c:pt>
                <c:pt idx="100">
                  <c:v>661.7193425914445</c:v>
                </c:pt>
                <c:pt idx="101">
                  <c:v>581.32852138014925</c:v>
                </c:pt>
                <c:pt idx="102">
                  <c:v>590.74731089993452</c:v>
                </c:pt>
                <c:pt idx="103">
                  <c:v>600.16297452894094</c:v>
                </c:pt>
                <c:pt idx="104">
                  <c:v>609.57556821855678</c:v>
                </c:pt>
                <c:pt idx="105">
                  <c:v>618.98514605149091</c:v>
                </c:pt>
                <c:pt idx="106">
                  <c:v>628.39176033224715</c:v>
                </c:pt>
                <c:pt idx="107">
                  <c:v>637.79546167190199</c:v>
                </c:pt>
                <c:pt idx="108">
                  <c:v>647.19629906762418</c:v>
                </c:pt>
                <c:pt idx="109">
                  <c:v>656.59431997733475</c:v>
                </c:pt>
                <c:pt idx="110">
                  <c:v>665.98957038987055</c:v>
                </c:pt>
                <c:pt idx="111">
                  <c:v>590.53328243145143</c:v>
                </c:pt>
                <c:pt idx="112">
                  <c:v>598.45126564391683</c:v>
                </c:pt>
                <c:pt idx="113">
                  <c:v>606.36707095513782</c:v>
                </c:pt>
                <c:pt idx="114">
                  <c:v>614.28073080742081</c:v>
                </c:pt>
                <c:pt idx="115">
                  <c:v>622.19227673896796</c:v>
                </c:pt>
                <c:pt idx="116">
                  <c:v>630.10173942049653</c:v>
                </c:pt>
                <c:pt idx="117">
                  <c:v>638.00914868992356</c:v>
                </c:pt>
                <c:pt idx="118">
                  <c:v>645.91453358524393</c:v>
                </c:pt>
                <c:pt idx="119">
                  <c:v>653.81792237571278</c:v>
                </c:pt>
                <c:pt idx="120">
                  <c:v>661.71934259144393</c:v>
                </c:pt>
                <c:pt idx="121">
                  <c:v>593.74354023634237</c:v>
                </c:pt>
                <c:pt idx="122">
                  <c:v>600.59088588094198</c:v>
                </c:pt>
                <c:pt idx="123">
                  <c:v>607.43660911597374</c:v>
                </c:pt>
                <c:pt idx="124">
                  <c:v>614.28073080742058</c:v>
                </c:pt>
                <c:pt idx="125">
                  <c:v>621.12327131831023</c:v>
                </c:pt>
                <c:pt idx="126">
                  <c:v>627.96425052636539</c:v>
                </c:pt>
                <c:pt idx="127">
                  <c:v>634.80368784084669</c:v>
                </c:pt>
                <c:pt idx="128">
                  <c:v>641.64160221862971</c:v>
                </c:pt>
                <c:pt idx="129">
                  <c:v>648.47801217956339</c:v>
                </c:pt>
                <c:pt idx="130">
                  <c:v>655.31293582114449</c:v>
                </c:pt>
                <c:pt idx="131">
                  <c:v>594.81354579947026</c:v>
                </c:pt>
                <c:pt idx="132">
                  <c:v>600.59088588094176</c:v>
                </c:pt>
                <c:pt idx="133">
                  <c:v>606.36707095513714</c:v>
                </c:pt>
                <c:pt idx="134">
                  <c:v>612.14211357944555</c:v>
                </c:pt>
                <c:pt idx="135">
                  <c:v>617.91602605493108</c:v>
                </c:pt>
                <c:pt idx="136">
                  <c:v>623.68882043396513</c:v>
                </c:pt>
                <c:pt idx="137">
                  <c:v>629.46050852755945</c:v>
                </c:pt>
                <c:pt idx="138">
                  <c:v>635.23110191241688</c:v>
                </c:pt>
                <c:pt idx="139">
                  <c:v>641.00061193771296</c:v>
                </c:pt>
                <c:pt idx="140">
                  <c:v>646.76904973161857</c:v>
                </c:pt>
                <c:pt idx="141">
                  <c:v>594.17154727265211</c:v>
                </c:pt>
                <c:pt idx="142">
                  <c:v>599.3071327921806</c:v>
                </c:pt>
                <c:pt idx="143">
                  <c:v>604.44180348405018</c:v>
                </c:pt>
                <c:pt idx="144">
                  <c:v>609.57556821855553</c:v>
                </c:pt>
                <c:pt idx="145">
                  <c:v>614.70843570434556</c:v>
                </c:pt>
                <c:pt idx="146">
                  <c:v>619.84041449272388</c:v>
                </c:pt>
                <c:pt idx="147">
                  <c:v>624.97151298179949</c:v>
                </c:pt>
                <c:pt idx="148">
                  <c:v>630.10173942049551</c:v>
                </c:pt>
                <c:pt idx="149">
                  <c:v>635.23110191241653</c:v>
                </c:pt>
                <c:pt idx="150">
                  <c:v>640.35960841958956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3282816"/>
        <c:axId val="933286080"/>
      </c:scatterChart>
      <c:valAx>
        <c:axId val="93328281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933286080"/>
        <c:crosses val="autoZero"/>
        <c:crossBetween val="midCat"/>
      </c:valAx>
      <c:valAx>
        <c:axId val="933286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9332828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57954272"/>
        <c:axId val="857951552"/>
      </c:scatterChart>
      <c:valAx>
        <c:axId val="857954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57951552"/>
        <c:crosses val="autoZero"/>
        <c:crossBetween val="midCat"/>
      </c:valAx>
      <c:valAx>
        <c:axId val="857951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57954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3.3043568983948219</c:v>
                </c:pt>
                <c:pt idx="2">
                  <c:v>4.1131513120146055</c:v>
                </c:pt>
                <c:pt idx="3">
                  <c:v>5.1206664109263427</c:v>
                </c:pt>
                <c:pt idx="4">
                  <c:v>6.375902542534404</c:v>
                </c:pt>
                <c:pt idx="5">
                  <c:v>7.9399827670654304</c:v>
                </c:pt>
                <c:pt idx="6">
                  <c:v>9.8891612665776254</c:v>
                </c:pt>
                <c:pt idx="7">
                  <c:v>12.318580445108942</c:v>
                </c:pt>
                <c:pt idx="8">
                  <c:v>15.346963526425172</c:v>
                </c:pt>
                <c:pt idx="9">
                  <c:v>19.122476175830567</c:v>
                </c:pt>
                <c:pt idx="10">
                  <c:v>23.830049102016243</c:v>
                </c:pt>
                <c:pt idx="11">
                  <c:v>29.700526674358532</c:v>
                </c:pt>
                <c:pt idx="12">
                  <c:v>37.022098000505643</c:v>
                </c:pt>
                <c:pt idx="13">
                  <c:v>46.154581254564704</c:v>
                </c:pt>
                <c:pt idx="14">
                  <c:v>57.547275093132022</c:v>
                </c:pt>
                <c:pt idx="15">
                  <c:v>71.761269961795847</c:v>
                </c:pt>
                <c:pt idx="16">
                  <c:v>85.095907314816401</c:v>
                </c:pt>
                <c:pt idx="17">
                  <c:v>98.377811836935564</c:v>
                </c:pt>
                <c:pt idx="18">
                  <c:v>111.61512570313762</c:v>
                </c:pt>
                <c:pt idx="19">
                  <c:v>124.81389250757191</c:v>
                </c:pt>
                <c:pt idx="20">
                  <c:v>137.97876857105169</c:v>
                </c:pt>
                <c:pt idx="21">
                  <c:v>152.8626230482474</c:v>
                </c:pt>
                <c:pt idx="22">
                  <c:v>167.71198305973977</c:v>
                </c:pt>
                <c:pt idx="23">
                  <c:v>182.53033488053475</c:v>
                </c:pt>
                <c:pt idx="24">
                  <c:v>197.32055161106871</c:v>
                </c:pt>
                <c:pt idx="25">
                  <c:v>212.08503993201154</c:v>
                </c:pt>
                <c:pt idx="26">
                  <c:v>227.40345702308142</c:v>
                </c:pt>
                <c:pt idx="27">
                  <c:v>242.69825965817117</c:v>
                </c:pt>
                <c:pt idx="28">
                  <c:v>257.97114577920252</c:v>
                </c:pt>
                <c:pt idx="29">
                  <c:v>273.22359576358815</c:v>
                </c:pt>
                <c:pt idx="30">
                  <c:v>288.45691115019287</c:v>
                </c:pt>
                <c:pt idx="31">
                  <c:v>240.39105366248293</c:v>
                </c:pt>
                <c:pt idx="32">
                  <c:v>255.66714821510956</c:v>
                </c:pt>
                <c:pt idx="33">
                  <c:v>270.92259547869656</c:v>
                </c:pt>
                <c:pt idx="34">
                  <c:v>286.15872187513997</c:v>
                </c:pt>
                <c:pt idx="35">
                  <c:v>301.37670100579004</c:v>
                </c:pt>
                <c:pt idx="36">
                  <c:v>316.00425931230865</c:v>
                </c:pt>
                <c:pt idx="37">
                  <c:v>330.61681894119141</c:v>
                </c:pt>
                <c:pt idx="38">
                  <c:v>345.21513616565261</c:v>
                </c:pt>
                <c:pt idx="39">
                  <c:v>359.79989807187752</c:v>
                </c:pt>
                <c:pt idx="40">
                  <c:v>374.3717314954622</c:v>
                </c:pt>
                <c:pt idx="41">
                  <c:v>338.34706882980078</c:v>
                </c:pt>
                <c:pt idx="42">
                  <c:v>352.36618279610326</c:v>
                </c:pt>
                <c:pt idx="43">
                  <c:v>366.37307423131756</c:v>
                </c:pt>
                <c:pt idx="44">
                  <c:v>380.3682762367792</c:v>
                </c:pt>
                <c:pt idx="45">
                  <c:v>394.35227948231795</c:v>
                </c:pt>
                <c:pt idx="46">
                  <c:v>407.75540484100776</c:v>
                </c:pt>
                <c:pt idx="47">
                  <c:v>421.14901471610159</c:v>
                </c:pt>
                <c:pt idx="48">
                  <c:v>434.53345434246239</c:v>
                </c:pt>
                <c:pt idx="49">
                  <c:v>447.90904595354408</c:v>
                </c:pt>
                <c:pt idx="50">
                  <c:v>461.27609096941552</c:v>
                </c:pt>
                <c:pt idx="51">
                  <c:v>419.72460434236359</c:v>
                </c:pt>
                <c:pt idx="52">
                  <c:v>432.25588530441445</c:v>
                </c:pt>
                <c:pt idx="53">
                  <c:v>444.77936519493966</c:v>
                </c:pt>
                <c:pt idx="54">
                  <c:v>457.2952946141495</c:v>
                </c:pt>
                <c:pt idx="55">
                  <c:v>469.80390932615688</c:v>
                </c:pt>
                <c:pt idx="56">
                  <c:v>481.45327595412624</c:v>
                </c:pt>
                <c:pt idx="57">
                  <c:v>493.09665437546749</c:v>
                </c:pt>
                <c:pt idx="58">
                  <c:v>504.73420591215864</c:v>
                </c:pt>
                <c:pt idx="59">
                  <c:v>516.3660838407244</c:v>
                </c:pt>
                <c:pt idx="60">
                  <c:v>527.99243396951181</c:v>
                </c:pt>
                <c:pt idx="61">
                  <c:v>485.14571936914029</c:v>
                </c:pt>
                <c:pt idx="62">
                  <c:v>496.21948974271317</c:v>
                </c:pt>
                <c:pt idx="63">
                  <c:v>507.28802580021755</c:v>
                </c:pt>
                <c:pt idx="64">
                  <c:v>518.35145784639667</c:v>
                </c:pt>
                <c:pt idx="65">
                  <c:v>529.40991017019905</c:v>
                </c:pt>
                <c:pt idx="66">
                  <c:v>540.18013580779473</c:v>
                </c:pt>
                <c:pt idx="67">
                  <c:v>550.94585148491763</c:v>
                </c:pt>
                <c:pt idx="68">
                  <c:v>561.70715774350776</c:v>
                </c:pt>
                <c:pt idx="69">
                  <c:v>572.4641509593182</c:v>
                </c:pt>
                <c:pt idx="70">
                  <c:v>583.21692359125188</c:v>
                </c:pt>
                <c:pt idx="71">
                  <c:v>542.16362979037569</c:v>
                </c:pt>
                <c:pt idx="72">
                  <c:v>552.07882650510749</c:v>
                </c:pt>
                <c:pt idx="73">
                  <c:v>561.99029135597004</c:v>
                </c:pt>
                <c:pt idx="74">
                  <c:v>571.89809943666535</c:v>
                </c:pt>
                <c:pt idx="75">
                  <c:v>581.80232302690615</c:v>
                </c:pt>
                <c:pt idx="76">
                  <c:v>591.42020251323834</c:v>
                </c:pt>
                <c:pt idx="77">
                  <c:v>601.03482666056914</c:v>
                </c:pt>
                <c:pt idx="78">
                  <c:v>610.64625488100796</c:v>
                </c:pt>
                <c:pt idx="79">
                  <c:v>620.25454456407806</c:v>
                </c:pt>
                <c:pt idx="80">
                  <c:v>629.85975117650617</c:v>
                </c:pt>
                <c:pt idx="81">
                  <c:v>589.15746715790237</c:v>
                </c:pt>
                <c:pt idx="82">
                  <c:v>597.92456551950988</c:v>
                </c:pt>
                <c:pt idx="83">
                  <c:v>606.68899129254567</c:v>
                </c:pt>
                <c:pt idx="84">
                  <c:v>615.45078852910217</c:v>
                </c:pt>
                <c:pt idx="85">
                  <c:v>624.20999992474549</c:v>
                </c:pt>
                <c:pt idx="86">
                  <c:v>632.68423305275508</c:v>
                </c:pt>
                <c:pt idx="87">
                  <c:v>641.15611967114364</c:v>
                </c:pt>
                <c:pt idx="88">
                  <c:v>649.62569515483597</c:v>
                </c:pt>
                <c:pt idx="89">
                  <c:v>658.09299388120962</c:v>
                </c:pt>
                <c:pt idx="90">
                  <c:v>666.5580492709729</c:v>
                </c:pt>
                <c:pt idx="91">
                  <c:v>627.59997706387446</c:v>
                </c:pt>
                <c:pt idx="92">
                  <c:v>635.22604379249128</c:v>
                </c:pt>
                <c:pt idx="93">
                  <c:v>642.8502185444828</c:v>
                </c:pt>
                <c:pt idx="94">
                  <c:v>650.47252692274378</c:v>
                </c:pt>
                <c:pt idx="95">
                  <c:v>658.09299388120962</c:v>
                </c:pt>
                <c:pt idx="96">
                  <c:v>665.71164374879129</c:v>
                </c:pt>
                <c:pt idx="97">
                  <c:v>673.32850025215942</c:v>
                </c:pt>
                <c:pt idx="98">
                  <c:v>680.943586537442</c:v>
                </c:pt>
                <c:pt idx="99">
                  <c:v>688.55692519090269</c:v>
                </c:pt>
                <c:pt idx="100">
                  <c:v>696.16853825865599</c:v>
                </c:pt>
                <c:pt idx="101">
                  <c:v>658.09299388120962</c:v>
                </c:pt>
                <c:pt idx="102">
                  <c:v>665.14736110281672</c:v>
                </c:pt>
                <c:pt idx="103">
                  <c:v>672.20018932008873</c:v>
                </c:pt>
                <c:pt idx="104">
                  <c:v>679.25149695725497</c:v>
                </c:pt>
                <c:pt idx="105">
                  <c:v>686.30130202483861</c:v>
                </c:pt>
                <c:pt idx="106">
                  <c:v>693.34962213319204</c:v>
                </c:pt>
                <c:pt idx="107">
                  <c:v>700.39647450545351</c:v>
                </c:pt>
                <c:pt idx="108">
                  <c:v>707.44187598995484</c:v>
                </c:pt>
                <c:pt idx="109">
                  <c:v>714.48584307211024</c:v>
                </c:pt>
                <c:pt idx="110">
                  <c:v>721.52839188581265</c:v>
                </c:pt>
                <c:pt idx="111">
                  <c:v>685.59638862873953</c:v>
                </c:pt>
                <c:pt idx="112">
                  <c:v>691.94007607607489</c:v>
                </c:pt>
                <c:pt idx="113">
                  <c:v>698.28257189646683</c:v>
                </c:pt>
                <c:pt idx="114">
                  <c:v>704.62388843962435</c:v>
                </c:pt>
                <c:pt idx="115">
                  <c:v>710.96403781484867</c:v>
                </c:pt>
                <c:pt idx="116">
                  <c:v>717.30303189786616</c:v>
                </c:pt>
                <c:pt idx="117">
                  <c:v>723.64088233740028</c:v>
                </c:pt>
                <c:pt idx="118">
                  <c:v>729.97760056150412</c:v>
                </c:pt>
                <c:pt idx="119">
                  <c:v>736.31319778366208</c:v>
                </c:pt>
                <c:pt idx="120">
                  <c:v>742.64768500866955</c:v>
                </c:pt>
                <c:pt idx="121">
                  <c:v>708.99167125142458</c:v>
                </c:pt>
                <c:pt idx="122">
                  <c:v>714.76757214919553</c:v>
                </c:pt>
                <c:pt idx="123">
                  <c:v>720.54251983862753</c:v>
                </c:pt>
                <c:pt idx="124">
                  <c:v>726.31652303665248</c:v>
                </c:pt>
                <c:pt idx="125">
                  <c:v>732.08959031030997</c:v>
                </c:pt>
                <c:pt idx="126">
                  <c:v>737.86173008051219</c:v>
                </c:pt>
                <c:pt idx="127">
                  <c:v>743.63295062568523</c:v>
                </c:pt>
                <c:pt idx="128">
                  <c:v>749.40326008529053</c:v>
                </c:pt>
                <c:pt idx="129">
                  <c:v>755.17266646323208</c:v>
                </c:pt>
                <c:pt idx="130">
                  <c:v>760.94117763115719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3282272"/>
        <c:axId val="933286624"/>
      </c:scatterChart>
      <c:valAx>
        <c:axId val="933282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933286624"/>
        <c:crosses val="autoZero"/>
        <c:crossBetween val="midCat"/>
      </c:valAx>
      <c:valAx>
        <c:axId val="933286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933282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4.1554022559585615</c:v>
                </c:pt>
                <c:pt idx="2">
                  <c:v>7.4810756129266176</c:v>
                </c:pt>
                <c:pt idx="3">
                  <c:v>13.482250649907614</c:v>
                </c:pt>
                <c:pt idx="4">
                  <c:v>24.32172942966254</c:v>
                </c:pt>
                <c:pt idx="5">
                  <c:v>43.918360080877228</c:v>
                </c:pt>
                <c:pt idx="6">
                  <c:v>61.3063458573669</c:v>
                </c:pt>
                <c:pt idx="7">
                  <c:v>78.564849319849884</c:v>
                </c:pt>
                <c:pt idx="8">
                  <c:v>95.726630779970719</c:v>
                </c:pt>
                <c:pt idx="9">
                  <c:v>112.81157172284345</c:v>
                </c:pt>
                <c:pt idx="10">
                  <c:v>129.83298609190561</c:v>
                </c:pt>
                <c:pt idx="11">
                  <c:v>112.81157172284345</c:v>
                </c:pt>
                <c:pt idx="12">
                  <c:v>129.43778416851515</c:v>
                </c:pt>
                <c:pt idx="13">
                  <c:v>146.01229748017053</c:v>
                </c:pt>
                <c:pt idx="14">
                  <c:v>162.54181354343532</c:v>
                </c:pt>
                <c:pt idx="15">
                  <c:v>179.03155609796647</c:v>
                </c:pt>
                <c:pt idx="16">
                  <c:v>168.43533711884822</c:v>
                </c:pt>
                <c:pt idx="17">
                  <c:v>183.34426585713672</c:v>
                </c:pt>
                <c:pt idx="18">
                  <c:v>198.2248532935146</c:v>
                </c:pt>
                <c:pt idx="19">
                  <c:v>213.07952740360665</c:v>
                </c:pt>
                <c:pt idx="20">
                  <c:v>227.91034965501251</c:v>
                </c:pt>
                <c:pt idx="21">
                  <c:v>220.88807818771133</c:v>
                </c:pt>
                <c:pt idx="22">
                  <c:v>233.36868457739772</c:v>
                </c:pt>
                <c:pt idx="23">
                  <c:v>245.83405537221128</c:v>
                </c:pt>
                <c:pt idx="24">
                  <c:v>258.28507230454863</c:v>
                </c:pt>
                <c:pt idx="25">
                  <c:v>270.72252510244931</c:v>
                </c:pt>
                <c:pt idx="26">
                  <c:v>265.28276128060071</c:v>
                </c:pt>
                <c:pt idx="27">
                  <c:v>275.38322031086642</c:v>
                </c:pt>
                <c:pt idx="28">
                  <c:v>285.47535981120433</c:v>
                </c:pt>
                <c:pt idx="29">
                  <c:v>295.55951555452697</c:v>
                </c:pt>
                <c:pt idx="30">
                  <c:v>305.63599851497548</c:v>
                </c:pt>
                <c:pt idx="31">
                  <c:v>302.14883502279832</c:v>
                </c:pt>
                <c:pt idx="32">
                  <c:v>310.28417578084361</c:v>
                </c:pt>
                <c:pt idx="33">
                  <c:v>318.41478230164341</c:v>
                </c:pt>
                <c:pt idx="34">
                  <c:v>326.54079262774405</c:v>
                </c:pt>
                <c:pt idx="35">
                  <c:v>334.66233736464375</c:v>
                </c:pt>
                <c:pt idx="36">
                  <c:v>332.34234434510194</c:v>
                </c:pt>
                <c:pt idx="37">
                  <c:v>339.68777684695164</c:v>
                </c:pt>
                <c:pt idx="38">
                  <c:v>347.02971529409774</c:v>
                </c:pt>
                <c:pt idx="39">
                  <c:v>354.36824410252262</c:v>
                </c:pt>
                <c:pt idx="40">
                  <c:v>361.70344390352261</c:v>
                </c:pt>
                <c:pt idx="41">
                  <c:v>361.31746248867267</c:v>
                </c:pt>
                <c:pt idx="42">
                  <c:v>368.64957965965004</c:v>
                </c:pt>
                <c:pt idx="43">
                  <c:v>375.97851488636002</c:v>
                </c:pt>
                <c:pt idx="44">
                  <c:v>383.30433899319883</c:v>
                </c:pt>
                <c:pt idx="45">
                  <c:v>390.62711987431993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3281184"/>
        <c:axId val="1721584736"/>
      </c:scatterChart>
      <c:valAx>
        <c:axId val="93328118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584736"/>
        <c:crosses val="autoZero"/>
        <c:crossBetween val="midCat"/>
      </c:valAx>
      <c:valAx>
        <c:axId val="17215847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9332811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2.7663252338256172</c:v>
                </c:pt>
                <c:pt idx="2">
                  <c:v>3.3122877098209038</c:v>
                </c:pt>
                <c:pt idx="3">
                  <c:v>3.966401906447405</c:v>
                </c:pt>
                <c:pt idx="4">
                  <c:v>4.7501668593059909</c:v>
                </c:pt>
                <c:pt idx="5">
                  <c:v>5.6893692517736758</c:v>
                </c:pt>
                <c:pt idx="6">
                  <c:v>6.8149411073641248</c:v>
                </c:pt>
                <c:pt idx="7">
                  <c:v>8.1639895318585136</c:v>
                </c:pt>
                <c:pt idx="8">
                  <c:v>9.7810331060211926</c:v>
                </c:pt>
                <c:pt idx="9">
                  <c:v>11.719486504501022</c:v>
                </c:pt>
                <c:pt idx="10">
                  <c:v>14.043443300253207</c:v>
                </c:pt>
                <c:pt idx="11">
                  <c:v>16.829816991658799</c:v>
                </c:pt>
                <c:pt idx="12">
                  <c:v>20.170912404444739</c:v>
                </c:pt>
                <c:pt idx="13">
                  <c:v>24.177514185044988</c:v>
                </c:pt>
                <c:pt idx="14">
                  <c:v>28.982596612402116</c:v>
                </c:pt>
                <c:pt idx="15">
                  <c:v>34.745780008276633</c:v>
                </c:pt>
                <c:pt idx="16">
                  <c:v>41.658684339935689</c:v>
                </c:pt>
                <c:pt idx="17">
                  <c:v>49.951361047417038</c:v>
                </c:pt>
                <c:pt idx="18">
                  <c:v>59.900020729580547</c:v>
                </c:pt>
                <c:pt idx="19">
                  <c:v>71.836318339091292</c:v>
                </c:pt>
                <c:pt idx="20">
                  <c:v>86.158510470515978</c:v>
                </c:pt>
                <c:pt idx="21">
                  <c:v>97.318927922969635</c:v>
                </c:pt>
                <c:pt idx="22">
                  <c:v>108.4475019129206</c:v>
                </c:pt>
                <c:pt idx="23">
                  <c:v>119.54796628555846</c:v>
                </c:pt>
                <c:pt idx="24">
                  <c:v>130.62330272297189</c:v>
                </c:pt>
                <c:pt idx="25">
                  <c:v>141.67594470663133</c:v>
                </c:pt>
                <c:pt idx="26">
                  <c:v>139.70382844505221</c:v>
                </c:pt>
                <c:pt idx="27">
                  <c:v>153.49516770691636</c:v>
                </c:pt>
                <c:pt idx="28">
                  <c:v>167.25702755094335</c:v>
                </c:pt>
                <c:pt idx="29">
                  <c:v>180.99217685858619</c:v>
                </c:pt>
                <c:pt idx="30">
                  <c:v>194.7029293179402</c:v>
                </c:pt>
                <c:pt idx="31">
                  <c:v>210.34498910896306</c:v>
                </c:pt>
                <c:pt idx="32">
                  <c:v>225.96022281826015</c:v>
                </c:pt>
                <c:pt idx="33">
                  <c:v>241.5507456503326</c:v>
                </c:pt>
                <c:pt idx="34">
                  <c:v>257.1183772918742</c:v>
                </c:pt>
                <c:pt idx="35">
                  <c:v>272.6646989766358</c:v>
                </c:pt>
                <c:pt idx="36">
                  <c:v>207.21879690654114</c:v>
                </c:pt>
                <c:pt idx="37">
                  <c:v>223.61956111075639</c:v>
                </c:pt>
                <c:pt idx="38">
                  <c:v>239.99275146392395</c:v>
                </c:pt>
                <c:pt idx="39">
                  <c:v>256.34051411178774</c:v>
                </c:pt>
                <c:pt idx="40">
                  <c:v>272.6646989766358</c:v>
                </c:pt>
                <c:pt idx="41">
                  <c:v>288.96691630985219</c:v>
                </c:pt>
                <c:pt idx="42">
                  <c:v>305.24857979967953</c:v>
                </c:pt>
                <c:pt idx="43">
                  <c:v>321.51093999187805</c:v>
                </c:pt>
                <c:pt idx="44">
                  <c:v>337.75511058999291</c:v>
                </c:pt>
                <c:pt idx="45">
                  <c:v>353.9820894286774</c:v>
                </c:pt>
                <c:pt idx="46">
                  <c:v>288.57901240448905</c:v>
                </c:pt>
                <c:pt idx="47">
                  <c:v>304.47370954373423</c:v>
                </c:pt>
                <c:pt idx="48">
                  <c:v>320.34995854628937</c:v>
                </c:pt>
                <c:pt idx="49">
                  <c:v>336.20880231759617</c:v>
                </c:pt>
                <c:pt idx="50">
                  <c:v>352.05117734371055</c:v>
                </c:pt>
                <c:pt idx="51">
                  <c:v>367.49209034996028</c:v>
                </c:pt>
                <c:pt idx="52">
                  <c:v>382.9188457551441</c:v>
                </c:pt>
                <c:pt idx="53">
                  <c:v>398.33209414857441</c:v>
                </c:pt>
                <c:pt idx="54">
                  <c:v>413.73243167051174</c:v>
                </c:pt>
                <c:pt idx="55">
                  <c:v>429.12040646848055</c:v>
                </c:pt>
                <c:pt idx="56">
                  <c:v>362.8613341480654</c:v>
                </c:pt>
                <c:pt idx="57">
                  <c:v>377.52104986809326</c:v>
                </c:pt>
                <c:pt idx="58">
                  <c:v>392.16837634017293</c:v>
                </c:pt>
                <c:pt idx="59">
                  <c:v>406.80384141548689</c:v>
                </c:pt>
                <c:pt idx="60">
                  <c:v>421.42793186976087</c:v>
                </c:pt>
                <c:pt idx="61">
                  <c:v>435.27224940464231</c:v>
                </c:pt>
                <c:pt idx="62">
                  <c:v>449.10711821530072</c:v>
                </c:pt>
                <c:pt idx="63">
                  <c:v>462.93287033289988</c:v>
                </c:pt>
                <c:pt idx="64">
                  <c:v>476.74981634160105</c:v>
                </c:pt>
                <c:pt idx="65">
                  <c:v>490.55824735832402</c:v>
                </c:pt>
                <c:pt idx="66">
                  <c:v>422.96666682108577</c:v>
                </c:pt>
                <c:pt idx="67">
                  <c:v>436.04109794385857</c:v>
                </c:pt>
                <c:pt idx="68">
                  <c:v>449.10711821530072</c:v>
                </c:pt>
                <c:pt idx="69">
                  <c:v>462.16500679362093</c:v>
                </c:pt>
                <c:pt idx="70">
                  <c:v>475.21502577729035</c:v>
                </c:pt>
                <c:pt idx="71">
                  <c:v>487.10692264565643</c:v>
                </c:pt>
                <c:pt idx="72">
                  <c:v>498.99265901764255</c:v>
                </c:pt>
                <c:pt idx="73">
                  <c:v>510.87240230317911</c:v>
                </c:pt>
                <c:pt idx="74">
                  <c:v>522.74631149207403</c:v>
                </c:pt>
                <c:pt idx="75">
                  <c:v>534.61453776319524</c:v>
                </c:pt>
                <c:pt idx="76">
                  <c:v>465.62017905920658</c:v>
                </c:pt>
                <c:pt idx="77">
                  <c:v>477.13349754486745</c:v>
                </c:pt>
                <c:pt idx="78">
                  <c:v>488.64090858857691</c:v>
                </c:pt>
                <c:pt idx="79">
                  <c:v>500.14257091604264</c:v>
                </c:pt>
                <c:pt idx="80">
                  <c:v>511.63863535742689</c:v>
                </c:pt>
                <c:pt idx="81">
                  <c:v>518.34214516637246</c:v>
                </c:pt>
                <c:pt idx="82">
                  <c:v>525.04382649327329</c:v>
                </c:pt>
                <c:pt idx="83">
                  <c:v>531.74370597839572</c:v>
                </c:pt>
                <c:pt idx="84">
                  <c:v>538.44180953565819</c:v>
                </c:pt>
                <c:pt idx="85">
                  <c:v>545.1381623814226</c:v>
                </c:pt>
                <c:pt idx="86">
                  <c:v>551.83278906179692</c:v>
                </c:pt>
                <c:pt idx="87">
                  <c:v>558.52571347854348</c:v>
                </c:pt>
                <c:pt idx="88">
                  <c:v>565.21695891368051</c:v>
                </c:pt>
                <c:pt idx="89">
                  <c:v>571.90654805285897</c:v>
                </c:pt>
                <c:pt idx="90">
                  <c:v>578.5945030075876</c:v>
                </c:pt>
                <c:pt idx="91">
                  <c:v>507.61564043595655</c:v>
                </c:pt>
                <c:pt idx="92">
                  <c:v>517.00159034875571</c:v>
                </c:pt>
                <c:pt idx="93">
                  <c:v>526.38394569812226</c:v>
                </c:pt>
                <c:pt idx="94">
                  <c:v>535.76277959494871</c:v>
                </c:pt>
                <c:pt idx="95">
                  <c:v>545.1381623814226</c:v>
                </c:pt>
                <c:pt idx="96">
                  <c:v>554.51016178271232</c:v>
                </c:pt>
                <c:pt idx="97">
                  <c:v>563.87884304786519</c:v>
                </c:pt>
                <c:pt idx="98">
                  <c:v>573.24426908085536</c:v>
                </c:pt>
                <c:pt idx="99">
                  <c:v>582.60650056262364</c:v>
                </c:pt>
                <c:pt idx="100">
                  <c:v>591.96559606486437</c:v>
                </c:pt>
                <c:pt idx="101">
                  <c:v>520.0656082099423</c:v>
                </c:pt>
                <c:pt idx="102">
                  <c:v>528.48970219589614</c:v>
                </c:pt>
                <c:pt idx="103">
                  <c:v>536.910969684826</c:v>
                </c:pt>
                <c:pt idx="104">
                  <c:v>545.3294612691692</c:v>
                </c:pt>
                <c:pt idx="105">
                  <c:v>553.74522585166244</c:v>
                </c:pt>
                <c:pt idx="106">
                  <c:v>562.15831072715275</c:v>
                </c:pt>
                <c:pt idx="107">
                  <c:v>570.56876165925269</c:v>
                </c:pt>
                <c:pt idx="108">
                  <c:v>578.97662295224723</c:v>
                </c:pt>
                <c:pt idx="109">
                  <c:v>587.38193751859819</c:v>
                </c:pt>
                <c:pt idx="110">
                  <c:v>595.78474694239208</c:v>
                </c:pt>
                <c:pt idx="111">
                  <c:v>528.29827709857045</c:v>
                </c:pt>
                <c:pt idx="112">
                  <c:v>535.38003807305199</c:v>
                </c:pt>
                <c:pt idx="113">
                  <c:v>542.45982974283925</c:v>
                </c:pt>
                <c:pt idx="114">
                  <c:v>549.53768144295634</c:v>
                </c:pt>
                <c:pt idx="115">
                  <c:v>556.61362169091728</c:v>
                </c:pt>
                <c:pt idx="116">
                  <c:v>563.68767821983772</c:v>
                </c:pt>
                <c:pt idx="117">
                  <c:v>570.7598780097984</c:v>
                </c:pt>
                <c:pt idx="118">
                  <c:v>577.83024731757246</c:v>
                </c:pt>
                <c:pt idx="119">
                  <c:v>584.89881170482261</c:v>
                </c:pt>
                <c:pt idx="120">
                  <c:v>591.9655960648638</c:v>
                </c:pt>
                <c:pt idx="121">
                  <c:v>531.16950054399865</c:v>
                </c:pt>
                <c:pt idx="122">
                  <c:v>537.29368823845118</c:v>
                </c:pt>
                <c:pt idx="123">
                  <c:v>543.41640891561485</c:v>
                </c:pt>
                <c:pt idx="124">
                  <c:v>549.53768144295623</c:v>
                </c:pt>
                <c:pt idx="125">
                  <c:v>555.65752423315814</c:v>
                </c:pt>
                <c:pt idx="126">
                  <c:v>561.77595526008145</c:v>
                </c:pt>
                <c:pt idx="127">
                  <c:v>567.89299207399256</c:v>
                </c:pt>
                <c:pt idx="128">
                  <c:v>574.008651816103</c:v>
                </c:pt>
                <c:pt idx="129">
                  <c:v>580.12295123245337</c:v>
                </c:pt>
                <c:pt idx="130">
                  <c:v>586.23590668718668</c:v>
                </c:pt>
                <c:pt idx="131">
                  <c:v>532.12650235188244</c:v>
                </c:pt>
                <c:pt idx="132">
                  <c:v>537.29368823845073</c:v>
                </c:pt>
                <c:pt idx="133">
                  <c:v>542.45982974283891</c:v>
                </c:pt>
                <c:pt idx="134">
                  <c:v>547.62493821970452</c:v>
                </c:pt>
                <c:pt idx="135">
                  <c:v>552.78902479193198</c:v>
                </c:pt>
                <c:pt idx="136">
                  <c:v>557.95210035753291</c:v>
                </c:pt>
                <c:pt idx="137">
                  <c:v>563.11417559627523</c:v>
                </c:pt>
                <c:pt idx="138">
                  <c:v>568.27526097606028</c:v>
                </c:pt>
                <c:pt idx="139">
                  <c:v>573.43536675905398</c:v>
                </c:pt>
                <c:pt idx="140">
                  <c:v>578.59450300758624</c:v>
                </c:pt>
                <c:pt idx="141">
                  <c:v>531.55230561741371</c:v>
                </c:pt>
                <c:pt idx="142">
                  <c:v>536.14551536775048</c:v>
                </c:pt>
                <c:pt idx="143">
                  <c:v>540.73789791143201</c:v>
                </c:pt>
                <c:pt idx="144">
                  <c:v>545.32946126916806</c:v>
                </c:pt>
                <c:pt idx="145">
                  <c:v>549.9202133155037</c:v>
                </c:pt>
                <c:pt idx="146">
                  <c:v>554.51016178271072</c:v>
                </c:pt>
                <c:pt idx="147">
                  <c:v>559.09931426453807</c:v>
                </c:pt>
                <c:pt idx="148">
                  <c:v>563.68767821983693</c:v>
                </c:pt>
                <c:pt idx="149">
                  <c:v>568.27526097606005</c:v>
                </c:pt>
                <c:pt idx="150">
                  <c:v>572.86206973264098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21586368"/>
        <c:axId val="1721584192"/>
      </c:scatterChart>
      <c:valAx>
        <c:axId val="17215863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584192"/>
        <c:crosses val="autoZero"/>
        <c:crossBetween val="midCat"/>
      </c:valAx>
      <c:valAx>
        <c:axId val="1721584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5863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21589088"/>
        <c:axId val="1721586912"/>
      </c:scatterChart>
      <c:valAx>
        <c:axId val="172158908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586912"/>
        <c:crosses val="autoZero"/>
        <c:crossBetween val="midCat"/>
      </c:valAx>
      <c:valAx>
        <c:axId val="1721586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5890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21588000"/>
        <c:axId val="1721588544"/>
      </c:scatterChart>
      <c:valAx>
        <c:axId val="17215880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588544"/>
        <c:crosses val="autoZero"/>
        <c:crossBetween val="midCat"/>
      </c:valAx>
      <c:valAx>
        <c:axId val="1721588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5880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37672480"/>
        <c:axId val="1937670304"/>
      </c:scatterChart>
      <c:valAx>
        <c:axId val="193767248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37670304"/>
        <c:crosses val="autoZero"/>
        <c:crossBetween val="midCat"/>
      </c:valAx>
      <c:valAx>
        <c:axId val="19376703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376724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57948288"/>
        <c:axId val="857949376"/>
      </c:scatterChart>
      <c:valAx>
        <c:axId val="85794828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57949376"/>
        <c:crosses val="autoZero"/>
        <c:crossBetween val="midCat"/>
      </c:valAx>
      <c:valAx>
        <c:axId val="857949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579482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57954816"/>
        <c:axId val="857953728"/>
      </c:scatterChart>
      <c:valAx>
        <c:axId val="85795481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57953728"/>
        <c:crosses val="autoZero"/>
        <c:crossBetween val="midCat"/>
      </c:valAx>
      <c:valAx>
        <c:axId val="8579537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579548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=""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=""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=""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=""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=""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=""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=""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=""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=""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91" t="s">
        <v>291</v>
      </c>
      <c r="C12" s="291"/>
      <c r="D12" s="291"/>
      <c r="E12" s="291"/>
      <c r="F12" s="291"/>
      <c r="G12" s="291"/>
      <c r="H12" s="291"/>
      <c r="I12" s="291"/>
      <c r="J12" s="291"/>
      <c r="K12" s="291"/>
      <c r="L12" s="291"/>
      <c r="M12" s="291"/>
    </row>
    <row r="13" spans="2:13" ht="15" customHeight="1" x14ac:dyDescent="0.3">
      <c r="B13" s="291"/>
      <c r="C13" s="291"/>
      <c r="D13" s="291"/>
      <c r="E13" s="291"/>
      <c r="F13" s="291"/>
      <c r="G13" s="291"/>
      <c r="H13" s="291"/>
      <c r="I13" s="291"/>
      <c r="J13" s="291"/>
      <c r="K13" s="291"/>
      <c r="L13" s="291"/>
      <c r="M13" s="291"/>
    </row>
    <row r="14" spans="2:13" ht="15" customHeight="1" x14ac:dyDescent="0.3">
      <c r="B14" s="291"/>
      <c r="C14" s="291"/>
      <c r="D14" s="291"/>
      <c r="E14" s="291"/>
      <c r="F14" s="291"/>
      <c r="G14" s="291"/>
      <c r="H14" s="291"/>
      <c r="I14" s="291"/>
      <c r="J14" s="291"/>
      <c r="K14" s="291"/>
      <c r="L14" s="291"/>
      <c r="M14" s="291"/>
    </row>
    <row r="15" spans="2:13" ht="18.75" customHeight="1" x14ac:dyDescent="0.3">
      <c r="B15" s="291"/>
      <c r="C15" s="291"/>
      <c r="D15" s="291"/>
      <c r="E15" s="291"/>
      <c r="F15" s="291"/>
      <c r="G15" s="291"/>
      <c r="H15" s="291"/>
      <c r="I15" s="291"/>
      <c r="J15" s="291"/>
      <c r="K15" s="291"/>
      <c r="L15" s="291"/>
      <c r="M15" s="291"/>
    </row>
    <row r="16" spans="2:13" ht="18.75" customHeight="1" x14ac:dyDescent="0.3">
      <c r="B16" s="291"/>
      <c r="C16" s="291"/>
      <c r="D16" s="291"/>
      <c r="E16" s="291"/>
      <c r="F16" s="291"/>
      <c r="G16" s="291"/>
      <c r="H16" s="291"/>
      <c r="I16" s="291"/>
      <c r="J16" s="291"/>
      <c r="K16" s="291"/>
      <c r="L16" s="291"/>
      <c r="M16" s="291"/>
    </row>
    <row r="18" spans="2:13" ht="12" customHeight="1" x14ac:dyDescent="0.3">
      <c r="B18" s="291" t="s">
        <v>292</v>
      </c>
      <c r="C18" s="291"/>
      <c r="D18" s="291"/>
      <c r="E18" s="291"/>
      <c r="F18" s="291"/>
      <c r="G18" s="291"/>
      <c r="H18" s="291"/>
      <c r="I18" s="291"/>
      <c r="J18" s="291"/>
      <c r="K18" s="291"/>
      <c r="L18" s="291"/>
      <c r="M18" s="291"/>
    </row>
    <row r="19" spans="2:13" ht="12" customHeight="1" x14ac:dyDescent="0.3">
      <c r="B19" s="291"/>
      <c r="C19" s="291"/>
      <c r="D19" s="291"/>
      <c r="E19" s="291"/>
      <c r="F19" s="291"/>
      <c r="G19" s="291"/>
      <c r="H19" s="291"/>
      <c r="I19" s="291"/>
      <c r="J19" s="291"/>
      <c r="K19" s="291"/>
      <c r="L19" s="291"/>
      <c r="M19" s="291"/>
    </row>
    <row r="20" spans="2:13" ht="12" customHeight="1" x14ac:dyDescent="0.3">
      <c r="B20" s="291"/>
      <c r="C20" s="291"/>
      <c r="D20" s="291"/>
      <c r="E20" s="291"/>
      <c r="F20" s="291"/>
      <c r="G20" s="291"/>
      <c r="H20" s="291"/>
      <c r="I20" s="291"/>
      <c r="J20" s="291"/>
      <c r="K20" s="291"/>
      <c r="L20" s="291"/>
      <c r="M20" s="291"/>
    </row>
    <row r="21" spans="2:13" ht="12" customHeight="1" x14ac:dyDescent="0.3">
      <c r="B21" s="291"/>
      <c r="C21" s="291"/>
      <c r="D21" s="291"/>
      <c r="E21" s="291"/>
      <c r="F21" s="291"/>
      <c r="G21" s="291"/>
      <c r="H21" s="291"/>
      <c r="I21" s="291"/>
      <c r="J21" s="291"/>
      <c r="K21" s="291"/>
      <c r="L21" s="291"/>
      <c r="M21" s="291"/>
    </row>
    <row r="22" spans="2:13" ht="12" customHeight="1" x14ac:dyDescent="0.3">
      <c r="B22" s="291"/>
      <c r="C22" s="291"/>
      <c r="D22" s="291"/>
      <c r="E22" s="291"/>
      <c r="F22" s="291"/>
      <c r="G22" s="291"/>
      <c r="H22" s="291"/>
      <c r="I22" s="291"/>
      <c r="J22" s="291"/>
      <c r="K22" s="291"/>
      <c r="L22" s="291"/>
      <c r="M22" s="291"/>
    </row>
    <row r="23" spans="2:13" ht="12" customHeight="1" x14ac:dyDescent="0.3">
      <c r="B23" s="291"/>
      <c r="C23" s="291"/>
      <c r="D23" s="291"/>
      <c r="E23" s="291"/>
      <c r="F23" s="291"/>
      <c r="G23" s="291"/>
      <c r="H23" s="291"/>
      <c r="I23" s="291"/>
      <c r="J23" s="291"/>
      <c r="K23" s="291"/>
      <c r="L23" s="291"/>
      <c r="M23" s="291"/>
    </row>
    <row r="24" spans="2:13" ht="12" customHeight="1" x14ac:dyDescent="0.3">
      <c r="B24" s="291"/>
      <c r="C24" s="291"/>
      <c r="D24" s="291"/>
      <c r="E24" s="291"/>
      <c r="F24" s="291"/>
      <c r="G24" s="291"/>
      <c r="H24" s="291"/>
      <c r="I24" s="291"/>
      <c r="J24" s="291"/>
      <c r="K24" s="291"/>
      <c r="L24" s="291"/>
      <c r="M24" s="291"/>
    </row>
    <row r="25" spans="2:13" ht="12" customHeight="1" x14ac:dyDescent="0.3">
      <c r="B25" s="291"/>
      <c r="C25" s="291"/>
      <c r="D25" s="291"/>
      <c r="E25" s="291"/>
      <c r="F25" s="291"/>
      <c r="G25" s="291"/>
      <c r="H25" s="291"/>
      <c r="I25" s="291"/>
      <c r="J25" s="291"/>
      <c r="K25" s="291"/>
      <c r="L25" s="291"/>
      <c r="M25" s="291"/>
    </row>
    <row r="26" spans="2:13" ht="12" customHeight="1" x14ac:dyDescent="0.3">
      <c r="B26" s="291"/>
      <c r="C26" s="291"/>
      <c r="D26" s="291"/>
      <c r="E26" s="291"/>
      <c r="F26" s="291"/>
      <c r="G26" s="291"/>
      <c r="H26" s="291"/>
      <c r="I26" s="291"/>
      <c r="J26" s="291"/>
      <c r="K26" s="291"/>
      <c r="L26" s="291"/>
      <c r="M26" s="291"/>
    </row>
    <row r="27" spans="2:13" ht="12" customHeight="1" x14ac:dyDescent="0.3">
      <c r="B27" s="291"/>
      <c r="C27" s="291"/>
      <c r="D27" s="291"/>
      <c r="E27" s="291"/>
      <c r="F27" s="291"/>
      <c r="G27" s="291"/>
      <c r="H27" s="291"/>
      <c r="I27" s="291"/>
      <c r="J27" s="291"/>
      <c r="K27" s="291"/>
      <c r="L27" s="291"/>
      <c r="M27" s="291"/>
    </row>
    <row r="28" spans="2:13" ht="12" customHeight="1" x14ac:dyDescent="0.3">
      <c r="B28" s="291"/>
      <c r="C28" s="291"/>
      <c r="D28" s="291"/>
      <c r="E28" s="291"/>
      <c r="F28" s="291"/>
      <c r="G28" s="291"/>
      <c r="H28" s="291"/>
      <c r="I28" s="291"/>
      <c r="J28" s="291"/>
      <c r="K28" s="291"/>
      <c r="L28" s="291"/>
      <c r="M28" s="291"/>
    </row>
    <row r="29" spans="2:13" ht="12" customHeight="1" x14ac:dyDescent="0.3">
      <c r="B29" s="291"/>
      <c r="C29" s="291"/>
      <c r="D29" s="291"/>
      <c r="E29" s="291"/>
      <c r="F29" s="291"/>
      <c r="G29" s="291"/>
      <c r="H29" s="291"/>
      <c r="I29" s="291"/>
      <c r="J29" s="291"/>
      <c r="K29" s="291"/>
      <c r="L29" s="291"/>
      <c r="M29" s="291"/>
    </row>
    <row r="30" spans="2:13" ht="12" customHeight="1" x14ac:dyDescent="0.3">
      <c r="B30" s="291"/>
      <c r="C30" s="291"/>
      <c r="D30" s="291"/>
      <c r="E30" s="291"/>
      <c r="F30" s="291"/>
      <c r="G30" s="291"/>
      <c r="H30" s="291"/>
      <c r="I30" s="291"/>
      <c r="J30" s="291"/>
      <c r="K30" s="291"/>
      <c r="L30" s="291"/>
      <c r="M30" s="291"/>
    </row>
    <row r="31" spans="2:13" ht="12" customHeight="1" x14ac:dyDescent="0.3">
      <c r="B31" s="291"/>
      <c r="C31" s="291"/>
      <c r="D31" s="291"/>
      <c r="E31" s="291"/>
      <c r="F31" s="291"/>
      <c r="G31" s="291"/>
      <c r="H31" s="291"/>
      <c r="I31" s="291"/>
      <c r="J31" s="291"/>
      <c r="K31" s="291"/>
      <c r="L31" s="291"/>
      <c r="M31" s="291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tabSelected="1" zoomScale="70" zoomScaleNormal="70" workbookViewId="0">
      <selection activeCell="C16" sqref="C16"/>
    </sheetView>
  </sheetViews>
  <sheetFormatPr baseColWidth="10" defaultColWidth="11.44140625" defaultRowHeight="14.4" x14ac:dyDescent="0.3"/>
  <cols>
    <col min="1" max="1" width="13.6640625" style="25" customWidth="1"/>
    <col min="2" max="2" width="36.109375" style="25" customWidth="1"/>
    <col min="3" max="3" width="14.88671875" style="25" bestFit="1" customWidth="1"/>
    <col min="4" max="4" width="16.44140625" style="25" customWidth="1"/>
    <col min="5" max="5" width="23.33203125" style="25" customWidth="1"/>
    <col min="6" max="6" width="28.88671875" style="25" bestFit="1" customWidth="1"/>
    <col min="7" max="8" width="14.6640625" style="25" customWidth="1"/>
    <col min="9" max="9" width="17" style="25" customWidth="1"/>
    <col min="10" max="10" width="13.88671875" style="25" customWidth="1"/>
    <col min="11" max="16384" width="11.44140625" style="25"/>
  </cols>
  <sheetData>
    <row r="1" spans="1:38" x14ac:dyDescent="0.3">
      <c r="A1" s="5"/>
      <c r="B1" s="5"/>
      <c r="C1" s="296" t="s">
        <v>190</v>
      </c>
      <c r="D1" s="296"/>
      <c r="E1" s="296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227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297" t="s">
        <v>192</v>
      </c>
      <c r="C3" s="298"/>
      <c r="D3" s="298"/>
      <c r="E3" s="298"/>
      <c r="F3" s="299"/>
      <c r="G3" s="95"/>
      <c r="I3" s="227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7"/>
      <c r="B4" s="97"/>
      <c r="C4" s="97"/>
      <c r="D4" s="97"/>
      <c r="E4" s="97"/>
      <c r="F4" s="97"/>
      <c r="G4" s="237"/>
      <c r="I4" s="227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303" t="s">
        <v>231</v>
      </c>
      <c r="B5" s="303"/>
      <c r="C5" s="26">
        <v>4.633</v>
      </c>
      <c r="D5" s="304" t="s">
        <v>229</v>
      </c>
      <c r="E5" s="305"/>
      <c r="F5" s="97"/>
      <c r="G5" s="237"/>
      <c r="H5" s="238"/>
      <c r="I5" s="238"/>
      <c r="J5" s="246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98"/>
      <c r="B6" s="98"/>
      <c r="C6" s="99"/>
      <c r="D6" s="92"/>
      <c r="E6" s="92"/>
      <c r="F6" s="29"/>
      <c r="G6" s="239"/>
      <c r="H6" s="240"/>
      <c r="I6" s="240"/>
      <c r="J6" s="247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5.8" x14ac:dyDescent="0.3">
      <c r="A7" s="301" t="s">
        <v>226</v>
      </c>
      <c r="B7" s="301"/>
      <c r="C7" s="97"/>
      <c r="D7" s="97"/>
      <c r="E7" s="5"/>
      <c r="F7" s="97"/>
      <c r="G7" s="237"/>
      <c r="H7" s="238"/>
      <c r="I7" s="238"/>
      <c r="J7" s="246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2"/>
      <c r="J8" s="246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 t="s">
        <v>12</v>
      </c>
      <c r="C9" s="35">
        <v>0.55000000000000004</v>
      </c>
      <c r="D9" s="36">
        <f t="shared" ref="D9:D18" si="0">C9*$C$5</f>
        <v>2.5481500000000001</v>
      </c>
      <c r="E9" s="37">
        <v>150</v>
      </c>
      <c r="F9" s="38" t="str">
        <f t="array" ref="F9">IF(E9="","",IF(INDEX(A:A,MAX(IF(ISNUMBER($A$36:$A$55),ROW($A$36:$A$55),"")))&lt;&gt;E9,"Corrigez : révolution incorrecte","OK"))</f>
        <v>OK</v>
      </c>
      <c r="G9" s="257" t="s">
        <v>306</v>
      </c>
      <c r="I9" s="253"/>
      <c r="J9" s="246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 t="s">
        <v>9</v>
      </c>
      <c r="C10" s="35">
        <v>0.17</v>
      </c>
      <c r="D10" s="36">
        <f t="shared" si="0"/>
        <v>0.78761000000000003</v>
      </c>
      <c r="E10" s="37">
        <v>130</v>
      </c>
      <c r="F10" s="38" t="str">
        <f t="array" ref="F10">IF(E10="","",IF(INDEX(A:A,MAX(IF(ISNUMBER($A$62:$A$81),ROW($A$62:$A$81),"")))&lt;&gt;E10,"Corrigez : révolution incorrecte","OK"))</f>
        <v>OK</v>
      </c>
      <c r="I10" s="253"/>
      <c r="J10" s="246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 t="s">
        <v>44</v>
      </c>
      <c r="C11" s="35">
        <v>0.15</v>
      </c>
      <c r="D11" s="36">
        <f t="shared" si="0"/>
        <v>0.69494999999999996</v>
      </c>
      <c r="E11" s="37">
        <v>45</v>
      </c>
      <c r="F11" s="38" t="str">
        <f t="array" ref="F11">IF(E11="","",IF(INDEX(A:A,MAX(IF(ISNUMBER($A$88:$A$107),ROW($A$88:$A$107),"")))&lt;&gt;E11,"Corrigez : révolution incorrecte","OK"))</f>
        <v>OK</v>
      </c>
      <c r="H11" s="230"/>
      <c r="I11" s="253"/>
      <c r="J11" s="246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 t="s">
        <v>14</v>
      </c>
      <c r="C12" s="35">
        <v>9.2999999999999999E-2</v>
      </c>
      <c r="D12" s="36">
        <f t="shared" si="0"/>
        <v>0.430869</v>
      </c>
      <c r="E12" s="37">
        <v>150</v>
      </c>
      <c r="F12" s="38" t="str">
        <f t="array" ref="F12">IF(E12="","",IF(INDEX(A:A,MAX(IF(ISNUMBER($A$114:$A$133),ROW($A$114:$A$133),"")))&lt;&gt;E12,"Corrigez : révolution incorrecte","OK"))</f>
        <v>OK</v>
      </c>
      <c r="H12" s="230"/>
      <c r="I12" s="253"/>
      <c r="J12" s="246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0"/>
      <c r="I13" s="253"/>
      <c r="J13" s="246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0"/>
      <c r="I14" s="253"/>
      <c r="J14" s="246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0"/>
      <c r="I15" s="253"/>
      <c r="J15" s="246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0"/>
      <c r="I16" s="253"/>
      <c r="J16" s="246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0"/>
      <c r="I17" s="253"/>
      <c r="J17" s="246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0"/>
      <c r="I18" s="253"/>
      <c r="J18" s="246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100"/>
      <c r="B19" s="39" t="s">
        <v>175</v>
      </c>
      <c r="C19" s="40">
        <f>SUM(C9:C18)</f>
        <v>0.96300000000000008</v>
      </c>
      <c r="D19" s="41">
        <f>SUM(D9:D18)</f>
        <v>4.4615790000000004</v>
      </c>
      <c r="E19" s="5"/>
      <c r="F19" s="101"/>
      <c r="G19" s="241"/>
      <c r="H19" s="242"/>
      <c r="I19" s="241"/>
      <c r="J19" s="246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100"/>
      <c r="B20" s="42" t="s">
        <v>230</v>
      </c>
      <c r="C20" s="43" t="str">
        <f>IF(C19&gt;100%,"Erreur : corrigez","OK")</f>
        <v>OK</v>
      </c>
      <c r="D20" s="248"/>
      <c r="F20" s="240"/>
      <c r="G20" s="240"/>
      <c r="H20" s="242"/>
      <c r="I20" s="241"/>
      <c r="J20" s="246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H21" s="243"/>
      <c r="I21" s="254"/>
      <c r="J21" s="246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300" t="s">
        <v>232</v>
      </c>
      <c r="B22" s="300"/>
      <c r="C22" s="99"/>
      <c r="H22" s="229"/>
      <c r="I22" s="247"/>
      <c r="J22" s="247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3">
      <c r="A23" s="5"/>
      <c r="B23" s="5"/>
      <c r="C23" s="5"/>
      <c r="H23" s="220"/>
      <c r="I23" s="246"/>
      <c r="J23" s="246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4"/>
      <c r="H24" s="230"/>
      <c r="I24" s="244"/>
      <c r="J24" s="24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5"/>
      <c r="H25" s="230"/>
      <c r="I25" s="245"/>
      <c r="J25" s="24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4" t="s">
        <v>222</v>
      </c>
      <c r="B26" s="45" t="s">
        <v>221</v>
      </c>
      <c r="C26" s="46">
        <v>0</v>
      </c>
      <c r="D26" s="47" t="s">
        <v>234</v>
      </c>
      <c r="E26" s="102"/>
      <c r="F26" s="102"/>
      <c r="G26" s="244"/>
      <c r="I26" s="244"/>
      <c r="J26" s="244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4"/>
      <c r="I27" s="244"/>
      <c r="J27" s="244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H28" s="246"/>
      <c r="I28" s="246"/>
      <c r="J28" s="246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H29" s="246"/>
      <c r="I29" s="246"/>
      <c r="J29" s="246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302" t="s">
        <v>227</v>
      </c>
      <c r="B30" s="302"/>
      <c r="D30" s="249"/>
      <c r="H30" s="247"/>
      <c r="I30" s="247"/>
      <c r="J30" s="247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3">
      <c r="A31" s="5"/>
      <c r="B31" s="5"/>
      <c r="H31" s="246"/>
      <c r="I31" s="246"/>
      <c r="J31" s="246"/>
      <c r="K31" s="249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9" t="s">
        <v>165</v>
      </c>
      <c r="B32" s="50" t="str">
        <f>IF(B9="","",B9)</f>
        <v>Chêne pubescent</v>
      </c>
      <c r="D32" s="258" t="s">
        <v>307</v>
      </c>
      <c r="K32" s="249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9"/>
      <c r="B33" s="5"/>
      <c r="K33" s="249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91" t="s">
        <v>185</v>
      </c>
      <c r="C34" s="292" t="s">
        <v>186</v>
      </c>
      <c r="D34" s="292"/>
      <c r="E34" s="293" t="s">
        <v>187</v>
      </c>
      <c r="F34" s="294"/>
      <c r="G34" s="294"/>
      <c r="H34" s="295"/>
      <c r="I34" s="104"/>
      <c r="J34" s="250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1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53">
        <v>20</v>
      </c>
      <c r="B36" s="63">
        <f>42+0</f>
        <v>42</v>
      </c>
      <c r="C36" s="54"/>
      <c r="D36" s="63"/>
      <c r="E36" s="63"/>
      <c r="F36" s="54"/>
      <c r="G36" s="54"/>
      <c r="H36" s="54"/>
      <c r="I36" s="52">
        <f>IFERROR(B36/A36,"")</f>
        <v>2.1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53">
        <v>25</v>
      </c>
      <c r="B37" s="63">
        <f>62+0+8</f>
        <v>70</v>
      </c>
      <c r="C37" s="63">
        <v>1</v>
      </c>
      <c r="D37" s="63">
        <f>0+8</f>
        <v>8</v>
      </c>
      <c r="E37" s="63"/>
      <c r="F37" s="54"/>
      <c r="G37" s="54"/>
      <c r="H37" s="54">
        <v>1</v>
      </c>
      <c r="I37" s="56">
        <f t="shared" ref="I37:I55" si="1">IF(A37&lt;&gt;0,(B37-(B36-D36))/(A37-A36),"")</f>
        <v>5.6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53">
        <v>30</v>
      </c>
      <c r="B38" s="63">
        <f>76+21</f>
        <v>97</v>
      </c>
      <c r="C38" s="63"/>
      <c r="D38" s="63"/>
      <c r="E38" s="63"/>
      <c r="F38" s="54"/>
      <c r="G38" s="54"/>
      <c r="H38" s="54"/>
      <c r="I38" s="56">
        <f t="shared" si="1"/>
        <v>7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53">
        <v>35</v>
      </c>
      <c r="B39" s="63">
        <f>95+21+21</f>
        <v>137</v>
      </c>
      <c r="C39" s="63">
        <v>2</v>
      </c>
      <c r="D39" s="63">
        <f>21+21</f>
        <v>42</v>
      </c>
      <c r="E39" s="63"/>
      <c r="F39" s="54"/>
      <c r="G39" s="54"/>
      <c r="H39" s="54"/>
      <c r="I39" s="52">
        <f t="shared" si="1"/>
        <v>8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53">
        <v>40</v>
      </c>
      <c r="B40" s="63">
        <f>116+21</f>
        <v>137</v>
      </c>
      <c r="C40" s="63"/>
      <c r="D40" s="63"/>
      <c r="E40" s="63"/>
      <c r="F40" s="54"/>
      <c r="G40" s="54"/>
      <c r="H40" s="54"/>
      <c r="I40" s="52">
        <f t="shared" si="1"/>
        <v>8.4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53">
        <v>45</v>
      </c>
      <c r="B41" s="63">
        <f>137+21+21</f>
        <v>179</v>
      </c>
      <c r="C41" s="63">
        <v>3</v>
      </c>
      <c r="D41" s="63">
        <f>21+21</f>
        <v>42</v>
      </c>
      <c r="E41" s="63"/>
      <c r="F41" s="54"/>
      <c r="G41" s="54"/>
      <c r="H41" s="54"/>
      <c r="I41" s="56">
        <f t="shared" si="1"/>
        <v>8.4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53">
        <v>50</v>
      </c>
      <c r="B42" s="63">
        <f>157+21</f>
        <v>178</v>
      </c>
      <c r="C42" s="63"/>
      <c r="D42" s="63"/>
      <c r="E42" s="63"/>
      <c r="F42" s="54"/>
      <c r="G42" s="54"/>
      <c r="H42" s="54"/>
      <c r="I42" s="56">
        <f t="shared" si="1"/>
        <v>8.1999999999999993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282">
        <v>55</v>
      </c>
      <c r="B43" s="63">
        <f>176+21+21</f>
        <v>218</v>
      </c>
      <c r="C43" s="63">
        <v>4</v>
      </c>
      <c r="D43" s="63">
        <f>21+21</f>
        <v>42</v>
      </c>
      <c r="E43" s="63"/>
      <c r="F43" s="54"/>
      <c r="G43" s="54"/>
      <c r="H43" s="54"/>
      <c r="I43" s="52">
        <f t="shared" si="1"/>
        <v>8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282">
        <v>60</v>
      </c>
      <c r="B44" s="63">
        <f>193+21</f>
        <v>214</v>
      </c>
      <c r="C44" s="63"/>
      <c r="D44" s="63"/>
      <c r="E44" s="63"/>
      <c r="F44" s="54"/>
      <c r="G44" s="54"/>
      <c r="H44" s="54"/>
      <c r="I44" s="52">
        <f t="shared" si="1"/>
        <v>7.6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282">
        <v>65</v>
      </c>
      <c r="B45" s="63">
        <f>208+21+21</f>
        <v>250</v>
      </c>
      <c r="C45" s="63">
        <v>5</v>
      </c>
      <c r="D45" s="63">
        <f>21+21</f>
        <v>42</v>
      </c>
      <c r="E45" s="63"/>
      <c r="F45" s="54"/>
      <c r="G45" s="54"/>
      <c r="H45" s="54"/>
      <c r="I45" s="52">
        <f t="shared" si="1"/>
        <v>7.2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282">
        <v>70</v>
      </c>
      <c r="B46" s="63">
        <f>221+21</f>
        <v>242</v>
      </c>
      <c r="C46" s="63"/>
      <c r="D46" s="63"/>
      <c r="E46" s="63"/>
      <c r="F46" s="54"/>
      <c r="G46" s="54"/>
      <c r="H46" s="54"/>
      <c r="I46" s="52">
        <f t="shared" si="1"/>
        <v>6.8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282">
        <v>75</v>
      </c>
      <c r="B47" s="63">
        <f>231+21+21</f>
        <v>273</v>
      </c>
      <c r="C47" s="63">
        <v>6</v>
      </c>
      <c r="D47" s="63">
        <f>21+21</f>
        <v>42</v>
      </c>
      <c r="E47" s="63"/>
      <c r="F47" s="54"/>
      <c r="G47" s="54"/>
      <c r="H47" s="54"/>
      <c r="I47" s="52">
        <f t="shared" si="1"/>
        <v>6.2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282">
        <v>80</v>
      </c>
      <c r="B48" s="63">
        <f>240+21</f>
        <v>261</v>
      </c>
      <c r="C48" s="63"/>
      <c r="D48" s="63"/>
      <c r="E48" s="63"/>
      <c r="F48" s="54"/>
      <c r="G48" s="54"/>
      <c r="H48" s="54"/>
      <c r="I48" s="52">
        <f t="shared" si="1"/>
        <v>6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282">
        <v>90</v>
      </c>
      <c r="B49" s="63">
        <f>254+21+21</f>
        <v>296</v>
      </c>
      <c r="C49" s="63">
        <v>7</v>
      </c>
      <c r="D49" s="63">
        <f>21+21</f>
        <v>42</v>
      </c>
      <c r="E49" s="63"/>
      <c r="F49" s="54"/>
      <c r="G49" s="54"/>
      <c r="H49" s="54"/>
      <c r="I49" s="52">
        <f t="shared" si="1"/>
        <v>3.5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282">
        <v>100</v>
      </c>
      <c r="B50" s="63">
        <f>261+21+21</f>
        <v>303</v>
      </c>
      <c r="C50" s="53">
        <v>8</v>
      </c>
      <c r="D50" s="63">
        <f>21+21</f>
        <v>42</v>
      </c>
      <c r="E50" s="63"/>
      <c r="F50" s="54"/>
      <c r="G50" s="54"/>
      <c r="H50" s="54"/>
      <c r="I50" s="52">
        <f t="shared" si="1"/>
        <v>4.9000000000000004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282">
        <v>110</v>
      </c>
      <c r="B51" s="63">
        <f>266+19+20</f>
        <v>305</v>
      </c>
      <c r="C51" s="53">
        <v>9</v>
      </c>
      <c r="D51" s="63">
        <f>19+20</f>
        <v>39</v>
      </c>
      <c r="E51" s="63"/>
      <c r="F51" s="54"/>
      <c r="G51" s="54"/>
      <c r="H51" s="54"/>
      <c r="I51" s="52">
        <f t="shared" si="1"/>
        <v>4.4000000000000004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282">
        <v>120</v>
      </c>
      <c r="B52" s="63">
        <f>268+17+18</f>
        <v>303</v>
      </c>
      <c r="C52" s="53">
        <v>10</v>
      </c>
      <c r="D52" s="63">
        <f>18+17</f>
        <v>35</v>
      </c>
      <c r="E52" s="63"/>
      <c r="F52" s="54"/>
      <c r="G52" s="54"/>
      <c r="H52" s="54"/>
      <c r="I52" s="52">
        <f t="shared" si="1"/>
        <v>3.7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282">
        <v>130</v>
      </c>
      <c r="B53" s="63">
        <f>269+15+16</f>
        <v>300</v>
      </c>
      <c r="C53" s="53">
        <v>11</v>
      </c>
      <c r="D53" s="63">
        <f>15+16</f>
        <v>31</v>
      </c>
      <c r="E53" s="63"/>
      <c r="F53" s="54"/>
      <c r="G53" s="54"/>
      <c r="H53" s="54"/>
      <c r="I53" s="52">
        <f t="shared" si="1"/>
        <v>3.2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282">
        <v>140</v>
      </c>
      <c r="B54" s="63">
        <f>269+13+14</f>
        <v>296</v>
      </c>
      <c r="C54" s="53">
        <v>12</v>
      </c>
      <c r="D54" s="63">
        <f>13+14</f>
        <v>27</v>
      </c>
      <c r="E54" s="63"/>
      <c r="F54" s="54"/>
      <c r="G54" s="54"/>
      <c r="H54" s="54"/>
      <c r="I54" s="52">
        <f t="shared" si="1"/>
        <v>2.7</v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282">
        <v>150</v>
      </c>
      <c r="B55" s="63">
        <f>268+12+13</f>
        <v>293</v>
      </c>
      <c r="C55" s="53">
        <v>13</v>
      </c>
      <c r="D55" s="63">
        <f>293</f>
        <v>293</v>
      </c>
      <c r="E55" s="63"/>
      <c r="F55" s="54"/>
      <c r="G55" s="54"/>
      <c r="H55" s="54"/>
      <c r="I55" s="52">
        <f t="shared" si="1"/>
        <v>2.4</v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9" t="s">
        <v>166</v>
      </c>
      <c r="B58" s="55" t="str">
        <f>IF(B10="","",B10)</f>
        <v>Chêne chevelu</v>
      </c>
      <c r="D58" s="258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91" t="s">
        <v>185</v>
      </c>
      <c r="C60" s="292" t="s">
        <v>186</v>
      </c>
      <c r="D60" s="292"/>
      <c r="E60" s="293" t="s">
        <v>187</v>
      </c>
      <c r="F60" s="294"/>
      <c r="G60" s="294"/>
      <c r="H60" s="295"/>
      <c r="I60" s="104"/>
      <c r="J60" s="250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1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53">
        <v>15</v>
      </c>
      <c r="B62" s="63">
        <f>(47)/1.56</f>
        <v>30.128205128205128</v>
      </c>
      <c r="C62" s="54"/>
      <c r="D62" s="63"/>
      <c r="E62" s="63"/>
      <c r="F62" s="54"/>
      <c r="G62" s="54"/>
      <c r="H62" s="54"/>
      <c r="I62" s="56">
        <f>IFERROR(B62/A62,"")</f>
        <v>2.0085470085470085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53">
        <v>20</v>
      </c>
      <c r="B63" s="63">
        <f>(86+6)/1.56</f>
        <v>58.974358974358971</v>
      </c>
      <c r="C63" s="63"/>
      <c r="D63" s="63"/>
      <c r="E63" s="63"/>
      <c r="F63" s="54"/>
      <c r="G63" s="54"/>
      <c r="H63" s="54"/>
      <c r="I63" s="52">
        <f>IF(A63&lt;&gt;0,(B63-(B62-D62))/(A63-A62),"")</f>
        <v>5.7692307692307683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53">
        <v>25</v>
      </c>
      <c r="B64" s="63">
        <f>(127+6+10)/1.56</f>
        <v>91.666666666666657</v>
      </c>
      <c r="C64" s="63"/>
      <c r="D64" s="63"/>
      <c r="E64" s="63"/>
      <c r="F64" s="54"/>
      <c r="G64" s="54"/>
      <c r="H64" s="54"/>
      <c r="I64" s="52">
        <f>IF(A64&lt;&gt;0,(B64-(B63-D63))/(A64-A63),"")</f>
        <v>6.5384615384615374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53">
        <v>30</v>
      </c>
      <c r="B65" s="63">
        <f>(167+6+10+13)/1.56</f>
        <v>125.64102564102564</v>
      </c>
      <c r="C65" s="63">
        <v>1</v>
      </c>
      <c r="D65" s="63">
        <f>(6+10+13+15)/1.56</f>
        <v>28.205128205128204</v>
      </c>
      <c r="E65" s="63"/>
      <c r="F65" s="54"/>
      <c r="G65" s="54"/>
      <c r="H65" s="54">
        <v>1</v>
      </c>
      <c r="I65" s="52">
        <f>IF(A65&lt;&gt;0,(B65-(B64-D64))/(A65-A64),"")</f>
        <v>6.7948717948717956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53">
        <v>35</v>
      </c>
      <c r="B66" s="63">
        <f>(205)/1.56</f>
        <v>131.41025641025641</v>
      </c>
      <c r="C66" s="63"/>
      <c r="D66" s="63"/>
      <c r="E66" s="63"/>
      <c r="F66" s="54"/>
      <c r="G66" s="54"/>
      <c r="H66" s="54"/>
      <c r="I66" s="52">
        <f>IF(A66&lt;&gt;0,(B66-(B65-D65))/(A66-A65),"")</f>
        <v>6.7948717948717956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53">
        <v>40</v>
      </c>
      <c r="B67" s="63">
        <f>(239+17)/1.56</f>
        <v>164.10256410256409</v>
      </c>
      <c r="C67" s="63">
        <v>2</v>
      </c>
      <c r="D67" s="63">
        <f>(17+18)/1.56</f>
        <v>22.435897435897434</v>
      </c>
      <c r="E67" s="63"/>
      <c r="F67" s="54"/>
      <c r="G67" s="54"/>
      <c r="H67" s="54"/>
      <c r="I67" s="52">
        <f>IF(A67&lt;&gt;0,(B67-(B66-D66))/(A67-A66),"")</f>
        <v>6.5384615384615357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53">
        <v>45</v>
      </c>
      <c r="B68" s="63">
        <f>(270)/1.56</f>
        <v>173.07692307692307</v>
      </c>
      <c r="C68" s="63"/>
      <c r="D68" s="63"/>
      <c r="E68" s="63"/>
      <c r="F68" s="54"/>
      <c r="G68" s="54"/>
      <c r="H68" s="54"/>
      <c r="I68" s="52">
        <f>IF(A68&lt;&gt;0,(B68-(B67-D67))/(A68-A67),"")</f>
        <v>6.2820512820512819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282">
        <v>50</v>
      </c>
      <c r="B69" s="63">
        <f>(298+19)/1.56</f>
        <v>203.2051282051282</v>
      </c>
      <c r="C69" s="63">
        <v>3</v>
      </c>
      <c r="D69" s="63">
        <f>(19+19)/1.56</f>
        <v>24.358974358974358</v>
      </c>
      <c r="E69" s="63"/>
      <c r="F69" s="54"/>
      <c r="G69" s="54"/>
      <c r="H69" s="54"/>
      <c r="I69" s="52">
        <f>IF(A69&lt;&gt;0,(B69-(B68-D68))/(A69-A68),"")</f>
        <v>6.0256410256410273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282">
        <v>55</v>
      </c>
      <c r="B70" s="63">
        <f>(323)/1.56</f>
        <v>207.05128205128204</v>
      </c>
      <c r="C70" s="63"/>
      <c r="D70" s="63"/>
      <c r="E70" s="63"/>
      <c r="F70" s="54"/>
      <c r="G70" s="54"/>
      <c r="H70" s="54"/>
      <c r="I70" s="52">
        <f>IF(A70&lt;&gt;0,(B70-(B69-D69))/(A70-A69),"")</f>
        <v>5.6410256410256405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282">
        <v>60</v>
      </c>
      <c r="B71" s="63">
        <f>(345+19)/1.56</f>
        <v>233.33333333333331</v>
      </c>
      <c r="C71" s="63">
        <v>4</v>
      </c>
      <c r="D71" s="63">
        <f>(19+19)/1.56</f>
        <v>24.358974358974358</v>
      </c>
      <c r="E71" s="63"/>
      <c r="F71" s="54"/>
      <c r="G71" s="54"/>
      <c r="H71" s="54"/>
      <c r="I71" s="52">
        <f>IF(A71&lt;&gt;0,(B71-(B70-D70))/(A71-A70),"")</f>
        <v>5.2564102564102537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282">
        <v>65</v>
      </c>
      <c r="B72" s="63">
        <f>(365)/1.56</f>
        <v>233.97435897435898</v>
      </c>
      <c r="C72" s="63"/>
      <c r="D72" s="63"/>
      <c r="E72" s="63"/>
      <c r="F72" s="54"/>
      <c r="G72" s="54"/>
      <c r="H72" s="54"/>
      <c r="I72" s="52">
        <f>IF(A72&lt;&gt;0,(B72-(B71-D71))/(A72-A71),"")</f>
        <v>5.0000000000000053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282">
        <v>70</v>
      </c>
      <c r="B73" s="63">
        <f>(385+18)/1.56</f>
        <v>258.33333333333331</v>
      </c>
      <c r="C73" s="63">
        <v>5</v>
      </c>
      <c r="D73" s="63">
        <f>(18+18)/1.56</f>
        <v>23.076923076923077</v>
      </c>
      <c r="E73" s="63"/>
      <c r="F73" s="54"/>
      <c r="G73" s="54"/>
      <c r="H73" s="54"/>
      <c r="I73" s="52">
        <f>IF(A73&lt;&gt;0,(B73-(B72-D72))/(A73-A72),"")</f>
        <v>4.8717948717948669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282">
        <v>75</v>
      </c>
      <c r="B74" s="63">
        <f>(402)/1.56</f>
        <v>257.69230769230768</v>
      </c>
      <c r="C74" s="63"/>
      <c r="D74" s="63"/>
      <c r="E74" s="63"/>
      <c r="F74" s="54"/>
      <c r="G74" s="54"/>
      <c r="H74" s="54"/>
      <c r="I74" s="52">
        <f>IF(A74&lt;&gt;0,(B74-(B73-D73))/(A74-A73),"")</f>
        <v>4.4871794871794863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282">
        <v>80</v>
      </c>
      <c r="B75" s="63">
        <f>(418+18)/1.56</f>
        <v>279.4871794871795</v>
      </c>
      <c r="C75" s="63">
        <v>6</v>
      </c>
      <c r="D75" s="63">
        <f>(18+17)/1.56</f>
        <v>22.435897435897434</v>
      </c>
      <c r="E75" s="63"/>
      <c r="F75" s="54"/>
      <c r="G75" s="54"/>
      <c r="H75" s="54"/>
      <c r="I75" s="52">
        <f>IF(A75&lt;&gt;0,(B75-(B74-D74))/(A75-A74),"")</f>
        <v>4.3589743589743648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282">
        <v>85</v>
      </c>
      <c r="B76" s="63">
        <f>(432)/1.56</f>
        <v>276.92307692307691</v>
      </c>
      <c r="C76" s="53"/>
      <c r="D76" s="63"/>
      <c r="E76" s="63"/>
      <c r="F76" s="54"/>
      <c r="G76" s="54"/>
      <c r="H76" s="54"/>
      <c r="I76" s="52">
        <f>IF(A76&lt;&gt;0,(B76-(B75-D75))/(A76-A75),"")</f>
        <v>3.9743589743589722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282">
        <v>90</v>
      </c>
      <c r="B77" s="63">
        <f>(445+17)/1.56</f>
        <v>296.15384615384613</v>
      </c>
      <c r="C77" s="53">
        <v>7</v>
      </c>
      <c r="D77" s="63">
        <f>(17+16)/1.56</f>
        <v>21.153846153846153</v>
      </c>
      <c r="E77" s="63"/>
      <c r="F77" s="54"/>
      <c r="G77" s="54"/>
      <c r="H77" s="54"/>
      <c r="I77" s="52">
        <f>IF(A77&lt;&gt;0,(B77-(B76-D76))/(A77-A76),"")</f>
        <v>3.8461538461538454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282">
        <v>100</v>
      </c>
      <c r="B78" s="63">
        <f>(467+16)/1.56</f>
        <v>309.61538461538458</v>
      </c>
      <c r="C78" s="53">
        <v>8</v>
      </c>
      <c r="D78" s="63">
        <f>(16+16)/1.56</f>
        <v>20.512820512820511</v>
      </c>
      <c r="E78" s="63"/>
      <c r="F78" s="54"/>
      <c r="G78" s="54"/>
      <c r="H78" s="54"/>
      <c r="I78" s="52">
        <f>IF(A78&lt;&gt;0,(B78-(B77-D77))/(A78-A77),"")</f>
        <v>3.4615384615384586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282">
        <v>110</v>
      </c>
      <c r="B79" s="63">
        <f>(486+15)/1.56</f>
        <v>321.15384615384613</v>
      </c>
      <c r="C79" s="53">
        <v>9</v>
      </c>
      <c r="D79" s="63">
        <f>(15+15)/1.56</f>
        <v>19.23076923076923</v>
      </c>
      <c r="E79" s="63"/>
      <c r="F79" s="54"/>
      <c r="G79" s="54"/>
      <c r="H79" s="54"/>
      <c r="I79" s="52">
        <f>IF(A79&lt;&gt;0,(B79-(B78-D78))/(A79-A78),"")</f>
        <v>3.2051282051282044</v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282">
        <v>120</v>
      </c>
      <c r="B80" s="63">
        <f>(502+14)/1.56</f>
        <v>330.76923076923077</v>
      </c>
      <c r="C80" s="53">
        <v>10</v>
      </c>
      <c r="D80" s="63">
        <f>(14+14)/1.56</f>
        <v>17.948717948717949</v>
      </c>
      <c r="E80" s="63"/>
      <c r="F80" s="54"/>
      <c r="G80" s="54"/>
      <c r="H80" s="54"/>
      <c r="I80" s="52">
        <f>IF(A80&lt;&gt;0,(B80-(B79-D79))/(A80-A79),"")</f>
        <v>2.8846153846153868</v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282">
        <v>130</v>
      </c>
      <c r="B81" s="63">
        <f>(516+13)/1.56</f>
        <v>339.10256410256409</v>
      </c>
      <c r="C81" s="53">
        <v>11</v>
      </c>
      <c r="D81" s="63">
        <f>B81</f>
        <v>339.10256410256409</v>
      </c>
      <c r="E81" s="63"/>
      <c r="F81" s="54"/>
      <c r="G81" s="54"/>
      <c r="H81" s="54"/>
      <c r="I81" s="52">
        <f>IF(A81&lt;&gt;0,(B81-(B80-D80))/(A81-A80),"")</f>
        <v>2.6282051282051269</v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9" t="s">
        <v>167</v>
      </c>
      <c r="B84" s="55" t="str">
        <f>IF(B11="","",B11)</f>
        <v>Robinier faux-acacia</v>
      </c>
      <c r="D84" s="258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91" t="s">
        <v>185</v>
      </c>
      <c r="C86" s="292" t="s">
        <v>186</v>
      </c>
      <c r="D86" s="292"/>
      <c r="E86" s="293" t="s">
        <v>187</v>
      </c>
      <c r="F86" s="294"/>
      <c r="G86" s="294"/>
      <c r="H86" s="295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53">
        <v>5</v>
      </c>
      <c r="B88" s="63">
        <f>19+2</f>
        <v>21</v>
      </c>
      <c r="C88" s="63"/>
      <c r="D88" s="63"/>
      <c r="E88" s="54"/>
      <c r="F88" s="54"/>
      <c r="G88" s="54"/>
      <c r="H88" s="93"/>
      <c r="I88" s="56">
        <f>IFERROR(B88/A88,"")</f>
        <v>4.2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53">
        <v>10</v>
      </c>
      <c r="B89" s="63">
        <f>47+15+2</f>
        <v>64</v>
      </c>
      <c r="C89" s="63">
        <v>1</v>
      </c>
      <c r="D89" s="63">
        <f>15+2</f>
        <v>17</v>
      </c>
      <c r="E89" s="54"/>
      <c r="F89" s="54"/>
      <c r="G89" s="54"/>
      <c r="H89" s="93">
        <v>1</v>
      </c>
      <c r="I89" s="56">
        <f>IF(A89&lt;&gt;0,(B89-(B88-D88))/(A89-A88),"")</f>
        <v>8.6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53">
        <v>15</v>
      </c>
      <c r="B90" s="63">
        <f>76+13</f>
        <v>89</v>
      </c>
      <c r="C90" s="63">
        <v>2</v>
      </c>
      <c r="D90" s="63">
        <f>13</f>
        <v>13</v>
      </c>
      <c r="E90" s="93"/>
      <c r="F90" s="93"/>
      <c r="G90" s="93"/>
      <c r="H90" s="93">
        <v>1</v>
      </c>
      <c r="I90" s="56">
        <f>IF(A90&lt;&gt;0,(B90-(B89-D89))/(A90-A89),"")</f>
        <v>8.4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53">
        <v>20</v>
      </c>
      <c r="B91" s="63">
        <f>104+10</f>
        <v>114</v>
      </c>
      <c r="C91" s="63">
        <v>3</v>
      </c>
      <c r="D91" s="63">
        <f>10</f>
        <v>10</v>
      </c>
      <c r="E91" s="93"/>
      <c r="F91" s="93"/>
      <c r="G91" s="93"/>
      <c r="H91" s="93">
        <v>1</v>
      </c>
      <c r="I91" s="56">
        <f>IF(A91&lt;&gt;0,(B91-(B90-D90))/(A91-A90),"")</f>
        <v>7.6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53">
        <v>25</v>
      </c>
      <c r="B92" s="63">
        <f>128+8</f>
        <v>136</v>
      </c>
      <c r="C92" s="63">
        <v>4</v>
      </c>
      <c r="D92" s="63">
        <f>8</f>
        <v>8</v>
      </c>
      <c r="E92" s="93"/>
      <c r="F92" s="93"/>
      <c r="G92" s="93"/>
      <c r="H92" s="93">
        <v>1</v>
      </c>
      <c r="I92" s="56">
        <f>IF(A92&lt;&gt;0,(B92-(B91-D91))/(A92-A91),"")</f>
        <v>6.4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53">
        <v>30</v>
      </c>
      <c r="B93" s="63">
        <f>148+6</f>
        <v>154</v>
      </c>
      <c r="C93" s="63">
        <v>5</v>
      </c>
      <c r="D93" s="63">
        <f>6</f>
        <v>6</v>
      </c>
      <c r="E93" s="93"/>
      <c r="F93" s="93"/>
      <c r="G93" s="93"/>
      <c r="H93" s="93">
        <v>1</v>
      </c>
      <c r="I93" s="56">
        <f>IF(A93&lt;&gt;0,(B93-(B92-D92))/(A93-A92),"")</f>
        <v>5.2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53">
        <v>35</v>
      </c>
      <c r="B94" s="63">
        <f>164+5</f>
        <v>169</v>
      </c>
      <c r="C94" s="63">
        <v>6</v>
      </c>
      <c r="D94" s="63">
        <f>5</f>
        <v>5</v>
      </c>
      <c r="E94" s="93"/>
      <c r="F94" s="93"/>
      <c r="G94" s="93"/>
      <c r="H94" s="93"/>
      <c r="I94" s="56">
        <f>IF(A94&lt;&gt;0,(B94-(B93-D93))/(A94-A93),"")</f>
        <v>4.2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63">
        <v>40</v>
      </c>
      <c r="B95" s="63">
        <f>179+4</f>
        <v>183</v>
      </c>
      <c r="C95" s="63">
        <v>7</v>
      </c>
      <c r="D95" s="63">
        <f>4</f>
        <v>4</v>
      </c>
      <c r="E95" s="93"/>
      <c r="F95" s="93"/>
      <c r="G95" s="93"/>
      <c r="H95" s="93"/>
      <c r="I95" s="56">
        <f>IF(A95&lt;&gt;0,(B95-(B94-D94))/(A95-A94),"")</f>
        <v>3.8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63">
        <v>45</v>
      </c>
      <c r="B96" s="63">
        <f>194+4</f>
        <v>198</v>
      </c>
      <c r="C96" s="63">
        <v>8</v>
      </c>
      <c r="D96" s="63">
        <f>198</f>
        <v>198</v>
      </c>
      <c r="E96" s="93"/>
      <c r="F96" s="93"/>
      <c r="G96" s="93"/>
      <c r="H96" s="93"/>
      <c r="I96" s="56">
        <f>IF(A96&lt;&gt;0,(B96-(B95-D95))/(A96-A95),"")</f>
        <v>3.8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282"/>
      <c r="B97" s="63"/>
      <c r="C97" s="63"/>
      <c r="D97" s="63"/>
      <c r="E97" s="63"/>
      <c r="F97" s="54"/>
      <c r="G97" s="54"/>
      <c r="H97" s="54"/>
      <c r="I97" s="56" t="str">
        <f>IF(A97&lt;&gt;0,(B97-(B96-D96))/(A97-A96),"")</f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282"/>
      <c r="B98" s="63"/>
      <c r="C98" s="63"/>
      <c r="D98" s="63"/>
      <c r="E98" s="63"/>
      <c r="F98" s="54"/>
      <c r="G98" s="54"/>
      <c r="H98" s="54"/>
      <c r="I98" s="56" t="str">
        <f>IF(A98&lt;&gt;0,(B98-(B97-D97))/(A98-A97),"")</f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282"/>
      <c r="B99" s="63"/>
      <c r="C99" s="63"/>
      <c r="D99" s="63"/>
      <c r="E99" s="63"/>
      <c r="F99" s="54"/>
      <c r="G99" s="54"/>
      <c r="H99" s="54"/>
      <c r="I99" s="56" t="str">
        <f>IF(A99&lt;&gt;0,(B99-(B98-D98))/(A99-A98),"")</f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282"/>
      <c r="B100" s="63"/>
      <c r="C100" s="63"/>
      <c r="D100" s="63"/>
      <c r="E100" s="63"/>
      <c r="F100" s="54"/>
      <c r="G100" s="54"/>
      <c r="H100" s="54"/>
      <c r="I100" s="56" t="str">
        <f>IF(A100&lt;&gt;0,(B100-(B99-D99))/(A100-A99),"")</f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282"/>
      <c r="B101" s="63"/>
      <c r="C101" s="63"/>
      <c r="D101" s="63"/>
      <c r="E101" s="63"/>
      <c r="F101" s="54"/>
      <c r="G101" s="54"/>
      <c r="H101" s="54"/>
      <c r="I101" s="56" t="str">
        <f>IF(A101&lt;&gt;0,(B101-(B100-D100))/(A101-A100),"")</f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282"/>
      <c r="B102" s="63"/>
      <c r="C102" s="53"/>
      <c r="D102" s="63"/>
      <c r="E102" s="63"/>
      <c r="F102" s="54"/>
      <c r="G102" s="54"/>
      <c r="H102" s="54"/>
      <c r="I102" s="56" t="str">
        <f>IF(A102&lt;&gt;0,(B102-(B101-D101))/(A102-A101),"")</f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282"/>
      <c r="B103" s="63"/>
      <c r="C103" s="53"/>
      <c r="D103" s="63"/>
      <c r="E103" s="63"/>
      <c r="F103" s="54"/>
      <c r="G103" s="54"/>
      <c r="H103" s="54"/>
      <c r="I103" s="56" t="str">
        <f>IF(A103&lt;&gt;0,(B103-(B102-D102))/(A103-A102),"")</f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282"/>
      <c r="B104" s="63"/>
      <c r="C104" s="53"/>
      <c r="D104" s="63"/>
      <c r="E104" s="63"/>
      <c r="F104" s="54"/>
      <c r="G104" s="54"/>
      <c r="H104" s="54"/>
      <c r="I104" s="56" t="str">
        <f>IF(A104&lt;&gt;0,(B104-(B103-D103))/(A104-A103),"")</f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282"/>
      <c r="B105" s="63"/>
      <c r="C105" s="53"/>
      <c r="D105" s="63"/>
      <c r="E105" s="63"/>
      <c r="F105" s="54"/>
      <c r="G105" s="54"/>
      <c r="H105" s="54"/>
      <c r="I105" s="56" t="str">
        <f>IF(A105&lt;&gt;0,(B105-(B104-D104))/(A105-A104),"")</f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282"/>
      <c r="B106" s="63"/>
      <c r="C106" s="53"/>
      <c r="D106" s="63"/>
      <c r="E106" s="63"/>
      <c r="F106" s="54"/>
      <c r="G106" s="54"/>
      <c r="H106" s="54"/>
      <c r="I106" s="56" t="str">
        <f>IF(A106&lt;&gt;0,(B106-(B105-D105))/(A106-A105),"")</f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282"/>
      <c r="B107" s="63"/>
      <c r="C107" s="53"/>
      <c r="D107" s="63"/>
      <c r="E107" s="63"/>
      <c r="F107" s="54"/>
      <c r="G107" s="54"/>
      <c r="H107" s="54"/>
      <c r="I107" s="56" t="str">
        <f>IF(A107&lt;&gt;0,(B107-(B106-D106))/(A107-A106),"")</f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9" t="s">
        <v>168</v>
      </c>
      <c r="B110" s="55" t="str">
        <f>IF(B12="","",B12)</f>
        <v>Chêne sessile</v>
      </c>
      <c r="D110" s="258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91" t="s">
        <v>185</v>
      </c>
      <c r="C112" s="292" t="s">
        <v>186</v>
      </c>
      <c r="D112" s="292"/>
      <c r="E112" s="293" t="s">
        <v>187</v>
      </c>
      <c r="F112" s="294"/>
      <c r="G112" s="294"/>
      <c r="H112" s="295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53">
        <v>20</v>
      </c>
      <c r="B114" s="63">
        <f>42+0</f>
        <v>42</v>
      </c>
      <c r="C114" s="54"/>
      <c r="D114" s="63"/>
      <c r="E114" s="63"/>
      <c r="F114" s="54"/>
      <c r="G114" s="54"/>
      <c r="H114" s="54"/>
      <c r="I114" s="56">
        <f>IFERROR(B114/A114,"")</f>
        <v>2.1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53">
        <v>25</v>
      </c>
      <c r="B115" s="63">
        <f>62+0+8</f>
        <v>70</v>
      </c>
      <c r="C115" s="63">
        <v>1</v>
      </c>
      <c r="D115" s="63">
        <f>0+8</f>
        <v>8</v>
      </c>
      <c r="E115" s="63"/>
      <c r="F115" s="54"/>
      <c r="G115" s="54"/>
      <c r="H115" s="54">
        <v>1</v>
      </c>
      <c r="I115" s="56">
        <f t="shared" ref="I115:I133" si="2">IF(A115&lt;&gt;0,(B115-(B114-D114))/(A115-A114),"")</f>
        <v>5.6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53">
        <v>30</v>
      </c>
      <c r="B116" s="63">
        <f>76+21</f>
        <v>97</v>
      </c>
      <c r="C116" s="63"/>
      <c r="D116" s="63"/>
      <c r="E116" s="63"/>
      <c r="F116" s="54"/>
      <c r="G116" s="54"/>
      <c r="H116" s="54"/>
      <c r="I116" s="56">
        <f t="shared" si="2"/>
        <v>7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53">
        <v>35</v>
      </c>
      <c r="B117" s="63">
        <f>95+21+21</f>
        <v>137</v>
      </c>
      <c r="C117" s="63">
        <v>2</v>
      </c>
      <c r="D117" s="63">
        <f>21+21</f>
        <v>42</v>
      </c>
      <c r="E117" s="63"/>
      <c r="F117" s="54"/>
      <c r="G117" s="54"/>
      <c r="H117" s="54"/>
      <c r="I117" s="56">
        <f t="shared" si="2"/>
        <v>8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53">
        <v>40</v>
      </c>
      <c r="B118" s="63">
        <f>116+21</f>
        <v>137</v>
      </c>
      <c r="C118" s="63"/>
      <c r="D118" s="63"/>
      <c r="E118" s="63"/>
      <c r="F118" s="54"/>
      <c r="G118" s="54"/>
      <c r="H118" s="54"/>
      <c r="I118" s="56">
        <f t="shared" si="2"/>
        <v>8.4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53">
        <v>45</v>
      </c>
      <c r="B119" s="63">
        <f>137+21+21</f>
        <v>179</v>
      </c>
      <c r="C119" s="63">
        <v>3</v>
      </c>
      <c r="D119" s="63">
        <f>21+21</f>
        <v>42</v>
      </c>
      <c r="E119" s="63"/>
      <c r="F119" s="54"/>
      <c r="G119" s="54"/>
      <c r="H119" s="54"/>
      <c r="I119" s="56">
        <f t="shared" si="2"/>
        <v>8.4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53">
        <v>50</v>
      </c>
      <c r="B120" s="63">
        <f>157+21</f>
        <v>178</v>
      </c>
      <c r="C120" s="63"/>
      <c r="D120" s="63"/>
      <c r="E120" s="63"/>
      <c r="F120" s="54"/>
      <c r="G120" s="54"/>
      <c r="H120" s="54"/>
      <c r="I120" s="56">
        <f t="shared" si="2"/>
        <v>8.1999999999999993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282">
        <v>55</v>
      </c>
      <c r="B121" s="63">
        <f>176+21+21</f>
        <v>218</v>
      </c>
      <c r="C121" s="63">
        <v>4</v>
      </c>
      <c r="D121" s="63">
        <f>21+21</f>
        <v>42</v>
      </c>
      <c r="E121" s="63"/>
      <c r="F121" s="54"/>
      <c r="G121" s="54"/>
      <c r="H121" s="54"/>
      <c r="I121" s="56">
        <f t="shared" si="2"/>
        <v>8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282">
        <v>60</v>
      </c>
      <c r="B122" s="63">
        <f>193+21</f>
        <v>214</v>
      </c>
      <c r="C122" s="63"/>
      <c r="D122" s="63"/>
      <c r="E122" s="63"/>
      <c r="F122" s="54"/>
      <c r="G122" s="54"/>
      <c r="H122" s="54"/>
      <c r="I122" s="56">
        <f t="shared" si="2"/>
        <v>7.6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282">
        <v>65</v>
      </c>
      <c r="B123" s="63">
        <f>208+21+21</f>
        <v>250</v>
      </c>
      <c r="C123" s="63">
        <v>5</v>
      </c>
      <c r="D123" s="63">
        <f>21+21</f>
        <v>42</v>
      </c>
      <c r="E123" s="63"/>
      <c r="F123" s="54"/>
      <c r="G123" s="54"/>
      <c r="H123" s="54"/>
      <c r="I123" s="56">
        <f t="shared" si="2"/>
        <v>7.2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282">
        <v>70</v>
      </c>
      <c r="B124" s="63">
        <f>221+21</f>
        <v>242</v>
      </c>
      <c r="C124" s="63"/>
      <c r="D124" s="63"/>
      <c r="E124" s="63"/>
      <c r="F124" s="54"/>
      <c r="G124" s="54"/>
      <c r="H124" s="54"/>
      <c r="I124" s="56">
        <f t="shared" si="2"/>
        <v>6.8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282">
        <v>75</v>
      </c>
      <c r="B125" s="63">
        <f>231+21+21</f>
        <v>273</v>
      </c>
      <c r="C125" s="63">
        <v>6</v>
      </c>
      <c r="D125" s="63">
        <f>21+21</f>
        <v>42</v>
      </c>
      <c r="E125" s="63"/>
      <c r="F125" s="54"/>
      <c r="G125" s="54"/>
      <c r="H125" s="54"/>
      <c r="I125" s="56">
        <f t="shared" si="2"/>
        <v>6.2</v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282">
        <v>80</v>
      </c>
      <c r="B126" s="63">
        <f>240+21</f>
        <v>261</v>
      </c>
      <c r="C126" s="63"/>
      <c r="D126" s="63"/>
      <c r="E126" s="63"/>
      <c r="F126" s="54"/>
      <c r="G126" s="54"/>
      <c r="H126" s="54"/>
      <c r="I126" s="56">
        <f t="shared" si="2"/>
        <v>6</v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282">
        <v>90</v>
      </c>
      <c r="B127" s="63">
        <f>254+21+21</f>
        <v>296</v>
      </c>
      <c r="C127" s="63">
        <v>7</v>
      </c>
      <c r="D127" s="63">
        <f>21+21</f>
        <v>42</v>
      </c>
      <c r="E127" s="63"/>
      <c r="F127" s="54"/>
      <c r="G127" s="54"/>
      <c r="H127" s="54"/>
      <c r="I127" s="56">
        <f t="shared" si="2"/>
        <v>3.5</v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282">
        <v>100</v>
      </c>
      <c r="B128" s="63">
        <f>261+21+21</f>
        <v>303</v>
      </c>
      <c r="C128" s="53">
        <v>8</v>
      </c>
      <c r="D128" s="63">
        <f>21+21</f>
        <v>42</v>
      </c>
      <c r="E128" s="63"/>
      <c r="F128" s="54"/>
      <c r="G128" s="54"/>
      <c r="H128" s="54"/>
      <c r="I128" s="56">
        <f t="shared" si="2"/>
        <v>4.9000000000000004</v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282">
        <v>110</v>
      </c>
      <c r="B129" s="63">
        <f>266+19+20</f>
        <v>305</v>
      </c>
      <c r="C129" s="53">
        <v>9</v>
      </c>
      <c r="D129" s="63">
        <f>19+20</f>
        <v>39</v>
      </c>
      <c r="E129" s="63"/>
      <c r="F129" s="54"/>
      <c r="G129" s="54"/>
      <c r="H129" s="54"/>
      <c r="I129" s="56">
        <f t="shared" si="2"/>
        <v>4.4000000000000004</v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282">
        <v>120</v>
      </c>
      <c r="B130" s="63">
        <f>268+17+18</f>
        <v>303</v>
      </c>
      <c r="C130" s="53">
        <v>10</v>
      </c>
      <c r="D130" s="63">
        <f>18+17</f>
        <v>35</v>
      </c>
      <c r="E130" s="63"/>
      <c r="F130" s="54"/>
      <c r="G130" s="54"/>
      <c r="H130" s="54"/>
      <c r="I130" s="56">
        <f t="shared" si="2"/>
        <v>3.7</v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282">
        <v>130</v>
      </c>
      <c r="B131" s="63">
        <f>269+15+16</f>
        <v>300</v>
      </c>
      <c r="C131" s="53">
        <v>11</v>
      </c>
      <c r="D131" s="63">
        <f>15+16</f>
        <v>31</v>
      </c>
      <c r="E131" s="63"/>
      <c r="F131" s="54"/>
      <c r="G131" s="54"/>
      <c r="H131" s="54"/>
      <c r="I131" s="56">
        <f t="shared" si="2"/>
        <v>3.2</v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282">
        <v>140</v>
      </c>
      <c r="B132" s="63">
        <f>269+13+14</f>
        <v>296</v>
      </c>
      <c r="C132" s="53">
        <v>12</v>
      </c>
      <c r="D132" s="63">
        <f>13+14</f>
        <v>27</v>
      </c>
      <c r="E132" s="63"/>
      <c r="F132" s="54"/>
      <c r="G132" s="54"/>
      <c r="H132" s="54"/>
      <c r="I132" s="56">
        <f t="shared" si="2"/>
        <v>2.7</v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282">
        <v>150</v>
      </c>
      <c r="B133" s="63">
        <f>268+12+13</f>
        <v>293</v>
      </c>
      <c r="C133" s="53">
        <v>13</v>
      </c>
      <c r="D133" s="63">
        <f>293</f>
        <v>293</v>
      </c>
      <c r="E133" s="63"/>
      <c r="F133" s="54"/>
      <c r="G133" s="54"/>
      <c r="H133" s="54"/>
      <c r="I133" s="56">
        <f t="shared" si="2"/>
        <v>2.4</v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9" t="s">
        <v>169</v>
      </c>
      <c r="B136" s="55" t="str">
        <f>IF(B13="","",B13)</f>
        <v/>
      </c>
      <c r="D136" s="258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91" t="s">
        <v>185</v>
      </c>
      <c r="C138" s="292" t="s">
        <v>186</v>
      </c>
      <c r="D138" s="292"/>
      <c r="E138" s="293" t="s">
        <v>187</v>
      </c>
      <c r="F138" s="294"/>
      <c r="G138" s="294"/>
      <c r="H138" s="295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53"/>
      <c r="B140" s="63"/>
      <c r="C140" s="6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53"/>
      <c r="B141" s="63"/>
      <c r="C141" s="63"/>
      <c r="D141" s="63"/>
      <c r="E141" s="54"/>
      <c r="F141" s="54"/>
      <c r="G141" s="54"/>
      <c r="H141" s="54"/>
      <c r="I141" s="60" t="str">
        <f t="shared" ref="I141:I159" si="3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53"/>
      <c r="B142" s="63"/>
      <c r="C142" s="63"/>
      <c r="D142" s="63"/>
      <c r="E142" s="54"/>
      <c r="F142" s="54"/>
      <c r="G142" s="54"/>
      <c r="H142" s="54"/>
      <c r="I142" s="60" t="str">
        <f t="shared" si="3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53"/>
      <c r="B143" s="63"/>
      <c r="C143" s="63"/>
      <c r="D143" s="63"/>
      <c r="E143" s="54"/>
      <c r="F143" s="54"/>
      <c r="G143" s="54"/>
      <c r="H143" s="54"/>
      <c r="I143" s="60" t="str">
        <f t="shared" si="3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53"/>
      <c r="B144" s="63"/>
      <c r="C144" s="63"/>
      <c r="D144" s="63"/>
      <c r="E144" s="54"/>
      <c r="F144" s="54"/>
      <c r="G144" s="54"/>
      <c r="H144" s="54"/>
      <c r="I144" s="60" t="str">
        <f t="shared" si="3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53"/>
      <c r="B145" s="63"/>
      <c r="C145" s="63"/>
      <c r="D145" s="63"/>
      <c r="E145" s="54"/>
      <c r="F145" s="54"/>
      <c r="G145" s="54"/>
      <c r="H145" s="54"/>
      <c r="I145" s="60" t="str">
        <f t="shared" si="3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53"/>
      <c r="B146" s="63"/>
      <c r="C146" s="63"/>
      <c r="D146" s="63"/>
      <c r="E146" s="54"/>
      <c r="F146" s="54"/>
      <c r="G146" s="54"/>
      <c r="H146" s="54"/>
      <c r="I146" s="60" t="str">
        <f t="shared" si="3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53"/>
      <c r="B148" s="63"/>
      <c r="C148" s="53"/>
      <c r="D148" s="63"/>
      <c r="E148" s="54"/>
      <c r="F148" s="54"/>
      <c r="G148" s="54"/>
      <c r="H148" s="54"/>
      <c r="I148" s="60" t="str">
        <f t="shared" si="3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53"/>
      <c r="B149" s="63"/>
      <c r="C149" s="53"/>
      <c r="D149" s="63"/>
      <c r="E149" s="54"/>
      <c r="F149" s="54"/>
      <c r="G149" s="54"/>
      <c r="H149" s="54"/>
      <c r="I149" s="60" t="str">
        <f t="shared" si="3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53"/>
      <c r="B150" s="63"/>
      <c r="C150" s="53"/>
      <c r="D150" s="63"/>
      <c r="E150" s="54"/>
      <c r="F150" s="54"/>
      <c r="G150" s="54"/>
      <c r="H150" s="54"/>
      <c r="I150" s="60" t="str">
        <f t="shared" si="3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53"/>
      <c r="B151" s="63"/>
      <c r="C151" s="53"/>
      <c r="D151" s="63"/>
      <c r="E151" s="54"/>
      <c r="F151" s="54"/>
      <c r="G151" s="54"/>
      <c r="H151" s="54"/>
      <c r="I151" s="60" t="str">
        <f t="shared" si="3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53"/>
      <c r="B152" s="63"/>
      <c r="C152" s="53"/>
      <c r="D152" s="63"/>
      <c r="E152" s="57"/>
      <c r="F152" s="57"/>
      <c r="G152" s="57"/>
      <c r="H152" s="57"/>
      <c r="I152" s="60" t="str">
        <f t="shared" si="3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53"/>
      <c r="B153" s="63"/>
      <c r="C153" s="53"/>
      <c r="D153" s="63"/>
      <c r="E153" s="57"/>
      <c r="F153" s="57"/>
      <c r="G153" s="57"/>
      <c r="H153" s="57"/>
      <c r="I153" s="60" t="str">
        <f t="shared" si="3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58"/>
      <c r="B154" s="59"/>
      <c r="C154" s="53"/>
      <c r="D154" s="53"/>
      <c r="E154" s="57"/>
      <c r="F154" s="57"/>
      <c r="G154" s="57"/>
      <c r="H154" s="57"/>
      <c r="I154" s="60" t="str">
        <f t="shared" si="3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58"/>
      <c r="B155" s="59"/>
      <c r="C155" s="53"/>
      <c r="D155" s="53"/>
      <c r="E155" s="57"/>
      <c r="F155" s="57"/>
      <c r="G155" s="57"/>
      <c r="H155" s="57"/>
      <c r="I155" s="60" t="str">
        <f t="shared" si="3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58"/>
      <c r="B156" s="59"/>
      <c r="C156" s="53"/>
      <c r="D156" s="53"/>
      <c r="E156" s="57"/>
      <c r="F156" s="57"/>
      <c r="G156" s="57"/>
      <c r="H156" s="57"/>
      <c r="I156" s="60" t="str">
        <f t="shared" si="3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58"/>
      <c r="B157" s="59"/>
      <c r="C157" s="53"/>
      <c r="D157" s="53"/>
      <c r="E157" s="57"/>
      <c r="F157" s="57"/>
      <c r="G157" s="57"/>
      <c r="H157" s="57"/>
      <c r="I157" s="60" t="str">
        <f t="shared" si="3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58"/>
      <c r="B158" s="59"/>
      <c r="C158" s="53"/>
      <c r="D158" s="53"/>
      <c r="E158" s="57"/>
      <c r="F158" s="57"/>
      <c r="G158" s="57"/>
      <c r="H158" s="57"/>
      <c r="I158" s="60" t="str">
        <f t="shared" si="3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58"/>
      <c r="B159" s="59"/>
      <c r="C159" s="53"/>
      <c r="D159" s="61"/>
      <c r="E159" s="57"/>
      <c r="F159" s="57"/>
      <c r="G159" s="57"/>
      <c r="H159" s="57"/>
      <c r="I159" s="60" t="str">
        <f t="shared" si="3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9" t="s">
        <v>170</v>
      </c>
      <c r="B162" s="55" t="str">
        <f>IF(B14="","",B14)</f>
        <v/>
      </c>
      <c r="D162" s="258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91" t="s">
        <v>185</v>
      </c>
      <c r="C164" s="292" t="s">
        <v>186</v>
      </c>
      <c r="D164" s="292"/>
      <c r="E164" s="293" t="s">
        <v>187</v>
      </c>
      <c r="F164" s="294"/>
      <c r="G164" s="294"/>
      <c r="H164" s="295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53"/>
      <c r="B166" s="63"/>
      <c r="C166" s="54"/>
      <c r="D166" s="63"/>
      <c r="E166" s="63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53"/>
      <c r="B167" s="63"/>
      <c r="C167" s="63"/>
      <c r="D167" s="63"/>
      <c r="E167" s="63"/>
      <c r="F167" s="54"/>
      <c r="G167" s="54"/>
      <c r="H167" s="54"/>
      <c r="I167" s="52" t="str">
        <f t="shared" ref="I167:I185" si="4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53"/>
      <c r="B168" s="63"/>
      <c r="C168" s="63"/>
      <c r="D168" s="63"/>
      <c r="E168" s="63"/>
      <c r="F168" s="54"/>
      <c r="G168" s="54"/>
      <c r="H168" s="54"/>
      <c r="I168" s="52" t="str">
        <f t="shared" si="4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53"/>
      <c r="B169" s="63"/>
      <c r="C169" s="63"/>
      <c r="D169" s="63"/>
      <c r="E169" s="63"/>
      <c r="F169" s="54"/>
      <c r="G169" s="54"/>
      <c r="H169" s="54"/>
      <c r="I169" s="52" t="str">
        <f t="shared" si="4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53"/>
      <c r="B170" s="63"/>
      <c r="C170" s="63"/>
      <c r="D170" s="63"/>
      <c r="E170" s="63"/>
      <c r="F170" s="54"/>
      <c r="G170" s="54"/>
      <c r="H170" s="54"/>
      <c r="I170" s="52" t="str">
        <f t="shared" si="4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53"/>
      <c r="B171" s="63"/>
      <c r="C171" s="63"/>
      <c r="D171" s="63"/>
      <c r="E171" s="63"/>
      <c r="F171" s="54"/>
      <c r="G171" s="54"/>
      <c r="H171" s="54"/>
      <c r="I171" s="52" t="str">
        <f t="shared" si="4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53"/>
      <c r="B172" s="63"/>
      <c r="C172" s="63"/>
      <c r="D172" s="63"/>
      <c r="E172" s="63"/>
      <c r="F172" s="54"/>
      <c r="G172" s="54"/>
      <c r="H172" s="54"/>
      <c r="I172" s="52" t="str">
        <f t="shared" si="4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282"/>
      <c r="B173" s="63"/>
      <c r="C173" s="63"/>
      <c r="D173" s="63"/>
      <c r="E173" s="63"/>
      <c r="F173" s="54"/>
      <c r="G173" s="54"/>
      <c r="H173" s="54"/>
      <c r="I173" s="52" t="str">
        <f t="shared" si="4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282"/>
      <c r="B174" s="63"/>
      <c r="C174" s="63"/>
      <c r="D174" s="63"/>
      <c r="E174" s="63"/>
      <c r="F174" s="54"/>
      <c r="G174" s="54"/>
      <c r="H174" s="54"/>
      <c r="I174" s="52" t="str">
        <f t="shared" si="4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282"/>
      <c r="B175" s="63"/>
      <c r="C175" s="63"/>
      <c r="D175" s="63"/>
      <c r="E175" s="63"/>
      <c r="F175" s="54"/>
      <c r="G175" s="54"/>
      <c r="H175" s="54"/>
      <c r="I175" s="52" t="str">
        <f t="shared" si="4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282"/>
      <c r="B176" s="63"/>
      <c r="C176" s="63"/>
      <c r="D176" s="63"/>
      <c r="E176" s="63"/>
      <c r="F176" s="54"/>
      <c r="G176" s="54"/>
      <c r="H176" s="54"/>
      <c r="I176" s="52" t="str">
        <f t="shared" si="4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282"/>
      <c r="B177" s="63"/>
      <c r="C177" s="63"/>
      <c r="D177" s="63"/>
      <c r="E177" s="63"/>
      <c r="F177" s="54"/>
      <c r="G177" s="54"/>
      <c r="H177" s="54"/>
      <c r="I177" s="52" t="str">
        <f t="shared" si="4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282"/>
      <c r="B178" s="63"/>
      <c r="C178" s="63"/>
      <c r="D178" s="63"/>
      <c r="E178" s="63"/>
      <c r="F178" s="54"/>
      <c r="G178" s="54"/>
      <c r="H178" s="54"/>
      <c r="I178" s="52" t="str">
        <f t="shared" si="4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282"/>
      <c r="B179" s="63"/>
      <c r="C179" s="63"/>
      <c r="D179" s="63"/>
      <c r="E179" s="63"/>
      <c r="F179" s="54"/>
      <c r="G179" s="54"/>
      <c r="H179" s="54"/>
      <c r="I179" s="52" t="str">
        <f t="shared" si="4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282"/>
      <c r="B180" s="63"/>
      <c r="C180" s="53"/>
      <c r="D180" s="63"/>
      <c r="E180" s="63"/>
      <c r="F180" s="54"/>
      <c r="G180" s="54"/>
      <c r="H180" s="54"/>
      <c r="I180" s="52" t="str">
        <f t="shared" si="4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282"/>
      <c r="B181" s="63"/>
      <c r="C181" s="53"/>
      <c r="D181" s="63"/>
      <c r="E181" s="63"/>
      <c r="F181" s="54"/>
      <c r="G181" s="54"/>
      <c r="H181" s="54"/>
      <c r="I181" s="52" t="str">
        <f t="shared" si="4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282"/>
      <c r="B182" s="63"/>
      <c r="C182" s="53"/>
      <c r="D182" s="63"/>
      <c r="E182" s="63"/>
      <c r="F182" s="54"/>
      <c r="G182" s="54"/>
      <c r="H182" s="54"/>
      <c r="I182" s="52" t="str">
        <f t="shared" si="4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282"/>
      <c r="B183" s="63"/>
      <c r="C183" s="53"/>
      <c r="D183" s="63"/>
      <c r="E183" s="63"/>
      <c r="F183" s="54"/>
      <c r="G183" s="54"/>
      <c r="H183" s="54"/>
      <c r="I183" s="52" t="str">
        <f t="shared" si="4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282"/>
      <c r="B184" s="63"/>
      <c r="C184" s="53"/>
      <c r="D184" s="63"/>
      <c r="E184" s="63"/>
      <c r="F184" s="54"/>
      <c r="G184" s="54"/>
      <c r="H184" s="54"/>
      <c r="I184" s="52" t="str">
        <f t="shared" si="4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282"/>
      <c r="B185" s="63"/>
      <c r="C185" s="53"/>
      <c r="D185" s="63"/>
      <c r="E185" s="63"/>
      <c r="F185" s="54"/>
      <c r="G185" s="54"/>
      <c r="H185" s="54"/>
      <c r="I185" s="52" t="str">
        <f t="shared" si="4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9" t="s">
        <v>171</v>
      </c>
      <c r="B188" s="55" t="str">
        <f>IF(B15="","",B15)</f>
        <v/>
      </c>
      <c r="D188" s="258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91" t="s">
        <v>185</v>
      </c>
      <c r="C190" s="292" t="s">
        <v>186</v>
      </c>
      <c r="D190" s="292"/>
      <c r="E190" s="293" t="s">
        <v>187</v>
      </c>
      <c r="F190" s="294"/>
      <c r="G190" s="294"/>
      <c r="H190" s="295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/>
      <c r="B192" s="63"/>
      <c r="C192" s="63"/>
      <c r="D192" s="63"/>
      <c r="E192" s="54"/>
      <c r="F192" s="54"/>
      <c r="G192" s="54"/>
      <c r="H192" s="93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/>
      <c r="B193" s="63"/>
      <c r="C193" s="63"/>
      <c r="D193" s="63"/>
      <c r="E193" s="54"/>
      <c r="F193" s="54"/>
      <c r="G193" s="54"/>
      <c r="H193" s="93"/>
      <c r="I193" s="52" t="str">
        <f t="shared" ref="I193:I211" si="5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53"/>
      <c r="B194" s="63"/>
      <c r="C194" s="63"/>
      <c r="D194" s="63"/>
      <c r="E194" s="93"/>
      <c r="F194" s="93"/>
      <c r="G194" s="93"/>
      <c r="H194" s="93"/>
      <c r="I194" s="52" t="str">
        <f t="shared" si="5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3"/>
      <c r="B195" s="63"/>
      <c r="C195" s="63"/>
      <c r="D195" s="63"/>
      <c r="E195" s="93"/>
      <c r="F195" s="93"/>
      <c r="G195" s="93"/>
      <c r="H195" s="93"/>
      <c r="I195" s="52" t="str">
        <f t="shared" si="5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3"/>
      <c r="B196" s="63"/>
      <c r="C196" s="63"/>
      <c r="D196" s="63"/>
      <c r="E196" s="93"/>
      <c r="F196" s="93"/>
      <c r="G196" s="93"/>
      <c r="H196" s="93"/>
      <c r="I196" s="52" t="str">
        <f t="shared" si="5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53"/>
      <c r="B197" s="63"/>
      <c r="C197" s="63"/>
      <c r="D197" s="63"/>
      <c r="E197" s="93"/>
      <c r="F197" s="93"/>
      <c r="G197" s="93"/>
      <c r="H197" s="93"/>
      <c r="I197" s="52" t="str">
        <f t="shared" si="5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53"/>
      <c r="B198" s="63"/>
      <c r="C198" s="63"/>
      <c r="D198" s="63"/>
      <c r="E198" s="93"/>
      <c r="F198" s="93"/>
      <c r="G198" s="93"/>
      <c r="H198" s="93"/>
      <c r="I198" s="52" t="str">
        <f t="shared" si="5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63"/>
      <c r="B199" s="63"/>
      <c r="C199" s="63"/>
      <c r="D199" s="63"/>
      <c r="E199" s="93"/>
      <c r="F199" s="93"/>
      <c r="G199" s="93"/>
      <c r="H199" s="93"/>
      <c r="I199" s="52" t="str">
        <f t="shared" si="5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63"/>
      <c r="B200" s="63"/>
      <c r="C200" s="63"/>
      <c r="D200" s="63"/>
      <c r="E200" s="93"/>
      <c r="F200" s="93"/>
      <c r="G200" s="93"/>
      <c r="H200" s="93"/>
      <c r="I200" s="52" t="str">
        <f t="shared" si="5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53"/>
      <c r="B201" s="53"/>
      <c r="C201" s="53"/>
      <c r="D201" s="53"/>
      <c r="E201" s="66"/>
      <c r="F201" s="66"/>
      <c r="G201" s="66"/>
      <c r="H201" s="66"/>
      <c r="I201" s="52" t="str">
        <f t="shared" si="5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53"/>
      <c r="B202" s="53"/>
      <c r="C202" s="53"/>
      <c r="D202" s="53"/>
      <c r="E202" s="66"/>
      <c r="F202" s="66"/>
      <c r="G202" s="66"/>
      <c r="H202" s="66"/>
      <c r="I202" s="52" t="str">
        <f t="shared" si="5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53"/>
      <c r="B203" s="53"/>
      <c r="C203" s="53"/>
      <c r="D203" s="53"/>
      <c r="E203" s="66"/>
      <c r="F203" s="66"/>
      <c r="G203" s="66"/>
      <c r="H203" s="66"/>
      <c r="I203" s="52" t="str">
        <f t="shared" si="5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53"/>
      <c r="B204" s="53"/>
      <c r="C204" s="53"/>
      <c r="D204" s="53"/>
      <c r="E204" s="67"/>
      <c r="F204" s="67"/>
      <c r="G204" s="67"/>
      <c r="H204" s="67"/>
      <c r="I204" s="52" t="str">
        <f t="shared" si="5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53"/>
      <c r="B205" s="53"/>
      <c r="C205" s="53"/>
      <c r="D205" s="53"/>
      <c r="E205" s="57"/>
      <c r="F205" s="57"/>
      <c r="G205" s="57"/>
      <c r="H205" s="57"/>
      <c r="I205" s="52" t="str">
        <f t="shared" si="5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53"/>
      <c r="B206" s="53"/>
      <c r="C206" s="53"/>
      <c r="D206" s="53"/>
      <c r="E206" s="57"/>
      <c r="F206" s="57"/>
      <c r="G206" s="57"/>
      <c r="H206" s="57"/>
      <c r="I206" s="52" t="str">
        <f t="shared" si="5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53"/>
      <c r="B207" s="53"/>
      <c r="C207" s="53"/>
      <c r="D207" s="53"/>
      <c r="E207" s="57"/>
      <c r="F207" s="57"/>
      <c r="G207" s="57"/>
      <c r="H207" s="57"/>
      <c r="I207" s="52" t="str">
        <f t="shared" si="5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3"/>
      <c r="B208" s="53"/>
      <c r="C208" s="53"/>
      <c r="D208" s="53"/>
      <c r="E208" s="57"/>
      <c r="F208" s="57"/>
      <c r="G208" s="57"/>
      <c r="H208" s="57"/>
      <c r="I208" s="52" t="str">
        <f t="shared" si="5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3"/>
      <c r="B209" s="53"/>
      <c r="C209" s="53"/>
      <c r="D209" s="53"/>
      <c r="E209" s="57"/>
      <c r="F209" s="57"/>
      <c r="G209" s="57"/>
      <c r="H209" s="57"/>
      <c r="I209" s="52" t="str">
        <f t="shared" si="5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53"/>
      <c r="B210" s="53"/>
      <c r="C210" s="53"/>
      <c r="D210" s="53"/>
      <c r="E210" s="57"/>
      <c r="F210" s="57"/>
      <c r="G210" s="57"/>
      <c r="H210" s="57"/>
      <c r="I210" s="52" t="str">
        <f t="shared" si="5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3"/>
      <c r="B211" s="53"/>
      <c r="C211" s="53"/>
      <c r="D211" s="53"/>
      <c r="E211" s="57"/>
      <c r="F211" s="57"/>
      <c r="G211" s="57"/>
      <c r="H211" s="57"/>
      <c r="I211" s="52" t="str">
        <f t="shared" si="5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9" t="s">
        <v>172</v>
      </c>
      <c r="B214" s="55" t="str">
        <f>IF(B16="","",B16)</f>
        <v/>
      </c>
      <c r="D214" s="258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91" t="s">
        <v>185</v>
      </c>
      <c r="C216" s="292" t="s">
        <v>186</v>
      </c>
      <c r="D216" s="292"/>
      <c r="E216" s="293" t="s">
        <v>187</v>
      </c>
      <c r="F216" s="294"/>
      <c r="G216" s="294"/>
      <c r="H216" s="295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53"/>
      <c r="B218" s="63"/>
      <c r="C218" s="63"/>
      <c r="D218" s="63"/>
      <c r="E218" s="54"/>
      <c r="F218" s="54"/>
      <c r="G218" s="54"/>
      <c r="H218" s="93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53"/>
      <c r="B219" s="63"/>
      <c r="C219" s="63"/>
      <c r="D219" s="63"/>
      <c r="E219" s="54"/>
      <c r="F219" s="54"/>
      <c r="G219" s="54"/>
      <c r="H219" s="93"/>
      <c r="I219" s="56" t="str">
        <f t="shared" ref="I219:I237" si="6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53"/>
      <c r="B220" s="63"/>
      <c r="C220" s="63"/>
      <c r="D220" s="63"/>
      <c r="E220" s="93"/>
      <c r="F220" s="93"/>
      <c r="G220" s="93"/>
      <c r="H220" s="54"/>
      <c r="I220" s="56" t="str">
        <f t="shared" si="6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53"/>
      <c r="B221" s="63"/>
      <c r="C221" s="63"/>
      <c r="D221" s="63"/>
      <c r="E221" s="93"/>
      <c r="F221" s="93"/>
      <c r="G221" s="93"/>
      <c r="H221" s="54"/>
      <c r="I221" s="56" t="str">
        <f t="shared" si="6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53"/>
      <c r="B222" s="63"/>
      <c r="C222" s="63"/>
      <c r="D222" s="63"/>
      <c r="E222" s="93"/>
      <c r="F222" s="93"/>
      <c r="G222" s="93"/>
      <c r="H222" s="54"/>
      <c r="I222" s="56" t="str">
        <f t="shared" si="6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53"/>
      <c r="B223" s="63"/>
      <c r="C223" s="63"/>
      <c r="D223" s="63"/>
      <c r="E223" s="93"/>
      <c r="F223" s="93"/>
      <c r="G223" s="93"/>
      <c r="H223" s="93"/>
      <c r="I223" s="56" t="str">
        <f t="shared" si="6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63"/>
      <c r="B224" s="63"/>
      <c r="C224" s="63"/>
      <c r="D224" s="63"/>
      <c r="E224" s="93"/>
      <c r="F224" s="93"/>
      <c r="G224" s="93"/>
      <c r="H224" s="93"/>
      <c r="I224" s="56" t="str">
        <f t="shared" si="6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63"/>
      <c r="B225" s="63"/>
      <c r="C225" s="63"/>
      <c r="D225" s="63"/>
      <c r="E225" s="93"/>
      <c r="F225" s="93"/>
      <c r="G225" s="93"/>
      <c r="H225" s="93"/>
      <c r="I225" s="56" t="str">
        <f t="shared" si="6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63"/>
      <c r="B226" s="63"/>
      <c r="C226" s="63"/>
      <c r="D226" s="63"/>
      <c r="E226" s="93"/>
      <c r="F226" s="93"/>
      <c r="G226" s="93"/>
      <c r="H226" s="93"/>
      <c r="I226" s="56" t="str">
        <f t="shared" si="6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63"/>
      <c r="B227" s="63"/>
      <c r="C227" s="63"/>
      <c r="D227" s="63"/>
      <c r="E227" s="93"/>
      <c r="F227" s="93"/>
      <c r="G227" s="93"/>
      <c r="H227" s="93"/>
      <c r="I227" s="56" t="str">
        <f t="shared" si="6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63"/>
      <c r="B228" s="63"/>
      <c r="C228" s="63"/>
      <c r="D228" s="63"/>
      <c r="E228" s="93"/>
      <c r="F228" s="93"/>
      <c r="G228" s="93"/>
      <c r="H228" s="93"/>
      <c r="I228" s="56" t="str">
        <f t="shared" si="6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63"/>
      <c r="B229" s="63"/>
      <c r="C229" s="63"/>
      <c r="D229" s="63"/>
      <c r="E229" s="93"/>
      <c r="F229" s="93"/>
      <c r="G229" s="93"/>
      <c r="H229" s="93"/>
      <c r="I229" s="56" t="str">
        <f t="shared" si="6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63"/>
      <c r="B230" s="63"/>
      <c r="C230" s="63"/>
      <c r="D230" s="63"/>
      <c r="E230" s="68"/>
      <c r="F230" s="68"/>
      <c r="G230" s="68"/>
      <c r="H230" s="68"/>
      <c r="I230" s="56" t="str">
        <f t="shared" si="6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63"/>
      <c r="B231" s="63"/>
      <c r="C231" s="63"/>
      <c r="D231" s="63"/>
      <c r="E231" s="68"/>
      <c r="F231" s="68"/>
      <c r="G231" s="68"/>
      <c r="H231" s="68"/>
      <c r="I231" s="56" t="str">
        <f t="shared" si="6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53"/>
      <c r="B232" s="63"/>
      <c r="C232" s="63"/>
      <c r="D232" s="53"/>
      <c r="E232" s="57"/>
      <c r="F232" s="57"/>
      <c r="G232" s="57"/>
      <c r="H232" s="57"/>
      <c r="I232" s="56" t="str">
        <f t="shared" si="6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53"/>
      <c r="B233" s="53"/>
      <c r="C233" s="53"/>
      <c r="D233" s="53"/>
      <c r="E233" s="54"/>
      <c r="F233" s="54"/>
      <c r="G233" s="54"/>
      <c r="H233" s="54"/>
      <c r="I233" s="56" t="str">
        <f t="shared" si="6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53"/>
      <c r="B234" s="53"/>
      <c r="C234" s="53"/>
      <c r="D234" s="53"/>
      <c r="E234" s="54"/>
      <c r="F234" s="54"/>
      <c r="G234" s="54"/>
      <c r="H234" s="54"/>
      <c r="I234" s="56" t="str">
        <f t="shared" si="6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53"/>
      <c r="B235" s="53"/>
      <c r="C235" s="53"/>
      <c r="D235" s="53"/>
      <c r="E235" s="54"/>
      <c r="F235" s="54"/>
      <c r="G235" s="54"/>
      <c r="H235" s="54"/>
      <c r="I235" s="56" t="str">
        <f t="shared" si="6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53"/>
      <c r="B236" s="53"/>
      <c r="C236" s="53"/>
      <c r="D236" s="53"/>
      <c r="E236" s="54"/>
      <c r="F236" s="54"/>
      <c r="G236" s="54"/>
      <c r="H236" s="54"/>
      <c r="I236" s="56" t="str">
        <f t="shared" si="6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53"/>
      <c r="B237" s="53"/>
      <c r="C237" s="53"/>
      <c r="D237" s="53"/>
      <c r="E237" s="54"/>
      <c r="F237" s="54"/>
      <c r="G237" s="54"/>
      <c r="H237" s="54"/>
      <c r="I237" s="56" t="str">
        <f t="shared" si="6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9" t="s">
        <v>173</v>
      </c>
      <c r="B240" s="55" t="str">
        <f>IF(B17="","",B17)</f>
        <v/>
      </c>
      <c r="D240" s="258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91" t="s">
        <v>185</v>
      </c>
      <c r="C242" s="292" t="s">
        <v>186</v>
      </c>
      <c r="D242" s="292"/>
      <c r="E242" s="293" t="s">
        <v>187</v>
      </c>
      <c r="F242" s="294"/>
      <c r="G242" s="294"/>
      <c r="H242" s="295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3"/>
      <c r="B244" s="63"/>
      <c r="C244" s="63"/>
      <c r="D244" s="63"/>
      <c r="E244" s="54"/>
      <c r="F244" s="54"/>
      <c r="G244" s="54"/>
      <c r="H244" s="54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3"/>
      <c r="B245" s="63"/>
      <c r="C245" s="63"/>
      <c r="D245" s="63"/>
      <c r="E245" s="54"/>
      <c r="F245" s="54"/>
      <c r="G245" s="54"/>
      <c r="H245" s="54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3"/>
      <c r="B246" s="63"/>
      <c r="C246" s="63"/>
      <c r="D246" s="63"/>
      <c r="E246" s="54"/>
      <c r="F246" s="54"/>
      <c r="G246" s="54"/>
      <c r="H246" s="54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3"/>
      <c r="B247" s="63"/>
      <c r="C247" s="63"/>
      <c r="D247" s="63"/>
      <c r="E247" s="54"/>
      <c r="F247" s="54"/>
      <c r="G247" s="54"/>
      <c r="H247" s="54"/>
      <c r="I247" s="56" t="str">
        <f t="shared" ref="I247:I263" si="7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3"/>
      <c r="B248" s="63"/>
      <c r="C248" s="63"/>
      <c r="D248" s="63"/>
      <c r="E248" s="54"/>
      <c r="F248" s="54"/>
      <c r="G248" s="54"/>
      <c r="H248" s="54"/>
      <c r="I248" s="56" t="str">
        <f t="shared" si="7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3"/>
      <c r="B249" s="63"/>
      <c r="C249" s="63"/>
      <c r="D249" s="63"/>
      <c r="E249" s="54"/>
      <c r="F249" s="54"/>
      <c r="G249" s="54"/>
      <c r="H249" s="54"/>
      <c r="I249" s="56" t="str">
        <f t="shared" si="7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53"/>
      <c r="B250" s="63"/>
      <c r="C250" s="63"/>
      <c r="D250" s="63"/>
      <c r="E250" s="54"/>
      <c r="F250" s="54"/>
      <c r="G250" s="54"/>
      <c r="H250" s="54"/>
      <c r="I250" s="56" t="str">
        <f t="shared" si="7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53"/>
      <c r="B251" s="53"/>
      <c r="C251" s="53"/>
      <c r="D251" s="53"/>
      <c r="E251" s="54"/>
      <c r="F251" s="54"/>
      <c r="G251" s="54"/>
      <c r="H251" s="54"/>
      <c r="I251" s="56" t="str">
        <f t="shared" si="7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53"/>
      <c r="B252" s="53"/>
      <c r="C252" s="53"/>
      <c r="D252" s="53"/>
      <c r="E252" s="54"/>
      <c r="F252" s="54"/>
      <c r="G252" s="54"/>
      <c r="H252" s="54"/>
      <c r="I252" s="56" t="str">
        <f t="shared" si="7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58"/>
      <c r="B253" s="58"/>
      <c r="C253" s="58"/>
      <c r="D253" s="58"/>
      <c r="E253" s="66"/>
      <c r="F253" s="66"/>
      <c r="G253" s="66"/>
      <c r="H253" s="66"/>
      <c r="I253" s="56" t="str">
        <f t="shared" si="7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58"/>
      <c r="B254" s="58"/>
      <c r="C254" s="58"/>
      <c r="D254" s="58"/>
      <c r="E254" s="66"/>
      <c r="F254" s="66"/>
      <c r="G254" s="66"/>
      <c r="H254" s="66"/>
      <c r="I254" s="56" t="str">
        <f t="shared" si="7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58"/>
      <c r="B255" s="58"/>
      <c r="C255" s="58"/>
      <c r="D255" s="58"/>
      <c r="E255" s="66"/>
      <c r="F255" s="66"/>
      <c r="G255" s="66"/>
      <c r="H255" s="66"/>
      <c r="I255" s="56" t="str">
        <f t="shared" si="7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58"/>
      <c r="B256" s="58"/>
      <c r="C256" s="58"/>
      <c r="D256" s="58"/>
      <c r="E256" s="67"/>
      <c r="F256" s="67"/>
      <c r="G256" s="67"/>
      <c r="H256" s="67"/>
      <c r="I256" s="56" t="str">
        <f t="shared" si="7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94"/>
      <c r="B257" s="63"/>
      <c r="C257" s="94"/>
      <c r="D257" s="63"/>
      <c r="E257" s="57"/>
      <c r="F257" s="57"/>
      <c r="G257" s="57"/>
      <c r="H257" s="57"/>
      <c r="I257" s="56" t="str">
        <f t="shared" si="7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3"/>
      <c r="B258" s="53"/>
      <c r="C258" s="53"/>
      <c r="D258" s="53"/>
      <c r="E258" s="57"/>
      <c r="F258" s="57"/>
      <c r="G258" s="57"/>
      <c r="H258" s="57"/>
      <c r="I258" s="56" t="str">
        <f t="shared" si="7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3"/>
      <c r="B259" s="53"/>
      <c r="C259" s="53"/>
      <c r="D259" s="53"/>
      <c r="E259" s="57"/>
      <c r="F259" s="57"/>
      <c r="G259" s="57"/>
      <c r="H259" s="57"/>
      <c r="I259" s="56" t="str">
        <f t="shared" si="7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3"/>
      <c r="B260" s="53"/>
      <c r="C260" s="53"/>
      <c r="D260" s="53"/>
      <c r="E260" s="57"/>
      <c r="F260" s="57"/>
      <c r="G260" s="57"/>
      <c r="H260" s="57"/>
      <c r="I260" s="56" t="str">
        <f t="shared" si="7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3"/>
      <c r="B261" s="53"/>
      <c r="C261" s="53"/>
      <c r="D261" s="53"/>
      <c r="E261" s="57"/>
      <c r="F261" s="57"/>
      <c r="G261" s="57"/>
      <c r="H261" s="57"/>
      <c r="I261" s="56" t="str">
        <f t="shared" si="7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3"/>
      <c r="B262" s="53"/>
      <c r="C262" s="53"/>
      <c r="D262" s="53"/>
      <c r="E262" s="57"/>
      <c r="F262" s="57"/>
      <c r="G262" s="57"/>
      <c r="H262" s="57"/>
      <c r="I262" s="56" t="str">
        <f t="shared" si="7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3"/>
      <c r="B263" s="53"/>
      <c r="C263" s="53"/>
      <c r="D263" s="53"/>
      <c r="E263" s="57"/>
      <c r="F263" s="57"/>
      <c r="G263" s="57"/>
      <c r="H263" s="57"/>
      <c r="I263" s="56" t="str">
        <f t="shared" si="7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9" t="s">
        <v>174</v>
      </c>
      <c r="B266" s="55" t="str">
        <f>IF(B18="","",B18)</f>
        <v/>
      </c>
      <c r="D266" s="258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91" t="s">
        <v>185</v>
      </c>
      <c r="C268" s="292" t="s">
        <v>186</v>
      </c>
      <c r="D268" s="292"/>
      <c r="E268" s="293" t="s">
        <v>187</v>
      </c>
      <c r="F268" s="294"/>
      <c r="G268" s="294"/>
      <c r="H268" s="295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8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3"/>
      <c r="B273" s="63"/>
      <c r="C273" s="53"/>
      <c r="D273" s="63"/>
      <c r="E273" s="54"/>
      <c r="F273" s="54"/>
      <c r="G273" s="54"/>
      <c r="H273" s="54"/>
      <c r="I273" s="56" t="str">
        <f t="shared" si="8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3"/>
      <c r="B274" s="63"/>
      <c r="C274" s="53"/>
      <c r="D274" s="63"/>
      <c r="E274" s="54"/>
      <c r="F274" s="54"/>
      <c r="G274" s="54"/>
      <c r="H274" s="54"/>
      <c r="I274" s="56" t="str">
        <f t="shared" si="8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3"/>
      <c r="B275" s="63"/>
      <c r="C275" s="53"/>
      <c r="D275" s="63"/>
      <c r="E275" s="54"/>
      <c r="F275" s="54"/>
      <c r="G275" s="54"/>
      <c r="H275" s="54"/>
      <c r="I275" s="56" t="str">
        <f t="shared" si="8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3"/>
      <c r="B276" s="63"/>
      <c r="C276" s="53"/>
      <c r="D276" s="63"/>
      <c r="E276" s="54"/>
      <c r="F276" s="54"/>
      <c r="G276" s="54"/>
      <c r="H276" s="54"/>
      <c r="I276" s="56" t="str">
        <f t="shared" si="8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53"/>
      <c r="B277" s="63"/>
      <c r="C277" s="53"/>
      <c r="D277" s="63"/>
      <c r="E277" s="54"/>
      <c r="F277" s="54"/>
      <c r="G277" s="54"/>
      <c r="H277" s="54"/>
      <c r="I277" s="56" t="str">
        <f t="shared" si="8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53"/>
      <c r="B278" s="63"/>
      <c r="C278" s="53"/>
      <c r="D278" s="63"/>
      <c r="E278" s="54"/>
      <c r="F278" s="54"/>
      <c r="G278" s="54"/>
      <c r="H278" s="54"/>
      <c r="I278" s="56" t="str">
        <f t="shared" si="8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53"/>
      <c r="B279" s="63"/>
      <c r="C279" s="53"/>
      <c r="D279" s="63"/>
      <c r="E279" s="54"/>
      <c r="F279" s="54"/>
      <c r="G279" s="54"/>
      <c r="H279" s="54"/>
      <c r="I279" s="56" t="str">
        <f t="shared" si="8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53"/>
      <c r="B280" s="63"/>
      <c r="C280" s="53"/>
      <c r="D280" s="63"/>
      <c r="E280" s="54"/>
      <c r="F280" s="54"/>
      <c r="G280" s="54"/>
      <c r="H280" s="54"/>
      <c r="I280" s="56" t="str">
        <f t="shared" si="8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53"/>
      <c r="B281" s="63"/>
      <c r="C281" s="53"/>
      <c r="D281" s="63"/>
      <c r="E281" s="54"/>
      <c r="F281" s="54"/>
      <c r="G281" s="54"/>
      <c r="H281" s="54"/>
      <c r="I281" s="56" t="str">
        <f t="shared" si="8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53"/>
      <c r="B282" s="63"/>
      <c r="C282" s="53"/>
      <c r="D282" s="63"/>
      <c r="E282" s="57"/>
      <c r="F282" s="57"/>
      <c r="G282" s="57"/>
      <c r="H282" s="57"/>
      <c r="I282" s="56" t="str">
        <f t="shared" si="8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53"/>
      <c r="B283" s="63"/>
      <c r="C283" s="53"/>
      <c r="D283" s="63"/>
      <c r="E283" s="57"/>
      <c r="F283" s="57"/>
      <c r="G283" s="57"/>
      <c r="H283" s="57"/>
      <c r="I283" s="56" t="str">
        <f t="shared" si="8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58"/>
      <c r="B284" s="59"/>
      <c r="C284" s="53"/>
      <c r="D284" s="53"/>
      <c r="E284" s="57"/>
      <c r="F284" s="57"/>
      <c r="G284" s="57"/>
      <c r="H284" s="57"/>
      <c r="I284" s="56" t="str">
        <f t="shared" si="8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58"/>
      <c r="B285" s="59"/>
      <c r="C285" s="53"/>
      <c r="D285" s="53"/>
      <c r="E285" s="57"/>
      <c r="F285" s="57"/>
      <c r="G285" s="57"/>
      <c r="H285" s="57"/>
      <c r="I285" s="56" t="str">
        <f t="shared" si="8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58"/>
      <c r="B286" s="59"/>
      <c r="C286" s="53"/>
      <c r="D286" s="53"/>
      <c r="E286" s="57"/>
      <c r="F286" s="57"/>
      <c r="G286" s="57"/>
      <c r="H286" s="57"/>
      <c r="I286" s="56" t="str">
        <f t="shared" si="8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58"/>
      <c r="B287" s="59"/>
      <c r="C287" s="53"/>
      <c r="D287" s="53"/>
      <c r="E287" s="57"/>
      <c r="F287" s="57"/>
      <c r="G287" s="57"/>
      <c r="H287" s="57"/>
      <c r="I287" s="56" t="str">
        <f t="shared" si="8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58"/>
      <c r="B288" s="59"/>
      <c r="C288" s="53"/>
      <c r="D288" s="53"/>
      <c r="E288" s="57"/>
      <c r="F288" s="57"/>
      <c r="G288" s="57"/>
      <c r="H288" s="57"/>
      <c r="I288" s="56" t="str">
        <f t="shared" si="8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58"/>
      <c r="B289" s="59"/>
      <c r="C289" s="53"/>
      <c r="D289" s="61"/>
      <c r="E289" s="57"/>
      <c r="F289" s="57"/>
      <c r="G289" s="57"/>
      <c r="H289" s="57"/>
      <c r="I289" s="56" t="str">
        <f t="shared" si="8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Paramètres!$A$2:$A$87</xm:f>
          </x14:formula1>
          <xm:sqref>B10:B18</xm:sqref>
        </x14:dataValidation>
        <x14:dataValidation type="list" allowBlank="1" showInputMessage="1" showErrorMessage="1">
          <x14:formula1>
            <xm:f>Paramètres!$A$2:$A$87</xm:f>
          </x14:formula1>
          <xm:sqref>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Normal="100" workbookViewId="0">
      <selection activeCell="C17" sqref="C17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307" t="s">
        <v>191</v>
      </c>
      <c r="C2" s="308"/>
      <c r="D2" s="308"/>
      <c r="E2" s="308"/>
      <c r="F2" s="308"/>
      <c r="G2" s="309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306"/>
      <c r="C4" s="306"/>
      <c r="D4" s="306"/>
      <c r="E4" s="306"/>
      <c r="F4" s="306"/>
      <c r="G4" s="306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25"/>
      <c r="B6" s="236"/>
      <c r="C6" s="236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08"/>
      <c r="B7" s="29" t="s">
        <v>295</v>
      </c>
      <c r="C7" s="109" t="s">
        <v>214</v>
      </c>
      <c r="D7" s="234"/>
      <c r="E7" s="110"/>
      <c r="F7" s="29" t="s">
        <v>295</v>
      </c>
      <c r="G7" s="109" t="s">
        <v>215</v>
      </c>
      <c r="H7" s="235"/>
      <c r="I7" s="235"/>
      <c r="J7" s="235"/>
      <c r="K7" s="235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3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235"/>
      <c r="B13" s="116"/>
      <c r="C13" s="107" t="s">
        <v>273</v>
      </c>
      <c r="D13" s="235"/>
      <c r="E13" s="108"/>
      <c r="F13" s="116"/>
      <c r="G13" s="107" t="s">
        <v>301</v>
      </c>
      <c r="H13" s="235"/>
      <c r="I13" s="235"/>
      <c r="J13" s="235"/>
      <c r="K13" s="235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3">
      <c r="A14" s="235"/>
      <c r="B14" s="116"/>
      <c r="C14" s="107" t="s">
        <v>309</v>
      </c>
      <c r="D14" s="235"/>
      <c r="E14" s="108"/>
      <c r="F14" s="116"/>
      <c r="G14" s="107" t="s">
        <v>294</v>
      </c>
      <c r="H14" s="235"/>
      <c r="I14" s="235"/>
      <c r="J14" s="235"/>
      <c r="K14" s="235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3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71" bestFit="1" customWidth="1"/>
    <col min="2" max="4" width="11.44140625" style="71"/>
    <col min="5" max="5" width="9.5546875" style="71" customWidth="1"/>
    <col min="6" max="7" width="11.44140625" style="71"/>
    <col min="8" max="8" width="10.6640625" style="71" customWidth="1"/>
    <col min="9" max="9" width="9.44140625" style="71" customWidth="1"/>
    <col min="10" max="11" width="10.5546875" style="71" bestFit="1" customWidth="1"/>
    <col min="12" max="12" width="14" style="71" bestFit="1" customWidth="1"/>
    <col min="13" max="13" width="14" style="71" customWidth="1"/>
    <col min="14" max="23" width="11.44140625" style="71"/>
    <col min="24" max="24" width="11.6640625" style="71" bestFit="1" customWidth="1"/>
    <col min="25" max="25" width="14.5546875" style="71" bestFit="1" customWidth="1"/>
    <col min="26" max="26" width="12.44140625" style="71" bestFit="1" customWidth="1"/>
    <col min="27" max="27" width="9.6640625" style="71" bestFit="1" customWidth="1"/>
    <col min="28" max="28" width="11" style="71" bestFit="1" customWidth="1"/>
    <col min="29" max="29" width="9.44140625" style="71" bestFit="1" customWidth="1"/>
    <col min="30" max="31" width="9.44140625" style="71" customWidth="1"/>
    <col min="32" max="32" width="11.44140625" style="71"/>
    <col min="33" max="34" width="14" style="71" bestFit="1" customWidth="1"/>
    <col min="35" max="35" width="10.5546875" style="71" bestFit="1" customWidth="1"/>
    <col min="36" max="36" width="9.44140625" style="71" bestFit="1" customWidth="1"/>
    <col min="37" max="38" width="10.5546875" style="71" bestFit="1" customWidth="1"/>
    <col min="39" max="41" width="10.5546875" style="71" customWidth="1"/>
    <col min="42" max="42" width="9" style="71" bestFit="1" customWidth="1"/>
    <col min="43" max="43" width="10.5546875" style="71" bestFit="1" customWidth="1"/>
    <col min="44" max="44" width="9.33203125" style="71" bestFit="1" customWidth="1"/>
    <col min="45" max="45" width="11.6640625" style="71" bestFit="1" customWidth="1"/>
    <col min="46" max="46" width="8.44140625" style="71" bestFit="1" customWidth="1"/>
    <col min="47" max="47" width="9.44140625" style="71" bestFit="1" customWidth="1"/>
    <col min="48" max="48" width="9.6640625" style="71" bestFit="1" customWidth="1"/>
    <col min="49" max="49" width="11" style="71" bestFit="1" customWidth="1"/>
    <col min="50" max="50" width="9.44140625" style="71" bestFit="1" customWidth="1"/>
    <col min="51" max="52" width="9.44140625" style="71" customWidth="1"/>
    <col min="53" max="53" width="10.5546875" style="71" bestFit="1" customWidth="1"/>
    <col min="54" max="54" width="14.33203125" style="71" customWidth="1"/>
    <col min="55" max="55" width="14" style="71" customWidth="1"/>
    <col min="56" max="56" width="10.5546875" style="71" bestFit="1" customWidth="1"/>
    <col min="57" max="57" width="9.44140625" style="71" bestFit="1" customWidth="1"/>
    <col min="58" max="59" width="10.5546875" style="71" bestFit="1" customWidth="1"/>
    <col min="60" max="62" width="10.5546875" style="71" customWidth="1"/>
    <col min="63" max="63" width="9" style="71" bestFit="1" customWidth="1"/>
    <col min="64" max="64" width="10.5546875" style="71" bestFit="1" customWidth="1"/>
    <col min="65" max="65" width="9.33203125" style="71" bestFit="1" customWidth="1"/>
    <col min="66" max="66" width="11.6640625" style="71" bestFit="1" customWidth="1"/>
    <col min="67" max="67" width="8.44140625" style="71" bestFit="1" customWidth="1"/>
    <col min="68" max="68" width="9.44140625" style="71" bestFit="1" customWidth="1"/>
    <col min="69" max="69" width="9.6640625" style="71" bestFit="1" customWidth="1"/>
    <col min="70" max="70" width="11" style="71" bestFit="1" customWidth="1"/>
    <col min="71" max="71" width="9.44140625" style="71" bestFit="1" customWidth="1"/>
    <col min="72" max="73" width="9.44140625" style="71" customWidth="1"/>
    <col min="74" max="74" width="10.5546875" style="71" bestFit="1" customWidth="1"/>
    <col min="75" max="75" width="14" style="71" bestFit="1" customWidth="1"/>
    <col min="76" max="76" width="13.88671875" style="71" customWidth="1"/>
    <col min="77" max="77" width="10.5546875" style="71" bestFit="1" customWidth="1"/>
    <col min="78" max="78" width="9.44140625" style="71" bestFit="1" customWidth="1"/>
    <col min="79" max="80" width="10.5546875" style="71" bestFit="1" customWidth="1"/>
    <col min="81" max="83" width="10.5546875" style="71" customWidth="1"/>
    <col min="84" max="84" width="11.44140625" style="71"/>
    <col min="85" max="85" width="10.5546875" style="71" bestFit="1" customWidth="1"/>
    <col min="86" max="86" width="9.33203125" style="71" bestFit="1" customWidth="1"/>
    <col min="87" max="87" width="11.6640625" style="71" bestFit="1" customWidth="1"/>
    <col min="88" max="88" width="8.44140625" style="71" bestFit="1" customWidth="1"/>
    <col min="89" max="89" width="9.44140625" style="71" bestFit="1" customWidth="1"/>
    <col min="90" max="90" width="9.6640625" style="71" bestFit="1" customWidth="1"/>
    <col min="91" max="91" width="11" style="71" bestFit="1" customWidth="1"/>
    <col min="92" max="92" width="9.44140625" style="71" bestFit="1" customWidth="1"/>
    <col min="93" max="94" width="9.44140625" style="71" customWidth="1"/>
    <col min="95" max="95" width="11.44140625" style="71"/>
    <col min="96" max="97" width="14" style="71" customWidth="1"/>
    <col min="98" max="98" width="10.5546875" style="71" bestFit="1" customWidth="1"/>
    <col min="99" max="99" width="9.44140625" style="71" bestFit="1" customWidth="1"/>
    <col min="100" max="101" width="10.5546875" style="71" bestFit="1" customWidth="1"/>
    <col min="102" max="104" width="10.5546875" style="71" customWidth="1"/>
    <col min="105" max="105" width="9" style="71" bestFit="1" customWidth="1"/>
    <col min="106" max="106" width="10.5546875" style="71" bestFit="1" customWidth="1"/>
    <col min="107" max="107" width="9.33203125" style="71" bestFit="1" customWidth="1"/>
    <col min="108" max="108" width="11.6640625" style="71" bestFit="1" customWidth="1"/>
    <col min="109" max="109" width="8.44140625" style="71" bestFit="1" customWidth="1"/>
    <col min="110" max="110" width="9.44140625" style="71" bestFit="1" customWidth="1"/>
    <col min="111" max="111" width="9.6640625" style="71" bestFit="1" customWidth="1"/>
    <col min="112" max="112" width="11" style="71" bestFit="1" customWidth="1"/>
    <col min="113" max="113" width="9.44140625" style="71" bestFit="1" customWidth="1"/>
    <col min="114" max="115" width="9.44140625" style="71" customWidth="1"/>
    <col min="116" max="116" width="10.5546875" style="71" bestFit="1" customWidth="1"/>
    <col min="117" max="117" width="14.33203125" style="71" customWidth="1"/>
    <col min="118" max="118" width="14" style="71" bestFit="1" customWidth="1"/>
    <col min="119" max="119" width="10.5546875" style="71" bestFit="1" customWidth="1"/>
    <col min="120" max="120" width="9.44140625" style="71" bestFit="1" customWidth="1"/>
    <col min="121" max="122" width="10.5546875" style="71" bestFit="1" customWidth="1"/>
    <col min="123" max="125" width="10.5546875" style="71" customWidth="1"/>
    <col min="126" max="126" width="9" style="71" bestFit="1" customWidth="1"/>
    <col min="127" max="127" width="10.5546875" style="71" bestFit="1" customWidth="1"/>
    <col min="128" max="128" width="9.33203125" style="71" bestFit="1" customWidth="1"/>
    <col min="129" max="129" width="11.6640625" style="71" bestFit="1" customWidth="1"/>
    <col min="130" max="130" width="8.44140625" style="71" bestFit="1" customWidth="1"/>
    <col min="131" max="131" width="9.44140625" style="71" bestFit="1" customWidth="1"/>
    <col min="132" max="132" width="9.6640625" style="71" bestFit="1" customWidth="1"/>
    <col min="133" max="133" width="11" style="71" bestFit="1" customWidth="1"/>
    <col min="134" max="134" width="9.44140625" style="71" bestFit="1" customWidth="1"/>
    <col min="135" max="136" width="9.44140625" style="71" customWidth="1"/>
    <col min="137" max="137" width="10.5546875" style="71" bestFit="1" customWidth="1"/>
    <col min="138" max="139" width="14" style="71" customWidth="1"/>
    <col min="140" max="140" width="10.5546875" style="71" bestFit="1" customWidth="1"/>
    <col min="141" max="141" width="9.44140625" style="71" bestFit="1" customWidth="1"/>
    <col min="142" max="143" width="10.5546875" style="71" bestFit="1" customWidth="1"/>
    <col min="144" max="146" width="10.5546875" style="71" customWidth="1"/>
    <col min="147" max="147" width="9" style="71" bestFit="1" customWidth="1"/>
    <col min="148" max="148" width="10.5546875" style="71" bestFit="1" customWidth="1"/>
    <col min="149" max="149" width="9.33203125" style="71" bestFit="1" customWidth="1"/>
    <col min="150" max="150" width="11.6640625" style="71" bestFit="1" customWidth="1"/>
    <col min="151" max="151" width="8.44140625" style="71" bestFit="1" customWidth="1"/>
    <col min="152" max="152" width="9.44140625" style="71" bestFit="1" customWidth="1"/>
    <col min="153" max="153" width="9.6640625" style="71" bestFit="1" customWidth="1"/>
    <col min="154" max="154" width="11" style="71" bestFit="1" customWidth="1"/>
    <col min="155" max="155" width="9.44140625" style="71" bestFit="1" customWidth="1"/>
    <col min="156" max="157" width="9.44140625" style="71" customWidth="1"/>
    <col min="158" max="158" width="11.44140625" style="71"/>
    <col min="159" max="160" width="14" style="71" bestFit="1" customWidth="1"/>
    <col min="161" max="161" width="10.5546875" style="71" bestFit="1" customWidth="1"/>
    <col min="162" max="162" width="9.44140625" style="71" bestFit="1" customWidth="1"/>
    <col min="163" max="164" width="10.5546875" style="71" bestFit="1" customWidth="1"/>
    <col min="165" max="167" width="10.5546875" style="71" customWidth="1"/>
    <col min="168" max="168" width="9" style="71" bestFit="1" customWidth="1"/>
    <col min="169" max="169" width="10.5546875" style="71" bestFit="1" customWidth="1"/>
    <col min="170" max="170" width="9.33203125" style="71" bestFit="1" customWidth="1"/>
    <col min="171" max="171" width="11.6640625" style="71" bestFit="1" customWidth="1"/>
    <col min="172" max="172" width="8.109375" style="71" bestFit="1" customWidth="1"/>
    <col min="173" max="173" width="9.44140625" style="71" bestFit="1" customWidth="1"/>
    <col min="174" max="174" width="9.6640625" style="71" bestFit="1" customWidth="1"/>
    <col min="175" max="175" width="11" style="71" bestFit="1" customWidth="1"/>
    <col min="176" max="176" width="9.44140625" style="71" bestFit="1" customWidth="1"/>
    <col min="177" max="178" width="9.44140625" style="71" customWidth="1"/>
    <col min="179" max="179" width="10.5546875" style="71" bestFit="1" customWidth="1"/>
    <col min="180" max="181" width="14" style="71" bestFit="1" customWidth="1"/>
    <col min="182" max="182" width="10.5546875" style="71" bestFit="1" customWidth="1"/>
    <col min="183" max="183" width="9.44140625" style="71" bestFit="1" customWidth="1"/>
    <col min="184" max="185" width="10.5546875" style="71" bestFit="1" customWidth="1"/>
    <col min="186" max="188" width="10.5546875" style="71" customWidth="1"/>
    <col min="189" max="189" width="9" style="71" bestFit="1" customWidth="1"/>
    <col min="190" max="190" width="10.5546875" style="71" bestFit="1" customWidth="1"/>
    <col min="191" max="191" width="9.33203125" style="71" bestFit="1" customWidth="1"/>
    <col min="192" max="192" width="11.44140625" style="71"/>
    <col min="193" max="193" width="8.44140625" style="71" bestFit="1" customWidth="1"/>
    <col min="194" max="194" width="9.44140625" style="71" bestFit="1" customWidth="1"/>
    <col min="195" max="195" width="9.6640625" style="71" bestFit="1" customWidth="1"/>
    <col min="196" max="196" width="11" style="71" bestFit="1" customWidth="1"/>
    <col min="197" max="197" width="9.44140625" style="71" bestFit="1" customWidth="1"/>
    <col min="198" max="199" width="9.44140625" style="71" customWidth="1"/>
    <col min="200" max="200" width="10.5546875" style="71" bestFit="1" customWidth="1"/>
    <col min="201" max="201" width="14" style="71" customWidth="1"/>
    <col min="202" max="202" width="14.33203125" style="71" customWidth="1"/>
    <col min="203" max="203" width="10.5546875" style="71" bestFit="1" customWidth="1"/>
    <col min="204" max="204" width="9.44140625" style="71" bestFit="1" customWidth="1"/>
    <col min="205" max="206" width="10.5546875" style="71" bestFit="1" customWidth="1"/>
    <col min="207" max="209" width="10.5546875" style="71" customWidth="1"/>
    <col min="210" max="210" width="9" style="71" bestFit="1" customWidth="1"/>
    <col min="211" max="211" width="10.5546875" style="71" bestFit="1" customWidth="1"/>
    <col min="212" max="212" width="9.33203125" style="71" bestFit="1" customWidth="1"/>
    <col min="213" max="213" width="11.6640625" style="71" bestFit="1" customWidth="1"/>
    <col min="214" max="214" width="8.44140625" style="71" bestFit="1" customWidth="1"/>
    <col min="215" max="215" width="9.44140625" style="71" bestFit="1" customWidth="1"/>
    <col min="216" max="216" width="9.6640625" style="71" bestFit="1" customWidth="1"/>
    <col min="217" max="217" width="11" style="71" bestFit="1" customWidth="1"/>
    <col min="218" max="218" width="9.44140625" style="71" bestFit="1" customWidth="1"/>
    <col min="219" max="16384" width="11.44140625" style="71"/>
  </cols>
  <sheetData>
    <row r="1" spans="1:218" s="5" customFormat="1" ht="26.4" thickBot="1" x14ac:dyDescent="0.55000000000000004">
      <c r="B1" s="313" t="s">
        <v>176</v>
      </c>
      <c r="C1" s="314"/>
      <c r="D1" s="314"/>
      <c r="E1" s="314"/>
      <c r="F1" s="314"/>
      <c r="G1" s="314"/>
      <c r="H1" s="315"/>
      <c r="I1" s="310" t="str">
        <f>IF('Données projet'!$B$9="","",'Données projet'!$B$9)</f>
        <v>Chêne pubescent</v>
      </c>
      <c r="J1" s="311"/>
      <c r="K1" s="311"/>
      <c r="L1" s="311"/>
      <c r="M1" s="311"/>
      <c r="N1" s="311"/>
      <c r="O1" s="311"/>
      <c r="P1" s="311"/>
      <c r="Q1" s="311"/>
      <c r="R1" s="311"/>
      <c r="S1" s="311"/>
      <c r="T1" s="311"/>
      <c r="U1" s="311"/>
      <c r="V1" s="311"/>
      <c r="W1" s="311"/>
      <c r="X1" s="311"/>
      <c r="Y1" s="311"/>
      <c r="Z1" s="311"/>
      <c r="AA1" s="311"/>
      <c r="AB1" s="311"/>
      <c r="AC1" s="312"/>
      <c r="AD1" s="311" t="str">
        <f>IF('Données projet'!$B$10="","",'Données projet'!$B$10)</f>
        <v>Chêne chevelu</v>
      </c>
      <c r="AE1" s="311"/>
      <c r="AF1" s="311"/>
      <c r="AG1" s="311"/>
      <c r="AH1" s="311"/>
      <c r="AI1" s="311"/>
      <c r="AJ1" s="311"/>
      <c r="AK1" s="311"/>
      <c r="AL1" s="311"/>
      <c r="AM1" s="311"/>
      <c r="AN1" s="311"/>
      <c r="AO1" s="311"/>
      <c r="AP1" s="311"/>
      <c r="AQ1" s="311"/>
      <c r="AR1" s="311"/>
      <c r="AS1" s="311"/>
      <c r="AT1" s="311"/>
      <c r="AU1" s="311"/>
      <c r="AV1" s="311"/>
      <c r="AW1" s="311"/>
      <c r="AX1" s="312"/>
      <c r="AY1" s="310" t="str">
        <f>IF('Données projet'!$B$11="","",'Données projet'!$B$11)</f>
        <v>Robinier faux-acacia</v>
      </c>
      <c r="AZ1" s="311"/>
      <c r="BA1" s="311"/>
      <c r="BB1" s="311"/>
      <c r="BC1" s="311"/>
      <c r="BD1" s="311"/>
      <c r="BE1" s="311"/>
      <c r="BF1" s="311"/>
      <c r="BG1" s="311"/>
      <c r="BH1" s="311"/>
      <c r="BI1" s="311"/>
      <c r="BJ1" s="311"/>
      <c r="BK1" s="311"/>
      <c r="BL1" s="311"/>
      <c r="BM1" s="311"/>
      <c r="BN1" s="311"/>
      <c r="BO1" s="311"/>
      <c r="BP1" s="311"/>
      <c r="BQ1" s="311"/>
      <c r="BR1" s="311"/>
      <c r="BS1" s="312"/>
      <c r="BT1" s="310" t="str">
        <f>IF('Données projet'!$B$12="","",'Données projet'!$B$12)</f>
        <v>Chêne sessile</v>
      </c>
      <c r="BU1" s="311"/>
      <c r="BV1" s="311"/>
      <c r="BW1" s="311"/>
      <c r="BX1" s="311"/>
      <c r="BY1" s="311"/>
      <c r="BZ1" s="311"/>
      <c r="CA1" s="311"/>
      <c r="CB1" s="311"/>
      <c r="CC1" s="311"/>
      <c r="CD1" s="311"/>
      <c r="CE1" s="311"/>
      <c r="CF1" s="311"/>
      <c r="CG1" s="311"/>
      <c r="CH1" s="311"/>
      <c r="CI1" s="311"/>
      <c r="CJ1" s="311"/>
      <c r="CK1" s="311"/>
      <c r="CL1" s="311"/>
      <c r="CM1" s="311"/>
      <c r="CN1" s="312"/>
      <c r="CO1" s="310" t="str">
        <f>IF('Données projet'!$B$13="","",'Données projet'!$B$13)</f>
        <v/>
      </c>
      <c r="CP1" s="311"/>
      <c r="CQ1" s="311"/>
      <c r="CR1" s="311"/>
      <c r="CS1" s="311"/>
      <c r="CT1" s="311"/>
      <c r="CU1" s="311"/>
      <c r="CV1" s="311"/>
      <c r="CW1" s="311"/>
      <c r="CX1" s="311"/>
      <c r="CY1" s="311"/>
      <c r="CZ1" s="311"/>
      <c r="DA1" s="311"/>
      <c r="DB1" s="311"/>
      <c r="DC1" s="311"/>
      <c r="DD1" s="311"/>
      <c r="DE1" s="311"/>
      <c r="DF1" s="311"/>
      <c r="DG1" s="311"/>
      <c r="DH1" s="311"/>
      <c r="DI1" s="312"/>
      <c r="DJ1" s="310" t="str">
        <f>IF('Données projet'!$B$14="","",'Données projet'!$B$14)</f>
        <v/>
      </c>
      <c r="DK1" s="311"/>
      <c r="DL1" s="311"/>
      <c r="DM1" s="311"/>
      <c r="DN1" s="311"/>
      <c r="DO1" s="311"/>
      <c r="DP1" s="311"/>
      <c r="DQ1" s="311"/>
      <c r="DR1" s="311"/>
      <c r="DS1" s="311"/>
      <c r="DT1" s="311"/>
      <c r="DU1" s="311"/>
      <c r="DV1" s="311"/>
      <c r="DW1" s="311"/>
      <c r="DX1" s="311"/>
      <c r="DY1" s="311"/>
      <c r="DZ1" s="311"/>
      <c r="EA1" s="311"/>
      <c r="EB1" s="311"/>
      <c r="EC1" s="311"/>
      <c r="ED1" s="312"/>
      <c r="EE1" s="310" t="str">
        <f>IF('Données projet'!$B$15="","",'Données projet'!$B$15)</f>
        <v/>
      </c>
      <c r="EF1" s="311"/>
      <c r="EG1" s="311"/>
      <c r="EH1" s="311"/>
      <c r="EI1" s="311"/>
      <c r="EJ1" s="311"/>
      <c r="EK1" s="311"/>
      <c r="EL1" s="311"/>
      <c r="EM1" s="311"/>
      <c r="EN1" s="311"/>
      <c r="EO1" s="311"/>
      <c r="EP1" s="311"/>
      <c r="EQ1" s="311"/>
      <c r="ER1" s="311"/>
      <c r="ES1" s="311"/>
      <c r="ET1" s="311"/>
      <c r="EU1" s="311"/>
      <c r="EV1" s="311"/>
      <c r="EW1" s="311"/>
      <c r="EX1" s="311"/>
      <c r="EY1" s="312"/>
      <c r="EZ1" s="310" t="str">
        <f>IF('Données projet'!$B$16="","",'Données projet'!$B$16)</f>
        <v/>
      </c>
      <c r="FA1" s="311"/>
      <c r="FB1" s="311"/>
      <c r="FC1" s="311"/>
      <c r="FD1" s="311"/>
      <c r="FE1" s="311"/>
      <c r="FF1" s="311"/>
      <c r="FG1" s="311"/>
      <c r="FH1" s="311"/>
      <c r="FI1" s="311"/>
      <c r="FJ1" s="311"/>
      <c r="FK1" s="311"/>
      <c r="FL1" s="311"/>
      <c r="FM1" s="311"/>
      <c r="FN1" s="311"/>
      <c r="FO1" s="311"/>
      <c r="FP1" s="311"/>
      <c r="FQ1" s="311"/>
      <c r="FR1" s="311"/>
      <c r="FS1" s="311"/>
      <c r="FT1" s="312"/>
      <c r="FU1" s="310" t="str">
        <f>IF('Données projet'!$B$17="","",'Données projet'!$B$17)</f>
        <v/>
      </c>
      <c r="FV1" s="311"/>
      <c r="FW1" s="311"/>
      <c r="FX1" s="311"/>
      <c r="FY1" s="311"/>
      <c r="FZ1" s="311"/>
      <c r="GA1" s="311"/>
      <c r="GB1" s="311"/>
      <c r="GC1" s="311"/>
      <c r="GD1" s="311"/>
      <c r="GE1" s="311"/>
      <c r="GF1" s="311"/>
      <c r="GG1" s="311"/>
      <c r="GH1" s="311"/>
      <c r="GI1" s="311"/>
      <c r="GJ1" s="311"/>
      <c r="GK1" s="311"/>
      <c r="GL1" s="311"/>
      <c r="GM1" s="311"/>
      <c r="GN1" s="311"/>
      <c r="GO1" s="312"/>
      <c r="GP1" s="310" t="str">
        <f>IF('Données projet'!$B$18="","",'Données projet'!$B$18)</f>
        <v/>
      </c>
      <c r="GQ1" s="311"/>
      <c r="GR1" s="311"/>
      <c r="GS1" s="311"/>
      <c r="GT1" s="311"/>
      <c r="GU1" s="311"/>
      <c r="GV1" s="311"/>
      <c r="GW1" s="311"/>
      <c r="GX1" s="311"/>
      <c r="GY1" s="311"/>
      <c r="GZ1" s="311"/>
      <c r="HA1" s="311"/>
      <c r="HB1" s="311"/>
      <c r="HC1" s="311"/>
      <c r="HD1" s="311"/>
      <c r="HE1" s="311"/>
      <c r="HF1" s="311"/>
      <c r="HG1" s="311"/>
      <c r="HH1" s="311"/>
      <c r="HI1" s="311"/>
      <c r="HJ1" s="312"/>
    </row>
    <row r="2" spans="1:218" s="5" customFormat="1" ht="58.2" thickBot="1" x14ac:dyDescent="0.35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476.25344680259701</v>
      </c>
      <c r="T3" s="62">
        <f>IF('Données projet'!E9&gt;30,$R$33-$H$33,LOOKUP('Données projet'!$E$9,$A$3:$A$203,R3:R203)-LOOKUP('Données projet'!$E$9,$A$3:$A$203,$H$3:$H$203))</f>
        <v>254.25036207346591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493.70175665335978</v>
      </c>
      <c r="AO3" s="62">
        <f>IF('Données projet'!E10&gt;30,$AM$33-$H$33,LOOKUP('Données projet'!$E$10,$A$3:$A$203,AM3:AM203)-LOOKUP('Données projet'!$E$10,$A$3:$A$203,$H$3:$H$203))</f>
        <v>325.12357781685949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256.66666666666669</v>
      </c>
      <c r="BI3" s="62">
        <f ca="1">AVERAGE(OFFSET($BH$3,0,0,'Données projet'!$E$11+1,1))-AVERAGE(OFFSET($H$3,0,0,'Données projet'!$E$11+1,1))</f>
        <v>245.09257882574383</v>
      </c>
      <c r="BJ3" s="62">
        <f>IF('Données projet'!E11&gt;30,$BH$33-$H$33,LOOKUP('Données projet'!$E$11,$A$3:$A$203,BH3:BH203)-LOOKUP('Données projet'!$E$11,$A$3:$A$203,$H$3:$H$203))</f>
        <v>342.30266518164211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256.66666666666669</v>
      </c>
      <c r="CD3" s="62">
        <f ca="1">AVERAGE(OFFSET($CC$3,0,0,'Données projet'!$E$12+1,1))-AVERAGE(OFFSET($H$3,0,0,'Données projet'!$E$12+1,1))</f>
        <v>429.54141820799617</v>
      </c>
      <c r="CE3" s="62">
        <f>IF('Données projet'!E12&gt;30,$CC$33-$H$33,LOOKUP('Données projet'!$E$12,$A$3:$A$203,CC3:CC203)-LOOKUP('Données projet'!$E$12,$A$3:$A$203,$H$3:$H$203))</f>
        <v>231.36959598460686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2.1</v>
      </c>
      <c r="N4" s="14">
        <f>IF('Données projet'!$A$36&gt;35,N3+M4-V3,IF(A4&lt;'Données projet'!$A$36,$K$205^A4,IF(A4='Données projet'!$A$36,'Données projet'!$B$36,N3+M4-V3)))</f>
        <v>1.2054868146447177</v>
      </c>
      <c r="O4" s="14">
        <f>N4*VLOOKUP('Données projet'!$B$9,Paramètres!$A$1:$I$89,3,0)*VLOOKUP('Données projet'!$B$9,Paramètres!$A$1:$I$89,5,0)</f>
        <v>1.2223636300497438</v>
      </c>
      <c r="P4" s="14">
        <f>EXP(-1.0587+0.8836*LN(O4)+0.284)</f>
        <v>0.55030360208821416</v>
      </c>
      <c r="Q4" s="22">
        <f t="shared" ref="Q4:Q34" si="2">(O4+P4)*0.475*44/12</f>
        <v>3.0873954293069432</v>
      </c>
      <c r="R4" s="62">
        <f t="shared" si="0"/>
        <v>260.97628431819578</v>
      </c>
      <c r="S4" s="62">
        <f ca="1">AVERAGE(OFFSET($R$3,0,0,'Données projet'!$E$9+1,1))-AVERAGE(OFFSET($H$3,0,0,'Données projet'!$E$9+1,1))</f>
        <v>476.25344680259701</v>
      </c>
      <c r="T4" s="62">
        <f>$T$3</f>
        <v>254.25036207346591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2.0085470085470085</v>
      </c>
      <c r="AI4" s="14">
        <f>IF('Données projet'!$A$62&gt;35,AI3+AH4-AQ3,IF(A4&lt;'Données projet'!$A$62,$AF$205^A4,IF(A4='Données projet'!$A$62,'Données projet'!$B$62,AI3+AH4-AQ3)))</f>
        <v>1.2548684989282006</v>
      </c>
      <c r="AJ4" s="14">
        <f>AI4*VLOOKUP('Données projet'!$B$10,Paramètres!$A$1:$I$89,3,0)*VLOOKUP('Données projet'!$B$10,Paramètres!$A$1:$I$89,5,0)</f>
        <v>1.3115885550797555</v>
      </c>
      <c r="AK4" s="14">
        <f>EXP(-1.0587+0.8836*LN(AJ4)+0.284)</f>
        <v>0.5856498554818651</v>
      </c>
      <c r="AL4" s="22">
        <f t="shared" ref="AL4:AL67" si="4">(AJ4+AK4)*0.475*44/12</f>
        <v>3.3043568983948219</v>
      </c>
      <c r="AM4" s="62">
        <f t="shared" ref="AM4:AM67" si="5">AL4+(AD4+AE4)*44/12</f>
        <v>261.19324578728367</v>
      </c>
      <c r="AN4" s="62">
        <f ca="1">AVERAGE(OFFSET($AM$3,0,0,'Données projet'!$E$10+1,1))-AVERAGE(OFFSET($H$3,0,0,'Données projet'!$E$10+1,1))</f>
        <v>493.70175665335978</v>
      </c>
      <c r="AO4" s="62">
        <f>$AO$3</f>
        <v>325.12357781685949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4.2</v>
      </c>
      <c r="BD4" s="13">
        <f>IF('Données projet'!$A$88&gt;35,BD3+BC4-BL3,IF(A4&lt;'Données projet'!$A$88,$BA$205^A4,IF(A4='Données projet'!$A$88,'Données projet'!$B$88,BD3+BC4-BL3)))</f>
        <v>1.838416287252544</v>
      </c>
      <c r="BE4" s="14">
        <f>BD4*VLOOKUP('Données projet'!$B$11,Paramètres!$A$1:$I$89,3,0)*VLOOKUP('Données projet'!$B$11,Paramètres!$A$1:$I$89,5,0)</f>
        <v>1.6633990567061017</v>
      </c>
      <c r="BF4" s="14">
        <f>EXP(-1.0587+0.8836*LN(BE4)+0.284)</f>
        <v>0.7224778366672352</v>
      </c>
      <c r="BG4" s="22">
        <f t="shared" ref="BG4:BG67" si="7">(BE4+BF4)*0.475*44/12</f>
        <v>4.1554022559585615</v>
      </c>
      <c r="BH4" s="62">
        <f t="shared" ref="BH4:BH67" si="8">BG4+(AY4+AZ4)*44/12</f>
        <v>262.04429114484742</v>
      </c>
      <c r="BI4" s="62">
        <f ca="1">AVERAGE(OFFSET($BH$3,0,0,'Données projet'!$E$11+1,1))-AVERAGE(OFFSET($H$3,0,0,'Données projet'!$E$11+1,1))</f>
        <v>245.09257882574383</v>
      </c>
      <c r="BJ4" s="62">
        <f>$BJ$3</f>
        <v>342.30266518164211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2.1</v>
      </c>
      <c r="BY4" s="13">
        <f>IF('Données projet'!$A$114&gt;35,BY3+BX4-CG3,IF(A4&lt;'Données projet'!$A$114,$BV$205^A4,IF(A4='Données projet'!$A$114,'Données projet'!$B$114,BY3+BX4-CG3)))</f>
        <v>1.2054868146447177</v>
      </c>
      <c r="BZ4" s="14">
        <f>BY4*VLOOKUP('Données projet'!$B$12,Paramètres!$A$1:$I$89,3,0)*VLOOKUP('Données projet'!$B$12,Paramètres!$A$1:$I$89,5,0)</f>
        <v>1.0907244698905405</v>
      </c>
      <c r="CA4" s="14">
        <f>EXP(-1.0587+0.8836*LN(BZ4)+0.284)</f>
        <v>0.49759623852608204</v>
      </c>
      <c r="CB4" s="22">
        <f t="shared" ref="CB4:CB67" si="10">(BZ4+CA4)*0.475*44/12</f>
        <v>2.7663252338256172</v>
      </c>
      <c r="CC4" s="62">
        <f t="shared" ref="CC4:CC67" si="11">CB4+(BT4+BU4)*44/12</f>
        <v>260.65521412271448</v>
      </c>
      <c r="CD4" s="62">
        <f ca="1">AVERAGE(OFFSET($CC$3,0,0,'Données projet'!$E$12+1,1))-AVERAGE(OFFSET($H$3,0,0,'Données projet'!$E$12+1,1))</f>
        <v>429.54141820799617</v>
      </c>
      <c r="CE4" s="62">
        <f>$CE$3</f>
        <v>231.36959598460686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3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2.1</v>
      </c>
      <c r="N5" s="14">
        <f>IF('Données projet'!$A$36&gt;35,N4+M5-V4,IF(A5&lt;'Données projet'!$A$36,$K$205^A5,IF(A5='Données projet'!$A$36,'Données projet'!$B$36,N4+M5-V4)))</f>
        <v>1.4531984602822681</v>
      </c>
      <c r="O5" s="14">
        <f>N5*VLOOKUP('Données projet'!$B$9,Paramètres!$A$1:$I$89,3,0)*VLOOKUP('Données projet'!$B$9,Paramètres!$A$1:$I$89,5,0)</f>
        <v>1.47354323872622</v>
      </c>
      <c r="P5" s="14">
        <f t="shared" ref="P5:P68" si="33">EXP(-1.0587+0.8836*LN(O5)+0.284)</f>
        <v>0.64910881835703094</v>
      </c>
      <c r="Q5" s="22">
        <f t="shared" si="2"/>
        <v>3.6969523327533285</v>
      </c>
      <c r="R5" s="62">
        <f t="shared" si="0"/>
        <v>262.80806344386446</v>
      </c>
      <c r="S5" s="62">
        <f ca="1">AVERAGE(OFFSET($R$3,0,0,'Données projet'!$E$9+1,1))-AVERAGE(OFFSET($H$3,0,0,'Données projet'!$E$9+1,1))</f>
        <v>476.25344680259701</v>
      </c>
      <c r="T5" s="62">
        <f t="shared" ref="T5:T68" si="34">$T$3</f>
        <v>254.25036207346591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2.0085470085470085</v>
      </c>
      <c r="AI5" s="14">
        <f>IF('Données projet'!$A$62&gt;35,AI4+AH5-AQ4,IF(A5&lt;'Données projet'!$A$62,$AF$205^A5,IF(A5='Données projet'!$A$62,'Données projet'!$B$62,AI4+AH5-AQ4)))</f>
        <v>1.5746949496023155</v>
      </c>
      <c r="AJ5" s="14">
        <f>AI5*VLOOKUP('Données projet'!$B$10,Paramètres!$A$1:$I$89,3,0)*VLOOKUP('Données projet'!$B$10,Paramètres!$A$1:$I$89,5,0)</f>
        <v>1.6458711613243404</v>
      </c>
      <c r="AK5" s="14">
        <f t="shared" ref="AK5:AK68" si="35">EXP(-1.0587+0.8836*LN(AJ5)+0.284)</f>
        <v>0.71574681686586372</v>
      </c>
      <c r="AL5" s="22">
        <f t="shared" si="4"/>
        <v>4.1131513120146055</v>
      </c>
      <c r="AM5" s="62">
        <f t="shared" si="5"/>
        <v>263.22426242312577</v>
      </c>
      <c r="AN5" s="62">
        <f ca="1">AVERAGE(OFFSET($AM$3,0,0,'Données projet'!$E$10+1,1))-AVERAGE(OFFSET($H$3,0,0,'Données projet'!$E$10+1,1))</f>
        <v>493.70175665335978</v>
      </c>
      <c r="AO5" s="62">
        <f t="shared" ref="AO5:AO68" si="36">$AO$3</f>
        <v>325.12357781685949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4.2</v>
      </c>
      <c r="BD5" s="13">
        <f>IF('Données projet'!$A$88&gt;35,BD4+BC5-BL4,IF(A5&lt;'Données projet'!$A$88,$BA$205^A5,IF(A5='Données projet'!$A$88,'Données projet'!$B$88,BD4+BC5-BL4)))</f>
        <v>3.3797744452354284</v>
      </c>
      <c r="BE5" s="14">
        <f>BD5*VLOOKUP('Données projet'!$B$11,Paramètres!$A$1:$I$89,3,0)*VLOOKUP('Données projet'!$B$11,Paramètres!$A$1:$I$89,5,0)</f>
        <v>3.0580199180490153</v>
      </c>
      <c r="BF5" s="14">
        <f t="shared" ref="BF5:BF68" si="37">EXP(-1.0587+0.8836*LN(BE5)+0.284)</f>
        <v>1.2373345008562202</v>
      </c>
      <c r="BG5" s="22">
        <f t="shared" si="7"/>
        <v>7.4810756129266176</v>
      </c>
      <c r="BH5" s="62">
        <f t="shared" si="8"/>
        <v>266.59218672403779</v>
      </c>
      <c r="BI5" s="62">
        <f ca="1">AVERAGE(OFFSET($BH$3,0,0,'Données projet'!$E$11+1,1))-AVERAGE(OFFSET($H$3,0,0,'Données projet'!$E$11+1,1))</f>
        <v>245.09257882574383</v>
      </c>
      <c r="BJ5" s="62">
        <f t="shared" ref="BJ5:BJ68" si="38">$BJ$3</f>
        <v>342.30266518164211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2.1</v>
      </c>
      <c r="BY5" s="13">
        <f>IF('Données projet'!$A$114&gt;35,BY4+BX5-CG4,IF(A5&lt;'Données projet'!$A$114,$BV$205^A5,IF(A5='Données projet'!$A$114,'Données projet'!$B$114,BY4+BX5-CG4)))</f>
        <v>1.4531984602822681</v>
      </c>
      <c r="BZ5" s="14">
        <f>BY5*VLOOKUP('Données projet'!$B$12,Paramètres!$A$1:$I$89,3,0)*VLOOKUP('Données projet'!$B$12,Paramètres!$A$1:$I$89,5,0)</f>
        <v>1.3148539668633961</v>
      </c>
      <c r="CA5" s="14">
        <f t="shared" ref="CA5:CA68" si="39">EXP(-1.0587+0.8836*LN(BZ5)+0.284)</f>
        <v>0.58693801963664449</v>
      </c>
      <c r="CB5" s="22">
        <f t="shared" si="10"/>
        <v>3.3122877098209038</v>
      </c>
      <c r="CC5" s="62">
        <f t="shared" si="11"/>
        <v>262.42339882093205</v>
      </c>
      <c r="CD5" s="62">
        <f ca="1">AVERAGE(OFFSET($CC$3,0,0,'Données projet'!$E$12+1,1))-AVERAGE(OFFSET($H$3,0,0,'Données projet'!$E$12+1,1))</f>
        <v>429.54141820799617</v>
      </c>
      <c r="CE5" s="62">
        <f t="shared" ref="CE5:CE68" si="40">$CE$3</f>
        <v>231.36959598460686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3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2.1</v>
      </c>
      <c r="N6" s="14">
        <f>IF('Données projet'!$A$36&gt;35,N5+M6-V5,IF(A6&lt;'Données projet'!$A$36,$K$205^A6,IF(A6='Données projet'!$A$36,'Données projet'!$B$36,N5+M6-V5)))</f>
        <v>1.7518115829322798</v>
      </c>
      <c r="O6" s="14">
        <f>N6*VLOOKUP('Données projet'!$B$9,Paramètres!$A$1:$I$89,3,0)*VLOOKUP('Données projet'!$B$9,Paramètres!$A$1:$I$89,5,0)</f>
        <v>1.7763369450933317</v>
      </c>
      <c r="P6" s="14">
        <f t="shared" si="33"/>
        <v>0.76565418883323866</v>
      </c>
      <c r="Q6" s="22">
        <f t="shared" si="2"/>
        <v>4.4273012249221102</v>
      </c>
      <c r="R6" s="62">
        <f t="shared" si="0"/>
        <v>264.76063455825545</v>
      </c>
      <c r="S6" s="62">
        <f ca="1">AVERAGE(OFFSET($R$3,0,0,'Données projet'!$E$9+1,1))-AVERAGE(OFFSET($H$3,0,0,'Données projet'!$E$9+1,1))</f>
        <v>476.25344680259701</v>
      </c>
      <c r="T6" s="62">
        <f t="shared" si="34"/>
        <v>254.25036207346591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2.0085470085470085</v>
      </c>
      <c r="AI6" s="14">
        <f>IF('Données projet'!$A$62&gt;35,AI5+AH6-AQ5,IF(A6&lt;'Données projet'!$A$62,$AF$205^A6,IF(A6='Données projet'!$A$62,'Données projet'!$B$62,AI5+AH6-AQ5)))</f>
        <v>1.9760350876772761</v>
      </c>
      <c r="AJ6" s="14">
        <f>AI6*VLOOKUP('Données projet'!$B$10,Paramètres!$A$1:$I$89,3,0)*VLOOKUP('Données projet'!$B$10,Paramètres!$A$1:$I$89,5,0)</f>
        <v>2.0653518736402892</v>
      </c>
      <c r="AK6" s="14">
        <f t="shared" si="35"/>
        <v>0.87474367330306557</v>
      </c>
      <c r="AL6" s="22">
        <f t="shared" si="4"/>
        <v>5.1206664109263427</v>
      </c>
      <c r="AM6" s="62">
        <f t="shared" si="5"/>
        <v>265.45399974425965</v>
      </c>
      <c r="AN6" s="62">
        <f ca="1">AVERAGE(OFFSET($AM$3,0,0,'Données projet'!$E$10+1,1))-AVERAGE(OFFSET($H$3,0,0,'Données projet'!$E$10+1,1))</f>
        <v>493.70175665335978</v>
      </c>
      <c r="AO6" s="62">
        <f t="shared" si="36"/>
        <v>325.12357781685949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4.2</v>
      </c>
      <c r="BD6" s="13">
        <f>IF('Données projet'!$A$88&gt;35,BD5+BC6-BL5,IF(A6&lt;'Données projet'!$A$88,$BA$205^A6,IF(A6='Données projet'!$A$88,'Données projet'!$B$88,BD5+BC6-BL5)))</f>
        <v>6.2134323873607427</v>
      </c>
      <c r="BE6" s="14">
        <f>BD6*VLOOKUP('Données projet'!$B$11,Paramètres!$A$1:$I$89,3,0)*VLOOKUP('Données projet'!$B$11,Paramètres!$A$1:$I$89,5,0)</f>
        <v>5.6219136240839997</v>
      </c>
      <c r="BF6" s="14">
        <f t="shared" si="37"/>
        <v>2.1190915337576928</v>
      </c>
      <c r="BG6" s="22">
        <f t="shared" si="7"/>
        <v>13.482250649907614</v>
      </c>
      <c r="BH6" s="62">
        <f t="shared" si="8"/>
        <v>273.81558398324091</v>
      </c>
      <c r="BI6" s="62">
        <f ca="1">AVERAGE(OFFSET($BH$3,0,0,'Données projet'!$E$11+1,1))-AVERAGE(OFFSET($H$3,0,0,'Données projet'!$E$11+1,1))</f>
        <v>245.09257882574383</v>
      </c>
      <c r="BJ6" s="62">
        <f t="shared" si="38"/>
        <v>342.30266518164211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2.1</v>
      </c>
      <c r="BY6" s="13">
        <f>IF('Données projet'!$A$114&gt;35,BY5+BX6-CG5,IF(A6&lt;'Données projet'!$A$114,$BV$205^A6,IF(A6='Données projet'!$A$114,'Données projet'!$B$114,BY5+BX6-CG5)))</f>
        <v>1.7518115829322798</v>
      </c>
      <c r="BZ6" s="14">
        <f>BY6*VLOOKUP('Données projet'!$B$12,Paramètres!$A$1:$I$89,3,0)*VLOOKUP('Données projet'!$B$12,Paramètres!$A$1:$I$89,5,0)</f>
        <v>1.5850391202371266</v>
      </c>
      <c r="CA6" s="14">
        <f t="shared" si="39"/>
        <v>0.69232082604846479</v>
      </c>
      <c r="CB6" s="22">
        <f t="shared" si="10"/>
        <v>3.966401906447405</v>
      </c>
      <c r="CC6" s="62">
        <f t="shared" si="11"/>
        <v>264.29973523978072</v>
      </c>
      <c r="CD6" s="62">
        <f ca="1">AVERAGE(OFFSET($CC$3,0,0,'Données projet'!$E$12+1,1))-AVERAGE(OFFSET($H$3,0,0,'Données projet'!$E$12+1,1))</f>
        <v>429.54141820799617</v>
      </c>
      <c r="CE6" s="62">
        <f t="shared" si="40"/>
        <v>231.36959598460686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3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2.1</v>
      </c>
      <c r="N7" s="14">
        <f>IF('Données projet'!$A$36&gt;35,N6+M7-V6,IF(A7&lt;'Données projet'!$A$36,$K$205^A7,IF(A7='Données projet'!$A$36,'Données projet'!$B$36,N6+M7-V6)))</f>
        <v>2.1117857649667546</v>
      </c>
      <c r="O7" s="14">
        <f>N7*VLOOKUP('Données projet'!$B$9,Paramètres!$A$1:$I$89,3,0)*VLOOKUP('Données projet'!$B$9,Paramètres!$A$1:$I$89,5,0)</f>
        <v>2.1413507656762891</v>
      </c>
      <c r="P7" s="14">
        <f t="shared" si="33"/>
        <v>0.9031249003236328</v>
      </c>
      <c r="Q7" s="22">
        <f t="shared" si="2"/>
        <v>5.3024617849498643</v>
      </c>
      <c r="R7" s="62">
        <f t="shared" si="0"/>
        <v>266.8580173405054</v>
      </c>
      <c r="S7" s="62">
        <f ca="1">AVERAGE(OFFSET($R$3,0,0,'Données projet'!$E$9+1,1))-AVERAGE(OFFSET($H$3,0,0,'Données projet'!$E$9+1,1))</f>
        <v>476.25344680259701</v>
      </c>
      <c r="T7" s="62">
        <f t="shared" si="34"/>
        <v>254.25036207346591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2.0085470085470085</v>
      </c>
      <c r="AI7" s="14">
        <f>IF('Données projet'!$A$62&gt;35,AI6+AH7-AQ6,IF(A7&lt;'Données projet'!$A$62,$AF$205^A7,IF(A7='Données projet'!$A$62,'Données projet'!$B$62,AI6+AH7-AQ6)))</f>
        <v>2.4796641843030387</v>
      </c>
      <c r="AJ7" s="14">
        <f>AI7*VLOOKUP('Données projet'!$B$10,Paramètres!$A$1:$I$89,3,0)*VLOOKUP('Données projet'!$B$10,Paramètres!$A$1:$I$89,5,0)</f>
        <v>2.5917450054335363</v>
      </c>
      <c r="AK7" s="14">
        <f t="shared" si="35"/>
        <v>1.069060282146026</v>
      </c>
      <c r="AL7" s="22">
        <f t="shared" si="4"/>
        <v>6.375902542534404</v>
      </c>
      <c r="AM7" s="62">
        <f t="shared" si="5"/>
        <v>267.93145809808993</v>
      </c>
      <c r="AN7" s="62">
        <f ca="1">AVERAGE(OFFSET($AM$3,0,0,'Données projet'!$E$10+1,1))-AVERAGE(OFFSET($H$3,0,0,'Données projet'!$E$10+1,1))</f>
        <v>493.70175665335978</v>
      </c>
      <c r="AO7" s="62">
        <f t="shared" si="36"/>
        <v>325.12357781685949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4.2</v>
      </c>
      <c r="BD7" s="13">
        <f>IF('Données projet'!$A$88&gt;35,BD6+BC7-BL6,IF(A7&lt;'Données projet'!$A$88,$BA$205^A7,IF(A7='Données projet'!$A$88,'Données projet'!$B$88,BD6+BC7-BL6)))</f>
        <v>11.422875300666448</v>
      </c>
      <c r="BE7" s="14">
        <f>BD7*VLOOKUP('Données projet'!$B$11,Paramètres!$A$1:$I$89,3,0)*VLOOKUP('Données projet'!$B$11,Paramètres!$A$1:$I$89,5,0)</f>
        <v>10.335417572043003</v>
      </c>
      <c r="BF7" s="14">
        <f t="shared" si="37"/>
        <v>3.6292117655622862</v>
      </c>
      <c r="BG7" s="22">
        <f t="shared" si="7"/>
        <v>24.32172942966254</v>
      </c>
      <c r="BH7" s="62">
        <f t="shared" si="8"/>
        <v>285.87728498521807</v>
      </c>
      <c r="BI7" s="62">
        <f ca="1">AVERAGE(OFFSET($BH$3,0,0,'Données projet'!$E$11+1,1))-AVERAGE(OFFSET($H$3,0,0,'Données projet'!$E$11+1,1))</f>
        <v>245.09257882574383</v>
      </c>
      <c r="BJ7" s="62">
        <f t="shared" si="38"/>
        <v>342.30266518164211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2.1</v>
      </c>
      <c r="BY7" s="13">
        <f>IF('Données projet'!$A$114&gt;35,BY6+BX7-CG6,IF(A7&lt;'Données projet'!$A$114,$BV$205^A7,IF(A7='Données projet'!$A$114,'Données projet'!$B$114,BY6+BX7-CG6)))</f>
        <v>2.1117857649667546</v>
      </c>
      <c r="BZ7" s="14">
        <f>BY7*VLOOKUP('Données projet'!$B$12,Paramètres!$A$1:$I$89,3,0)*VLOOKUP('Données projet'!$B$12,Paramètres!$A$1:$I$89,5,0)</f>
        <v>1.9107437601419195</v>
      </c>
      <c r="CA7" s="14">
        <f t="shared" si="39"/>
        <v>0.81662477151702284</v>
      </c>
      <c r="CB7" s="22">
        <f t="shared" si="10"/>
        <v>4.7501668593059909</v>
      </c>
      <c r="CC7" s="62">
        <f t="shared" si="11"/>
        <v>266.30572241486152</v>
      </c>
      <c r="CD7" s="62">
        <f ca="1">AVERAGE(OFFSET($CC$3,0,0,'Données projet'!$E$12+1,1))-AVERAGE(OFFSET($H$3,0,0,'Données projet'!$E$12+1,1))</f>
        <v>429.54141820799617</v>
      </c>
      <c r="CE7" s="62">
        <f t="shared" si="40"/>
        <v>231.36959598460686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3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2.1</v>
      </c>
      <c r="N8" s="14">
        <f>IF('Données projet'!$A$36&gt;35,N7+M8-V7,IF(A8&lt;'Données projet'!$A$36,$K$205^A8,IF(A8='Données projet'!$A$36,'Données projet'!$B$36,N7+M8-V7)))</f>
        <v>2.5457298950218314</v>
      </c>
      <c r="O8" s="14">
        <f>N8*VLOOKUP('Données projet'!$B$9,Paramètres!$A$1:$I$89,3,0)*VLOOKUP('Données projet'!$B$9,Paramètres!$A$1:$I$89,5,0)</f>
        <v>2.5813701135521372</v>
      </c>
      <c r="P8" s="14">
        <f t="shared" si="33"/>
        <v>1.0652780295337991</v>
      </c>
      <c r="Q8" s="22">
        <f t="shared" si="2"/>
        <v>6.3512455158746723</v>
      </c>
      <c r="R8" s="62">
        <f t="shared" si="0"/>
        <v>269.12902329365244</v>
      </c>
      <c r="S8" s="62">
        <f ca="1">AVERAGE(OFFSET($R$3,0,0,'Données projet'!$E$9+1,1))-AVERAGE(OFFSET($H$3,0,0,'Données projet'!$E$9+1,1))</f>
        <v>476.25344680259701</v>
      </c>
      <c r="T8" s="62">
        <f t="shared" si="34"/>
        <v>254.25036207346591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2.0085470085470085</v>
      </c>
      <c r="AI8" s="14">
        <f>IF('Données projet'!$A$62&gt;35,AI7+AH8-AQ7,IF(A8&lt;'Données projet'!$A$62,$AF$205^A8,IF(A8='Données projet'!$A$62,'Données projet'!$B$62,AI7+AH8-AQ7)))</f>
        <v>3.1116524728023753</v>
      </c>
      <c r="AJ8" s="14">
        <f>AI8*VLOOKUP('Données projet'!$B$10,Paramètres!$A$1:$I$89,3,0)*VLOOKUP('Données projet'!$B$10,Paramètres!$A$1:$I$89,5,0)</f>
        <v>3.2522991645730426</v>
      </c>
      <c r="AK8" s="14">
        <f t="shared" si="35"/>
        <v>1.3065426155602187</v>
      </c>
      <c r="AL8" s="22">
        <f t="shared" si="4"/>
        <v>7.9399827670654304</v>
      </c>
      <c r="AM8" s="62">
        <f t="shared" si="5"/>
        <v>270.7177605448432</v>
      </c>
      <c r="AN8" s="62">
        <f ca="1">AVERAGE(OFFSET($AM$3,0,0,'Données projet'!$E$10+1,1))-AVERAGE(OFFSET($H$3,0,0,'Données projet'!$E$10+1,1))</f>
        <v>493.70175665335978</v>
      </c>
      <c r="AO8" s="62">
        <f t="shared" si="36"/>
        <v>325.12357781685949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>
        <f>VLOOKUP(A8,'Données projet'!$A$87:$I$107,2,0)</f>
        <v>21</v>
      </c>
      <c r="BB8" s="13">
        <f>VLOOKUP(A8,'Données projet'!$A$87:$I$107,9,0)</f>
        <v>4.2</v>
      </c>
      <c r="BC8" s="13">
        <f t="array" ref="BC8">INDEX(BB:BB,MIN(IF(ISNUMBER(BB8:BB204),ROW(BB8:BB204),"")))</f>
        <v>4.2</v>
      </c>
      <c r="BD8" s="13">
        <f>IF('Données projet'!$A$88&gt;35,BD7+BC8-BL7,IF(A8&lt;'Données projet'!$A$88,$BA$205^A8,IF(A8='Données projet'!$A$88,'Données projet'!$B$88,BD7+BC8-BL7)))</f>
        <v>21</v>
      </c>
      <c r="BE8" s="14">
        <f>BD8*VLOOKUP('Données projet'!$B$11,Paramètres!$A$1:$I$89,3,0)*VLOOKUP('Données projet'!$B$11,Paramètres!$A$1:$I$89,5,0)</f>
        <v>19.000800000000002</v>
      </c>
      <c r="BF8" s="14">
        <f t="shared" si="37"/>
        <v>6.2154833000252001</v>
      </c>
      <c r="BG8" s="22">
        <f t="shared" si="7"/>
        <v>43.918360080877228</v>
      </c>
      <c r="BH8" s="62">
        <f t="shared" si="8"/>
        <v>306.69613785865499</v>
      </c>
      <c r="BI8" s="62">
        <f ca="1">AVERAGE(OFFSET($BH$3,0,0,'Données projet'!$E$11+1,1))-AVERAGE(OFFSET($H$3,0,0,'Données projet'!$E$11+1,1))</f>
        <v>245.09257882574383</v>
      </c>
      <c r="BJ8" s="62">
        <f t="shared" si="38"/>
        <v>342.30266518164211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2.1</v>
      </c>
      <c r="BY8" s="13">
        <f>IF('Données projet'!$A$114&gt;35,BY7+BX8-CG7,IF(A8&lt;'Données projet'!$A$114,$BV$205^A8,IF(A8='Données projet'!$A$114,'Données projet'!$B$114,BY7+BX8-CG7)))</f>
        <v>2.5457298950218314</v>
      </c>
      <c r="BZ8" s="14">
        <f>BY8*VLOOKUP('Données projet'!$B$12,Paramètres!$A$1:$I$89,3,0)*VLOOKUP('Données projet'!$B$12,Paramètres!$A$1:$I$89,5,0)</f>
        <v>2.3033764090157529</v>
      </c>
      <c r="CA8" s="14">
        <f t="shared" si="39"/>
        <v>0.96324708482559218</v>
      </c>
      <c r="CB8" s="22">
        <f t="shared" si="10"/>
        <v>5.6893692517736758</v>
      </c>
      <c r="CC8" s="62">
        <f t="shared" si="11"/>
        <v>268.46714702955143</v>
      </c>
      <c r="CD8" s="62">
        <f ca="1">AVERAGE(OFFSET($CC$3,0,0,'Données projet'!$E$12+1,1))-AVERAGE(OFFSET($H$3,0,0,'Données projet'!$E$12+1,1))</f>
        <v>429.54141820799617</v>
      </c>
      <c r="CE8" s="62">
        <f t="shared" si="40"/>
        <v>231.36959598460686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3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2.1</v>
      </c>
      <c r="N9" s="14">
        <f>IF('Données projet'!$A$36&gt;35,N8+M9-V8,IF(A9&lt;'Données projet'!$A$36,$K$205^A9,IF(A9='Données projet'!$A$36,'Données projet'!$B$36,N8+M9-V8)))</f>
        <v>3.0688438220956993</v>
      </c>
      <c r="O9" s="14">
        <f>N9*VLOOKUP('Données projet'!$B$9,Paramètres!$A$1:$I$89,3,0)*VLOOKUP('Données projet'!$B$9,Paramètres!$A$1:$I$89,5,0)</f>
        <v>3.111807635605039</v>
      </c>
      <c r="P9" s="14">
        <f t="shared" si="33"/>
        <v>1.2565452240335246</v>
      </c>
      <c r="Q9" s="22">
        <f t="shared" si="2"/>
        <v>7.6082145638704972</v>
      </c>
      <c r="R9" s="62">
        <f t="shared" si="0"/>
        <v>271.60821456387049</v>
      </c>
      <c r="S9" s="62">
        <f ca="1">AVERAGE(OFFSET($R$3,0,0,'Données projet'!$E$9+1,1))-AVERAGE(OFFSET($H$3,0,0,'Données projet'!$E$9+1,1))</f>
        <v>476.25344680259701</v>
      </c>
      <c r="T9" s="62">
        <f t="shared" si="34"/>
        <v>254.25036207346591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2.0085470085470085</v>
      </c>
      <c r="AI9" s="14">
        <f>IF('Données projet'!$A$62&gt;35,AI8+AH9-AQ8,IF(A9&lt;'Données projet'!$A$62,$AF$205^A9,IF(A9='Données projet'!$A$62,'Données projet'!$B$62,AI8+AH9-AQ8)))</f>
        <v>3.9047146677317404</v>
      </c>
      <c r="AJ9" s="14">
        <f>AI9*VLOOKUP('Données projet'!$B$10,Paramètres!$A$1:$I$89,3,0)*VLOOKUP('Données projet'!$B$10,Paramètres!$A$1:$I$89,5,0)</f>
        <v>4.0812077707132151</v>
      </c>
      <c r="AK9" s="14">
        <f t="shared" si="35"/>
        <v>1.5967795593792025</v>
      </c>
      <c r="AL9" s="22">
        <f t="shared" si="4"/>
        <v>9.8891612665776254</v>
      </c>
      <c r="AM9" s="62">
        <f t="shared" si="5"/>
        <v>273.88916126657762</v>
      </c>
      <c r="AN9" s="62">
        <f ca="1">AVERAGE(OFFSET($AM$3,0,0,'Données projet'!$E$10+1,1))-AVERAGE(OFFSET($H$3,0,0,'Données projet'!$E$10+1,1))</f>
        <v>493.70175665335978</v>
      </c>
      <c r="AO9" s="62">
        <f t="shared" si="36"/>
        <v>325.12357781685949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8.6</v>
      </c>
      <c r="BD9" s="13">
        <f>IF('Données projet'!$A$88&gt;35,BD8+BC9-BL8,IF(A9&lt;'Données projet'!$A$88,$BA$205^A9,IF(A9='Données projet'!$A$88,'Données projet'!$B$88,BD8+BC9-BL8)))</f>
        <v>29.6</v>
      </c>
      <c r="BE9" s="14">
        <f>BD9*VLOOKUP('Données projet'!$B$11,Paramètres!$A$1:$I$89,3,0)*VLOOKUP('Données projet'!$B$11,Paramètres!$A$1:$I$89,5,0)</f>
        <v>26.782080000000001</v>
      </c>
      <c r="BF9" s="14">
        <f t="shared" si="37"/>
        <v>8.4177358032728709</v>
      </c>
      <c r="BG9" s="22">
        <f t="shared" si="7"/>
        <v>61.3063458573669</v>
      </c>
      <c r="BH9" s="62">
        <f t="shared" si="8"/>
        <v>325.30634585736692</v>
      </c>
      <c r="BI9" s="62">
        <f ca="1">AVERAGE(OFFSET($BH$3,0,0,'Données projet'!$E$11+1,1))-AVERAGE(OFFSET($H$3,0,0,'Données projet'!$E$11+1,1))</f>
        <v>245.09257882574383</v>
      </c>
      <c r="BJ9" s="62">
        <f t="shared" si="38"/>
        <v>342.30266518164211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2.1</v>
      </c>
      <c r="BY9" s="13">
        <f>IF('Données projet'!$A$114&gt;35,BY8+BX9-CG8,IF(A9&lt;'Données projet'!$A$114,$BV$205^A9,IF(A9='Données projet'!$A$114,'Données projet'!$B$114,BY8+BX9-CG8)))</f>
        <v>3.0688438220956993</v>
      </c>
      <c r="BZ9" s="14">
        <f>BY9*VLOOKUP('Données projet'!$B$12,Paramètres!$A$1:$I$89,3,0)*VLOOKUP('Données projet'!$B$12,Paramètres!$A$1:$I$89,5,0)</f>
        <v>2.7766898902321886</v>
      </c>
      <c r="CA9" s="14">
        <f t="shared" si="39"/>
        <v>1.1361949561012803</v>
      </c>
      <c r="CB9" s="22">
        <f t="shared" si="10"/>
        <v>6.8149411073641248</v>
      </c>
      <c r="CC9" s="62">
        <f t="shared" si="11"/>
        <v>270.81494110736412</v>
      </c>
      <c r="CD9" s="62">
        <f ca="1">AVERAGE(OFFSET($CC$3,0,0,'Données projet'!$E$12+1,1))-AVERAGE(OFFSET($H$3,0,0,'Données projet'!$E$12+1,1))</f>
        <v>429.54141820799617</v>
      </c>
      <c r="CE9" s="62">
        <f t="shared" si="40"/>
        <v>231.36959598460686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3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2.1</v>
      </c>
      <c r="N10" s="14">
        <f>IF('Données projet'!$A$36&gt;35,N9+M10-V9,IF(A10&lt;'Données projet'!$A$36,$K$205^A10,IF(A10='Données projet'!$A$36,'Données projet'!$B$36,N9+M10-V9)))</f>
        <v>3.6994507637402658</v>
      </c>
      <c r="O10" s="14">
        <f>N10*VLOOKUP('Données projet'!$B$9,Paramètres!$A$1:$I$89,3,0)*VLOOKUP('Données projet'!$B$9,Paramètres!$A$1:$I$89,5,0)</f>
        <v>3.7512430744326299</v>
      </c>
      <c r="P10" s="14">
        <f t="shared" si="33"/>
        <v>1.4821538192545303</v>
      </c>
      <c r="Q10" s="22">
        <f t="shared" si="2"/>
        <v>9.1148329231718037</v>
      </c>
      <c r="R10" s="62">
        <f t="shared" si="0"/>
        <v>274.33705514539406</v>
      </c>
      <c r="S10" s="62">
        <f ca="1">AVERAGE(OFFSET($R$3,0,0,'Données projet'!$E$9+1,1))-AVERAGE(OFFSET($H$3,0,0,'Données projet'!$E$9+1,1))</f>
        <v>476.25344680259701</v>
      </c>
      <c r="T10" s="62">
        <f t="shared" si="34"/>
        <v>254.25036207346591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2.0085470085470085</v>
      </c>
      <c r="AI10" s="14">
        <f>IF('Données projet'!$A$62&gt;35,AI9+AH10-AQ9,IF(A10&lt;'Données projet'!$A$62,$AF$205^A10,IF(A10='Données projet'!$A$62,'Données projet'!$B$62,AI9+AH10-AQ9)))</f>
        <v>4.899903433839456</v>
      </c>
      <c r="AJ10" s="14">
        <f>AI10*VLOOKUP('Données projet'!$B$10,Paramètres!$A$1:$I$89,3,0)*VLOOKUP('Données projet'!$B$10,Paramètres!$A$1:$I$89,5,0)</f>
        <v>5.1213790690489995</v>
      </c>
      <c r="AK10" s="14">
        <f t="shared" si="35"/>
        <v>1.9514900860374758</v>
      </c>
      <c r="AL10" s="22">
        <f t="shared" si="4"/>
        <v>12.318580445108942</v>
      </c>
      <c r="AM10" s="62">
        <f t="shared" si="5"/>
        <v>277.54080266733115</v>
      </c>
      <c r="AN10" s="62">
        <f ca="1">AVERAGE(OFFSET($AM$3,0,0,'Données projet'!$E$10+1,1))-AVERAGE(OFFSET($H$3,0,0,'Données projet'!$E$10+1,1))</f>
        <v>493.70175665335978</v>
      </c>
      <c r="AO10" s="62">
        <f t="shared" si="36"/>
        <v>325.12357781685949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8.6</v>
      </c>
      <c r="BD10" s="13">
        <f>IF('Données projet'!$A$88&gt;35,BD9+BC10-BL9,IF(A10&lt;'Données projet'!$A$88,$BA$205^A10,IF(A10='Données projet'!$A$88,'Données projet'!$B$88,BD9+BC10-BL9)))</f>
        <v>38.200000000000003</v>
      </c>
      <c r="BE10" s="14">
        <f>BD10*VLOOKUP('Données projet'!$B$11,Paramètres!$A$1:$I$89,3,0)*VLOOKUP('Données projet'!$B$11,Paramètres!$A$1:$I$89,5,0)</f>
        <v>34.563359999999996</v>
      </c>
      <c r="BF10" s="14">
        <f t="shared" si="37"/>
        <v>10.545644394172195</v>
      </c>
      <c r="BG10" s="22">
        <f t="shared" si="7"/>
        <v>78.564849319849884</v>
      </c>
      <c r="BH10" s="62">
        <f t="shared" si="8"/>
        <v>343.78707154207211</v>
      </c>
      <c r="BI10" s="62">
        <f ca="1">AVERAGE(OFFSET($BH$3,0,0,'Données projet'!$E$11+1,1))-AVERAGE(OFFSET($H$3,0,0,'Données projet'!$E$11+1,1))</f>
        <v>245.09257882574383</v>
      </c>
      <c r="BJ10" s="62">
        <f t="shared" si="38"/>
        <v>342.30266518164211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2.1</v>
      </c>
      <c r="BY10" s="13">
        <f>IF('Données projet'!$A$114&gt;35,BY9+BX10-CG9,IF(A10&lt;'Données projet'!$A$114,$BV$205^A10,IF(A10='Données projet'!$A$114,'Données projet'!$B$114,BY9+BX10-CG9)))</f>
        <v>3.6994507637402658</v>
      </c>
      <c r="BZ10" s="14">
        <f>BY10*VLOOKUP('Données projet'!$B$12,Paramètres!$A$1:$I$89,3,0)*VLOOKUP('Données projet'!$B$12,Paramètres!$A$1:$I$89,5,0)</f>
        <v>3.3472630510321921</v>
      </c>
      <c r="CA10" s="14">
        <f t="shared" si="39"/>
        <v>1.34019505338418</v>
      </c>
      <c r="CB10" s="22">
        <f t="shared" si="10"/>
        <v>8.1639895318585136</v>
      </c>
      <c r="CC10" s="62">
        <f t="shared" si="11"/>
        <v>273.38621175408076</v>
      </c>
      <c r="CD10" s="62">
        <f ca="1">AVERAGE(OFFSET($CC$3,0,0,'Données projet'!$E$12+1,1))-AVERAGE(OFFSET($H$3,0,0,'Données projet'!$E$12+1,1))</f>
        <v>429.54141820799617</v>
      </c>
      <c r="CE10" s="62">
        <f t="shared" si="40"/>
        <v>231.36959598460686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3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2.1</v>
      </c>
      <c r="N11" s="14">
        <f>IF('Données projet'!$A$36&gt;35,N10+M11-V10,IF(A11&lt;'Données projet'!$A$36,$K$205^A11,IF(A11='Données projet'!$A$36,'Données projet'!$B$36,N10+M11-V10)))</f>
        <v>4.4596391171162209</v>
      </c>
      <c r="O11" s="14">
        <f>N11*VLOOKUP('Données projet'!$B$9,Paramètres!$A$1:$I$89,3,0)*VLOOKUP('Données projet'!$B$9,Paramètres!$A$1:$I$89,5,0)</f>
        <v>4.5220740647558486</v>
      </c>
      <c r="P11" s="14">
        <f t="shared" si="33"/>
        <v>1.7482697016499746</v>
      </c>
      <c r="Q11" s="22">
        <f t="shared" si="2"/>
        <v>10.92084872649014</v>
      </c>
      <c r="R11" s="62">
        <f t="shared" si="0"/>
        <v>277.36529317093459</v>
      </c>
      <c r="S11" s="62">
        <f ca="1">AVERAGE(OFFSET($R$3,0,0,'Données projet'!$E$9+1,1))-AVERAGE(OFFSET($H$3,0,0,'Données projet'!$E$9+1,1))</f>
        <v>476.25344680259701</v>
      </c>
      <c r="T11" s="62">
        <f t="shared" si="34"/>
        <v>254.25036207346591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2.0085470085470085</v>
      </c>
      <c r="AI11" s="14">
        <f>IF('Données projet'!$A$62&gt;35,AI10+AH11-AQ10,IF(A11&lt;'Données projet'!$A$62,$AF$205^A11,IF(A11='Données projet'!$A$62,'Données projet'!$B$62,AI10+AH11-AQ10)))</f>
        <v>6.1487344669152542</v>
      </c>
      <c r="AJ11" s="14">
        <f>AI11*VLOOKUP('Données projet'!$B$10,Paramètres!$A$1:$I$89,3,0)*VLOOKUP('Données projet'!$B$10,Paramètres!$A$1:$I$89,5,0)</f>
        <v>6.4266572648198244</v>
      </c>
      <c r="AK11" s="14">
        <f t="shared" si="35"/>
        <v>2.3849964345630501</v>
      </c>
      <c r="AL11" s="22">
        <f t="shared" si="4"/>
        <v>15.346963526425172</v>
      </c>
      <c r="AM11" s="62">
        <f t="shared" si="5"/>
        <v>281.79140797086961</v>
      </c>
      <c r="AN11" s="62">
        <f ca="1">AVERAGE(OFFSET($AM$3,0,0,'Données projet'!$E$10+1,1))-AVERAGE(OFFSET($H$3,0,0,'Données projet'!$E$10+1,1))</f>
        <v>493.70175665335978</v>
      </c>
      <c r="AO11" s="62">
        <f t="shared" si="36"/>
        <v>325.12357781685949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8.6</v>
      </c>
      <c r="BD11" s="13">
        <f>IF('Données projet'!$A$88&gt;35,BD10+BC11-BL10,IF(A11&lt;'Données projet'!$A$88,$BA$205^A11,IF(A11='Données projet'!$A$88,'Données projet'!$B$88,BD10+BC11-BL10)))</f>
        <v>46.800000000000004</v>
      </c>
      <c r="BE11" s="14">
        <f>BD11*VLOOKUP('Données projet'!$B$11,Paramètres!$A$1:$I$89,3,0)*VLOOKUP('Données projet'!$B$11,Paramètres!$A$1:$I$89,5,0)</f>
        <v>42.344640000000005</v>
      </c>
      <c r="BF11" s="14">
        <f t="shared" si="37"/>
        <v>12.618018821035809</v>
      </c>
      <c r="BG11" s="22">
        <f t="shared" si="7"/>
        <v>95.726630779970719</v>
      </c>
      <c r="BH11" s="62">
        <f t="shared" si="8"/>
        <v>362.17107522441518</v>
      </c>
      <c r="BI11" s="62">
        <f ca="1">AVERAGE(OFFSET($BH$3,0,0,'Données projet'!$E$11+1,1))-AVERAGE(OFFSET($H$3,0,0,'Données projet'!$E$11+1,1))</f>
        <v>245.09257882574383</v>
      </c>
      <c r="BJ11" s="62">
        <f t="shared" si="38"/>
        <v>342.30266518164211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2.1</v>
      </c>
      <c r="BY11" s="13">
        <f>IF('Données projet'!$A$114&gt;35,BY10+BX11-CG10,IF(A11&lt;'Données projet'!$A$114,$BV$205^A11,IF(A11='Données projet'!$A$114,'Données projet'!$B$114,BY10+BX11-CG10)))</f>
        <v>4.4596391171162209</v>
      </c>
      <c r="BZ11" s="14">
        <f>BY11*VLOOKUP('Données projet'!$B$12,Paramètres!$A$1:$I$89,3,0)*VLOOKUP('Données projet'!$B$12,Paramètres!$A$1:$I$89,5,0)</f>
        <v>4.0350814731667564</v>
      </c>
      <c r="CA11" s="14">
        <f t="shared" si="39"/>
        <v>1.5808227025391921</v>
      </c>
      <c r="CB11" s="22">
        <f t="shared" si="10"/>
        <v>9.7810331060211926</v>
      </c>
      <c r="CC11" s="62">
        <f t="shared" si="11"/>
        <v>276.22547755046565</v>
      </c>
      <c r="CD11" s="62">
        <f ca="1">AVERAGE(OFFSET($CC$3,0,0,'Données projet'!$E$12+1,1))-AVERAGE(OFFSET($H$3,0,0,'Données projet'!$E$12+1,1))</f>
        <v>429.54141820799617</v>
      </c>
      <c r="CE11" s="62">
        <f t="shared" si="40"/>
        <v>231.36959598460686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3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2.1</v>
      </c>
      <c r="N12" s="14">
        <f>IF('Données projet'!$A$36&gt;35,N11+M12-V11,IF(A12&lt;'Données projet'!$A$36,$K$205^A12,IF(A12='Données projet'!$A$36,'Données projet'!$B$36,N11+M12-V11)))</f>
        <v>5.3760361537574148</v>
      </c>
      <c r="O12" s="14">
        <f>N12*VLOOKUP('Données projet'!$B$9,Paramètres!$A$1:$I$89,3,0)*VLOOKUP('Données projet'!$B$9,Paramètres!$A$1:$I$89,5,0)</f>
        <v>5.4513006599100189</v>
      </c>
      <c r="P12" s="14">
        <f t="shared" si="33"/>
        <v>2.062165822468125</v>
      </c>
      <c r="Q12" s="22">
        <f t="shared" si="2"/>
        <v>13.085954123475267</v>
      </c>
      <c r="R12" s="62">
        <f t="shared" si="0"/>
        <v>280.75262079014198</v>
      </c>
      <c r="S12" s="62">
        <f ca="1">AVERAGE(OFFSET($R$3,0,0,'Données projet'!$E$9+1,1))-AVERAGE(OFFSET($H$3,0,0,'Données projet'!$E$9+1,1))</f>
        <v>476.25344680259701</v>
      </c>
      <c r="T12" s="62">
        <f t="shared" si="34"/>
        <v>254.25036207346591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2.0085470085470085</v>
      </c>
      <c r="AI12" s="14">
        <f>IF('Données projet'!$A$62&gt;35,AI11+AH12-AQ11,IF(A12&lt;'Données projet'!$A$62,$AF$205^A12,IF(A12='Données projet'!$A$62,'Données projet'!$B$62,AI11+AH12-AQ11)))</f>
        <v>7.715853190806035</v>
      </c>
      <c r="AJ12" s="14">
        <f>AI12*VLOOKUP('Données projet'!$B$10,Paramètres!$A$1:$I$89,3,0)*VLOOKUP('Données projet'!$B$10,Paramètres!$A$1:$I$89,5,0)</f>
        <v>8.0646097550304692</v>
      </c>
      <c r="AK12" s="14">
        <f t="shared" si="35"/>
        <v>2.9148024033411493</v>
      </c>
      <c r="AL12" s="22">
        <f t="shared" si="4"/>
        <v>19.122476175830567</v>
      </c>
      <c r="AM12" s="62">
        <f t="shared" si="5"/>
        <v>286.78914284249726</v>
      </c>
      <c r="AN12" s="62">
        <f ca="1">AVERAGE(OFFSET($AM$3,0,0,'Données projet'!$E$10+1,1))-AVERAGE(OFFSET($H$3,0,0,'Données projet'!$E$10+1,1))</f>
        <v>493.70175665335978</v>
      </c>
      <c r="AO12" s="62">
        <f t="shared" si="36"/>
        <v>325.12357781685949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8.6</v>
      </c>
      <c r="BD12" s="13">
        <f>IF('Données projet'!$A$88&gt;35,BD11+BC12-BL11,IF(A12&lt;'Données projet'!$A$88,$BA$205^A12,IF(A12='Données projet'!$A$88,'Données projet'!$B$88,BD11+BC12-BL11)))</f>
        <v>55.400000000000006</v>
      </c>
      <c r="BE12" s="14">
        <f>BD12*VLOOKUP('Données projet'!$B$11,Paramètres!$A$1:$I$89,3,0)*VLOOKUP('Données projet'!$B$11,Paramètres!$A$1:$I$89,5,0)</f>
        <v>50.125920000000001</v>
      </c>
      <c r="BF12" s="14">
        <f t="shared" si="37"/>
        <v>14.646274290627822</v>
      </c>
      <c r="BG12" s="22">
        <f t="shared" si="7"/>
        <v>112.81157172284345</v>
      </c>
      <c r="BH12" s="62">
        <f t="shared" si="8"/>
        <v>380.47823838951012</v>
      </c>
      <c r="BI12" s="62">
        <f ca="1">AVERAGE(OFFSET($BH$3,0,0,'Données projet'!$E$11+1,1))-AVERAGE(OFFSET($H$3,0,0,'Données projet'!$E$11+1,1))</f>
        <v>245.09257882574383</v>
      </c>
      <c r="BJ12" s="62">
        <f t="shared" si="38"/>
        <v>342.30266518164211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2.1</v>
      </c>
      <c r="BY12" s="13">
        <f>IF('Données projet'!$A$114&gt;35,BY11+BX12-CG11,IF(A12&lt;'Données projet'!$A$114,$BV$205^A12,IF(A12='Données projet'!$A$114,'Données projet'!$B$114,BY11+BX12-CG11)))</f>
        <v>5.3760361537574148</v>
      </c>
      <c r="BZ12" s="14">
        <f>BY12*VLOOKUP('Données projet'!$B$12,Paramètres!$A$1:$I$89,3,0)*VLOOKUP('Données projet'!$B$12,Paramètres!$A$1:$I$89,5,0)</f>
        <v>4.8642375119197085</v>
      </c>
      <c r="CA12" s="14">
        <f t="shared" si="39"/>
        <v>1.8646542609995393</v>
      </c>
      <c r="CB12" s="22">
        <f t="shared" si="10"/>
        <v>11.719486504501022</v>
      </c>
      <c r="CC12" s="62">
        <f t="shared" si="11"/>
        <v>279.38615317116773</v>
      </c>
      <c r="CD12" s="62">
        <f ca="1">AVERAGE(OFFSET($CC$3,0,0,'Données projet'!$E$12+1,1))-AVERAGE(OFFSET($H$3,0,0,'Données projet'!$E$12+1,1))</f>
        <v>429.54141820799617</v>
      </c>
      <c r="CE12" s="62">
        <f t="shared" si="40"/>
        <v>231.36959598460686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3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2.1</v>
      </c>
      <c r="N13" s="14">
        <f>IF('Données projet'!$A$36&gt;35,N12+M13-V12,IF(A13&lt;'Données projet'!$A$36,$K$205^A13,IF(A13='Données projet'!$A$36,'Données projet'!$B$36,N12+M13-V12)))</f>
        <v>6.4807406984078657</v>
      </c>
      <c r="O13" s="14">
        <f>N13*VLOOKUP('Données projet'!$B$9,Paramètres!$A$1:$I$89,3,0)*VLOOKUP('Données projet'!$B$9,Paramètres!$A$1:$I$89,5,0)</f>
        <v>6.5714710681855761</v>
      </c>
      <c r="P13" s="14">
        <f t="shared" si="33"/>
        <v>2.4324209676242781</v>
      </c>
      <c r="Q13" s="22">
        <f t="shared" si="2"/>
        <v>15.681778629035497</v>
      </c>
      <c r="R13" s="62">
        <f t="shared" si="0"/>
        <v>284.57066751792433</v>
      </c>
      <c r="S13" s="62">
        <f ca="1">AVERAGE(OFFSET($R$3,0,0,'Données projet'!$E$9+1,1))-AVERAGE(OFFSET($H$3,0,0,'Données projet'!$E$9+1,1))</f>
        <v>476.25344680259701</v>
      </c>
      <c r="T13" s="62">
        <f t="shared" si="34"/>
        <v>254.25036207346591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2.0085470085470085</v>
      </c>
      <c r="AI13" s="14">
        <f>IF('Données projet'!$A$62&gt;35,AI12+AH13-AQ12,IF(A13&lt;'Données projet'!$A$62,$AF$205^A13,IF(A13='Données projet'!$A$62,'Données projet'!$B$62,AI12+AH13-AQ12)))</f>
        <v>9.6823811114971363</v>
      </c>
      <c r="AJ13" s="14">
        <f>AI13*VLOOKUP('Données projet'!$B$10,Paramètres!$A$1:$I$89,3,0)*VLOOKUP('Données projet'!$B$10,Paramètres!$A$1:$I$89,5,0)</f>
        <v>10.120024737736808</v>
      </c>
      <c r="AK13" s="14">
        <f t="shared" si="35"/>
        <v>3.5623001055261061</v>
      </c>
      <c r="AL13" s="22">
        <f t="shared" si="4"/>
        <v>23.830049102016243</v>
      </c>
      <c r="AM13" s="62">
        <f t="shared" si="5"/>
        <v>292.71893799090509</v>
      </c>
      <c r="AN13" s="62">
        <f ca="1">AVERAGE(OFFSET($AM$3,0,0,'Données projet'!$E$10+1,1))-AVERAGE(OFFSET($H$3,0,0,'Données projet'!$E$10+1,1))</f>
        <v>493.70175665335978</v>
      </c>
      <c r="AO13" s="62">
        <f t="shared" si="36"/>
        <v>325.12357781685949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>
        <f>VLOOKUP(A13,'Données projet'!$A$87:$I$107,2,0)</f>
        <v>64</v>
      </c>
      <c r="BB13" s="13">
        <f>VLOOKUP(A13,'Données projet'!$A$87:$I$107,9,0)</f>
        <v>8.6</v>
      </c>
      <c r="BC13" s="13">
        <f t="array" ref="BC13">INDEX(BB:BB,MIN(IF(ISNUMBER(BB13:BB209),ROW(BB13:BB209),"")))</f>
        <v>8.6</v>
      </c>
      <c r="BD13" s="13">
        <f>IF('Données projet'!$A$88&gt;35,BD12+BC13-BL12,IF(A13&lt;'Données projet'!$A$88,$BA$205^A13,IF(A13='Données projet'!$A$88,'Données projet'!$B$88,BD12+BC13-BL12)))</f>
        <v>64</v>
      </c>
      <c r="BE13" s="14">
        <f>BD13*VLOOKUP('Données projet'!$B$11,Paramètres!$A$1:$I$89,3,0)*VLOOKUP('Données projet'!$B$11,Paramètres!$A$1:$I$89,5,0)</f>
        <v>57.907199999999996</v>
      </c>
      <c r="BF13" s="14">
        <f t="shared" si="37"/>
        <v>16.638055172386</v>
      </c>
      <c r="BG13" s="22">
        <f t="shared" si="7"/>
        <v>129.83298609190561</v>
      </c>
      <c r="BH13" s="62">
        <f t="shared" si="8"/>
        <v>398.7218749807945</v>
      </c>
      <c r="BI13" s="62">
        <f ca="1">AVERAGE(OFFSET($BH$3,0,0,'Données projet'!$E$11+1,1))-AVERAGE(OFFSET($H$3,0,0,'Données projet'!$E$11+1,1))</f>
        <v>245.09257882574383</v>
      </c>
      <c r="BJ13" s="62">
        <f t="shared" si="38"/>
        <v>342.30266518164211</v>
      </c>
      <c r="BK13" s="16">
        <f>IF(ISNA(VLOOKUP(A13,'Données projet'!$A$87:$I$107,3,0)),0,VLOOKUP(A13,'Données projet'!$A$87:$I$107,3,0))</f>
        <v>1</v>
      </c>
      <c r="BL13" s="16">
        <f>IF(ISNA(VLOOKUP(A13,'Données projet'!$A$87:$I$107,4,0)),0,VLOOKUP(A13,'Données projet'!$A$87:$I$107,4,0))</f>
        <v>17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2.1</v>
      </c>
      <c r="BY13" s="13">
        <f>IF('Données projet'!$A$114&gt;35,BY12+BX13-CG12,IF(A13&lt;'Données projet'!$A$114,$BV$205^A13,IF(A13='Données projet'!$A$114,'Données projet'!$B$114,BY12+BX13-CG12)))</f>
        <v>6.4807406984078657</v>
      </c>
      <c r="BZ13" s="14">
        <f>BY13*VLOOKUP('Données projet'!$B$12,Paramètres!$A$1:$I$89,3,0)*VLOOKUP('Données projet'!$B$12,Paramètres!$A$1:$I$89,5,0)</f>
        <v>5.8637741839194364</v>
      </c>
      <c r="CA13" s="14">
        <f t="shared" si="39"/>
        <v>2.1994468497187687</v>
      </c>
      <c r="CB13" s="22">
        <f t="shared" si="10"/>
        <v>14.043443300253207</v>
      </c>
      <c r="CC13" s="62">
        <f t="shared" si="11"/>
        <v>282.93233218914207</v>
      </c>
      <c r="CD13" s="62">
        <f ca="1">AVERAGE(OFFSET($CC$3,0,0,'Données projet'!$E$12+1,1))-AVERAGE(OFFSET($H$3,0,0,'Données projet'!$E$12+1,1))</f>
        <v>429.54141820799617</v>
      </c>
      <c r="CE13" s="62">
        <f t="shared" si="40"/>
        <v>231.36959598460686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3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2.1</v>
      </c>
      <c r="N14" s="14">
        <f>IF('Données projet'!$A$36&gt;35,N13+M14-V13,IF(A14&lt;'Données projet'!$A$36,$K$205^A14,IF(A14='Données projet'!$A$36,'Données projet'!$B$36,N13+M14-V13)))</f>
        <v>7.8124474610620815</v>
      </c>
      <c r="O14" s="14">
        <f>N14*VLOOKUP('Données projet'!$B$9,Paramètres!$A$1:$I$89,3,0)*VLOOKUP('Données projet'!$B$9,Paramètres!$A$1:$I$89,5,0)</f>
        <v>7.921821725516951</v>
      </c>
      <c r="P14" s="14">
        <f t="shared" si="33"/>
        <v>2.869154216054651</v>
      </c>
      <c r="Q14" s="22">
        <f t="shared" si="2"/>
        <v>18.794283098237205</v>
      </c>
      <c r="R14" s="62">
        <f t="shared" si="0"/>
        <v>288.90539420934834</v>
      </c>
      <c r="S14" s="62">
        <f ca="1">AVERAGE(OFFSET($R$3,0,0,'Données projet'!$E$9+1,1))-AVERAGE(OFFSET($H$3,0,0,'Données projet'!$E$9+1,1))</f>
        <v>476.25344680259701</v>
      </c>
      <c r="T14" s="62">
        <f t="shared" si="34"/>
        <v>254.25036207346591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2.0085470085470085</v>
      </c>
      <c r="AI14" s="14">
        <f>IF('Données projet'!$A$62&gt;35,AI13+AH14-AQ13,IF(A14&lt;'Données projet'!$A$62,$AF$205^A14,IF(A14='Données projet'!$A$62,'Données projet'!$B$62,AI13+AH14-AQ13)))</f>
        <v>12.150115051435174</v>
      </c>
      <c r="AJ14" s="14">
        <f>AI14*VLOOKUP('Données projet'!$B$10,Paramètres!$A$1:$I$89,3,0)*VLOOKUP('Données projet'!$B$10,Paramètres!$A$1:$I$89,5,0)</f>
        <v>12.699300251760045</v>
      </c>
      <c r="AK14" s="14">
        <f t="shared" si="35"/>
        <v>4.3536337239482048</v>
      </c>
      <c r="AL14" s="22">
        <f t="shared" si="4"/>
        <v>29.700526674358532</v>
      </c>
      <c r="AM14" s="62">
        <f t="shared" si="5"/>
        <v>299.81163778546966</v>
      </c>
      <c r="AN14" s="62">
        <f ca="1">AVERAGE(OFFSET($AM$3,0,0,'Données projet'!$E$10+1,1))-AVERAGE(OFFSET($H$3,0,0,'Données projet'!$E$10+1,1))</f>
        <v>493.70175665335978</v>
      </c>
      <c r="AO14" s="62">
        <f t="shared" si="36"/>
        <v>325.12357781685949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8.4</v>
      </c>
      <c r="BD14" s="13">
        <f>IF('Données projet'!$A$88&gt;35,BD13+BC14-BL13,IF(A14&lt;'Données projet'!$A$88,$BA$205^A14,IF(A14='Données projet'!$A$88,'Données projet'!$B$88,BD13+BC14-BL13)))</f>
        <v>55.400000000000006</v>
      </c>
      <c r="BE14" s="14">
        <f>BD14*VLOOKUP('Données projet'!$B$11,Paramètres!$A$1:$I$89,3,0)*VLOOKUP('Données projet'!$B$11,Paramètres!$A$1:$I$89,5,0)</f>
        <v>50.125920000000001</v>
      </c>
      <c r="BF14" s="14">
        <f t="shared" si="37"/>
        <v>14.646274290627822</v>
      </c>
      <c r="BG14" s="22">
        <f t="shared" si="7"/>
        <v>112.81157172284345</v>
      </c>
      <c r="BH14" s="62">
        <f t="shared" si="8"/>
        <v>382.92268283395458</v>
      </c>
      <c r="BI14" s="62">
        <f ca="1">AVERAGE(OFFSET($BH$3,0,0,'Données projet'!$E$11+1,1))-AVERAGE(OFFSET($H$3,0,0,'Données projet'!$E$11+1,1))</f>
        <v>245.09257882574383</v>
      </c>
      <c r="BJ14" s="62">
        <f t="shared" si="38"/>
        <v>342.30266518164211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2.1</v>
      </c>
      <c r="BY14" s="13">
        <f>IF('Données projet'!$A$114&gt;35,BY13+BX14-CG13,IF(A14&lt;'Données projet'!$A$114,$BV$205^A14,IF(A14='Données projet'!$A$114,'Données projet'!$B$114,BY13+BX14-CG13)))</f>
        <v>7.8124474610620815</v>
      </c>
      <c r="BZ14" s="14">
        <f>BY14*VLOOKUP('Données projet'!$B$12,Paramètres!$A$1:$I$89,3,0)*VLOOKUP('Données projet'!$B$12,Paramètres!$A$1:$I$89,5,0)</f>
        <v>7.0687024627689707</v>
      </c>
      <c r="CA14" s="14">
        <f t="shared" si="39"/>
        <v>2.5943503554083325</v>
      </c>
      <c r="CB14" s="22">
        <f t="shared" si="10"/>
        <v>16.829816991658799</v>
      </c>
      <c r="CC14" s="62">
        <f t="shared" si="11"/>
        <v>286.94092810276993</v>
      </c>
      <c r="CD14" s="62">
        <f ca="1">AVERAGE(OFFSET($CC$3,0,0,'Données projet'!$E$12+1,1))-AVERAGE(OFFSET($H$3,0,0,'Données projet'!$E$12+1,1))</f>
        <v>429.54141820799617</v>
      </c>
      <c r="CE14" s="62">
        <f t="shared" si="40"/>
        <v>231.36959598460686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3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2.1</v>
      </c>
      <c r="N15" s="14">
        <f>IF('Données projet'!$A$36&gt;35,N14+M15-V14,IF(A15&lt;'Données projet'!$A$36,$K$205^A15,IF(A15='Données projet'!$A$36,'Données projet'!$B$36,N14+M15-V14)))</f>
        <v>9.4178024044149407</v>
      </c>
      <c r="O15" s="14">
        <f>N15*VLOOKUP('Données projet'!$B$9,Paramètres!$A$1:$I$89,3,0)*VLOOKUP('Données projet'!$B$9,Paramètres!$A$1:$I$89,5,0)</f>
        <v>9.5496516380767513</v>
      </c>
      <c r="P15" s="14">
        <f t="shared" si="33"/>
        <v>3.3843014943027487</v>
      </c>
      <c r="Q15" s="22">
        <f t="shared" si="2"/>
        <v>22.526635038894295</v>
      </c>
      <c r="R15" s="62">
        <f t="shared" si="0"/>
        <v>293.85996837222763</v>
      </c>
      <c r="S15" s="62">
        <f ca="1">AVERAGE(OFFSET($R$3,0,0,'Données projet'!$E$9+1,1))-AVERAGE(OFFSET($H$3,0,0,'Données projet'!$E$9+1,1))</f>
        <v>476.25344680259701</v>
      </c>
      <c r="T15" s="62">
        <f t="shared" si="34"/>
        <v>254.25036207346591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2.0085470085470085</v>
      </c>
      <c r="AI15" s="14">
        <f>IF('Données projet'!$A$62&gt;35,AI14+AH15-AQ14,IF(A15&lt;'Données projet'!$A$62,$AF$205^A15,IF(A15='Données projet'!$A$62,'Données projet'!$B$62,AI14+AH15-AQ14)))</f>
        <v>15.246796636399393</v>
      </c>
      <c r="AJ15" s="14">
        <f>AI15*VLOOKUP('Données projet'!$B$10,Paramètres!$A$1:$I$89,3,0)*VLOOKUP('Données projet'!$B$10,Paramètres!$A$1:$I$89,5,0)</f>
        <v>15.935951844364647</v>
      </c>
      <c r="AK15" s="14">
        <f t="shared" si="35"/>
        <v>5.3207551415716088</v>
      </c>
      <c r="AL15" s="22">
        <f t="shared" si="4"/>
        <v>37.022098000505643</v>
      </c>
      <c r="AM15" s="62">
        <f t="shared" si="5"/>
        <v>308.35543133383896</v>
      </c>
      <c r="AN15" s="62">
        <f ca="1">AVERAGE(OFFSET($AM$3,0,0,'Données projet'!$E$10+1,1))-AVERAGE(OFFSET($H$3,0,0,'Données projet'!$E$10+1,1))</f>
        <v>493.70175665335978</v>
      </c>
      <c r="AO15" s="62">
        <f t="shared" si="36"/>
        <v>325.12357781685949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8.4</v>
      </c>
      <c r="BD15" s="13">
        <f>IF('Données projet'!$A$88&gt;35,BD14+BC15-BL14,IF(A15&lt;'Données projet'!$A$88,$BA$205^A15,IF(A15='Données projet'!$A$88,'Données projet'!$B$88,BD14+BC15-BL14)))</f>
        <v>63.800000000000004</v>
      </c>
      <c r="BE15" s="14">
        <f>BD15*VLOOKUP('Données projet'!$B$11,Paramètres!$A$1:$I$89,3,0)*VLOOKUP('Données projet'!$B$11,Paramètres!$A$1:$I$89,5,0)</f>
        <v>57.726239999999997</v>
      </c>
      <c r="BF15" s="14">
        <f t="shared" si="37"/>
        <v>16.592104977137897</v>
      </c>
      <c r="BG15" s="22">
        <f t="shared" si="7"/>
        <v>129.43778416851515</v>
      </c>
      <c r="BH15" s="62">
        <f t="shared" si="8"/>
        <v>400.77111750184849</v>
      </c>
      <c r="BI15" s="62">
        <f ca="1">AVERAGE(OFFSET($BH$3,0,0,'Données projet'!$E$11+1,1))-AVERAGE(OFFSET($H$3,0,0,'Données projet'!$E$11+1,1))</f>
        <v>245.09257882574383</v>
      </c>
      <c r="BJ15" s="62">
        <f t="shared" si="38"/>
        <v>342.30266518164211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2.1</v>
      </c>
      <c r="BY15" s="13">
        <f>IF('Données projet'!$A$114&gt;35,BY14+BX15-CG14,IF(A15&lt;'Données projet'!$A$114,$BV$205^A15,IF(A15='Données projet'!$A$114,'Données projet'!$B$114,BY14+BX15-CG14)))</f>
        <v>9.4178024044149407</v>
      </c>
      <c r="BZ15" s="14">
        <f>BY15*VLOOKUP('Données projet'!$B$12,Paramètres!$A$1:$I$89,3,0)*VLOOKUP('Données projet'!$B$12,Paramètres!$A$1:$I$89,5,0)</f>
        <v>8.521227615514638</v>
      </c>
      <c r="CA15" s="14">
        <f t="shared" si="39"/>
        <v>3.0601574970852128</v>
      </c>
      <c r="CB15" s="22">
        <f t="shared" si="10"/>
        <v>20.170912404444739</v>
      </c>
      <c r="CC15" s="62">
        <f t="shared" si="11"/>
        <v>291.50424573777804</v>
      </c>
      <c r="CD15" s="62">
        <f ca="1">AVERAGE(OFFSET($CC$3,0,0,'Données projet'!$E$12+1,1))-AVERAGE(OFFSET($H$3,0,0,'Données projet'!$E$12+1,1))</f>
        <v>429.54141820799617</v>
      </c>
      <c r="CE15" s="62">
        <f t="shared" si="40"/>
        <v>231.36959598460686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3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2.1</v>
      </c>
      <c r="N16" s="14">
        <f>IF('Données projet'!$A$36&gt;35,N15+M16-V15,IF(A16&lt;'Données projet'!$A$36,$K$205^A16,IF(A16='Données projet'!$A$36,'Données projet'!$B$36,N15+M16-V15)))</f>
        <v>11.35303662145153</v>
      </c>
      <c r="O16" s="14">
        <f>N16*VLOOKUP('Données projet'!$B$9,Paramètres!$A$1:$I$89,3,0)*VLOOKUP('Données projet'!$B$9,Paramètres!$A$1:$I$89,5,0)</f>
        <v>11.511979134151852</v>
      </c>
      <c r="P16" s="14">
        <f t="shared" si="33"/>
        <v>3.9919417855793822</v>
      </c>
      <c r="Q16" s="22">
        <f t="shared" si="2"/>
        <v>27.002662268531896</v>
      </c>
      <c r="R16" s="62">
        <f t="shared" si="0"/>
        <v>299.55821782408742</v>
      </c>
      <c r="S16" s="62">
        <f ca="1">AVERAGE(OFFSET($R$3,0,0,'Données projet'!$E$9+1,1))-AVERAGE(OFFSET($H$3,0,0,'Données projet'!$E$9+1,1))</f>
        <v>476.25344680259701</v>
      </c>
      <c r="T16" s="62">
        <f t="shared" si="34"/>
        <v>254.25036207346591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2.0085470085470085</v>
      </c>
      <c r="AI16" s="14">
        <f>IF('Données projet'!$A$62&gt;35,AI15+AH16-AQ15,IF(A16&lt;'Données projet'!$A$62,$AF$205^A16,IF(A16='Données projet'!$A$62,'Données projet'!$B$62,AI15+AH16-AQ15)))</f>
        <v>19.132724808582047</v>
      </c>
      <c r="AJ16" s="14">
        <f>AI16*VLOOKUP('Données projet'!$B$10,Paramètres!$A$1:$I$89,3,0)*VLOOKUP('Données projet'!$B$10,Paramètres!$A$1:$I$89,5,0)</f>
        <v>19.997523969929958</v>
      </c>
      <c r="AK16" s="14">
        <f t="shared" si="35"/>
        <v>6.5027140709684383</v>
      </c>
      <c r="AL16" s="22">
        <f t="shared" si="4"/>
        <v>46.154581254564704</v>
      </c>
      <c r="AM16" s="62">
        <f t="shared" si="5"/>
        <v>318.71013681012028</v>
      </c>
      <c r="AN16" s="62">
        <f ca="1">AVERAGE(OFFSET($AM$3,0,0,'Données projet'!$E$10+1,1))-AVERAGE(OFFSET($H$3,0,0,'Données projet'!$E$10+1,1))</f>
        <v>493.70175665335978</v>
      </c>
      <c r="AO16" s="62">
        <f t="shared" si="36"/>
        <v>325.12357781685949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8.4</v>
      </c>
      <c r="BD16" s="13">
        <f>IF('Données projet'!$A$88&gt;35,BD15+BC16-BL15,IF(A16&lt;'Données projet'!$A$88,$BA$205^A16,IF(A16='Données projet'!$A$88,'Données projet'!$B$88,BD15+BC16-BL15)))</f>
        <v>72.2</v>
      </c>
      <c r="BE16" s="14">
        <f>BD16*VLOOKUP('Données projet'!$B$11,Paramètres!$A$1:$I$89,3,0)*VLOOKUP('Données projet'!$B$11,Paramètres!$A$1:$I$89,5,0)</f>
        <v>65.326560000000001</v>
      </c>
      <c r="BF16" s="14">
        <f t="shared" si="37"/>
        <v>18.508251950337144</v>
      </c>
      <c r="BG16" s="22">
        <f t="shared" si="7"/>
        <v>146.01229748017053</v>
      </c>
      <c r="BH16" s="62">
        <f t="shared" si="8"/>
        <v>418.5678530357261</v>
      </c>
      <c r="BI16" s="62">
        <f ca="1">AVERAGE(OFFSET($BH$3,0,0,'Données projet'!$E$11+1,1))-AVERAGE(OFFSET($H$3,0,0,'Données projet'!$E$11+1,1))</f>
        <v>245.09257882574383</v>
      </c>
      <c r="BJ16" s="62">
        <f t="shared" si="38"/>
        <v>342.30266518164211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2.1</v>
      </c>
      <c r="BY16" s="13">
        <f>IF('Données projet'!$A$114&gt;35,BY15+BX16-CG15,IF(A16&lt;'Données projet'!$A$114,$BV$205^A16,IF(A16='Données projet'!$A$114,'Données projet'!$B$114,BY15+BX16-CG15)))</f>
        <v>11.35303662145153</v>
      </c>
      <c r="BZ16" s="14">
        <f>BY16*VLOOKUP('Données projet'!$B$12,Paramètres!$A$1:$I$89,3,0)*VLOOKUP('Données projet'!$B$12,Paramètres!$A$1:$I$89,5,0)</f>
        <v>10.272227535089344</v>
      </c>
      <c r="CA16" s="14">
        <f t="shared" si="39"/>
        <v>3.6095987912522753</v>
      </c>
      <c r="CB16" s="22">
        <f t="shared" si="10"/>
        <v>24.177514185044988</v>
      </c>
      <c r="CC16" s="62">
        <f t="shared" si="11"/>
        <v>296.73306974060051</v>
      </c>
      <c r="CD16" s="62">
        <f ca="1">AVERAGE(OFFSET($CC$3,0,0,'Données projet'!$E$12+1,1))-AVERAGE(OFFSET($H$3,0,0,'Données projet'!$E$12+1,1))</f>
        <v>429.54141820799617</v>
      </c>
      <c r="CE16" s="62">
        <f t="shared" si="40"/>
        <v>231.36959598460686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3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2.1</v>
      </c>
      <c r="N17" s="14">
        <f>IF('Données projet'!$A$36&gt;35,N16+M17-V16,IF(A17&lt;'Données projet'!$A$36,$K$205^A17,IF(A17='Données projet'!$A$36,'Données projet'!$B$36,N16+M17-V16)))</f>
        <v>13.685935953338433</v>
      </c>
      <c r="O17" s="14">
        <f>N17*VLOOKUP('Données projet'!$B$9,Paramètres!$A$1:$I$89,3,0)*VLOOKUP('Données projet'!$B$9,Paramètres!$A$1:$I$89,5,0)</f>
        <v>13.877539056685173</v>
      </c>
      <c r="P17" s="14">
        <f t="shared" si="33"/>
        <v>4.7086819085950955</v>
      </c>
      <c r="Q17" s="22">
        <f t="shared" si="2"/>
        <v>32.371001514529802</v>
      </c>
      <c r="R17" s="62">
        <f t="shared" si="0"/>
        <v>306.14877929230755</v>
      </c>
      <c r="S17" s="62">
        <f ca="1">AVERAGE(OFFSET($R$3,0,0,'Données projet'!$E$9+1,1))-AVERAGE(OFFSET($H$3,0,0,'Données projet'!$E$9+1,1))</f>
        <v>476.25344680259701</v>
      </c>
      <c r="T17" s="62">
        <f t="shared" si="34"/>
        <v>254.25036207346591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2.0085470085470085</v>
      </c>
      <c r="AI17" s="14">
        <f>IF('Données projet'!$A$62&gt;35,AI16+AH17-AQ16,IF(A17&lt;'Données projet'!$A$62,$AF$205^A17,IF(A17='Données projet'!$A$62,'Données projet'!$B$62,AI16+AH17-AQ16)))</f>
        <v>24.009053660951697</v>
      </c>
      <c r="AJ17" s="14">
        <f>AI17*VLOOKUP('Données projet'!$B$10,Paramètres!$A$1:$I$89,3,0)*VLOOKUP('Données projet'!$B$10,Paramètres!$A$1:$I$89,5,0)</f>
        <v>25.094262886426712</v>
      </c>
      <c r="AK17" s="14">
        <f t="shared" si="35"/>
        <v>7.9472347747017285</v>
      </c>
      <c r="AL17" s="22">
        <f t="shared" si="4"/>
        <v>57.547275093132022</v>
      </c>
      <c r="AM17" s="62">
        <f t="shared" si="5"/>
        <v>331.32505287090981</v>
      </c>
      <c r="AN17" s="62">
        <f ca="1">AVERAGE(OFFSET($AM$3,0,0,'Données projet'!$E$10+1,1))-AVERAGE(OFFSET($H$3,0,0,'Données projet'!$E$10+1,1))</f>
        <v>493.70175665335978</v>
      </c>
      <c r="AO17" s="62">
        <f t="shared" si="36"/>
        <v>325.12357781685949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8.4</v>
      </c>
      <c r="BD17" s="13">
        <f>IF('Données projet'!$A$88&gt;35,BD16+BC17-BL16,IF(A17&lt;'Données projet'!$A$88,$BA$205^A17,IF(A17='Données projet'!$A$88,'Données projet'!$B$88,BD16+BC17-BL16)))</f>
        <v>80.600000000000009</v>
      </c>
      <c r="BE17" s="14">
        <f>BD17*VLOOKUP('Données projet'!$B$11,Paramètres!$A$1:$I$89,3,0)*VLOOKUP('Données projet'!$B$11,Paramètres!$A$1:$I$89,5,0)</f>
        <v>72.926880000000011</v>
      </c>
      <c r="BF17" s="14">
        <f t="shared" si="37"/>
        <v>20.398563182833673</v>
      </c>
      <c r="BG17" s="22">
        <f t="shared" si="7"/>
        <v>162.54181354343532</v>
      </c>
      <c r="BH17" s="62">
        <f t="shared" si="8"/>
        <v>436.31959132121312</v>
      </c>
      <c r="BI17" s="62">
        <f ca="1">AVERAGE(OFFSET($BH$3,0,0,'Données projet'!$E$11+1,1))-AVERAGE(OFFSET($H$3,0,0,'Données projet'!$E$11+1,1))</f>
        <v>245.09257882574383</v>
      </c>
      <c r="BJ17" s="62">
        <f t="shared" si="38"/>
        <v>342.30266518164211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2.1</v>
      </c>
      <c r="BY17" s="13">
        <f>IF('Données projet'!$A$114&gt;35,BY16+BX17-CG16,IF(A17&lt;'Données projet'!$A$114,$BV$205^A17,IF(A17='Données projet'!$A$114,'Données projet'!$B$114,BY16+BX17-CG16)))</f>
        <v>13.685935953338433</v>
      </c>
      <c r="BZ17" s="14">
        <f>BY17*VLOOKUP('Données projet'!$B$12,Paramètres!$A$1:$I$89,3,0)*VLOOKUP('Données projet'!$B$12,Paramètres!$A$1:$I$89,5,0)</f>
        <v>12.383034850580612</v>
      </c>
      <c r="CA17" s="14">
        <f t="shared" si="39"/>
        <v>4.2576904771143838</v>
      </c>
      <c r="CB17" s="22">
        <f t="shared" si="10"/>
        <v>28.982596612402116</v>
      </c>
      <c r="CC17" s="62">
        <f t="shared" si="11"/>
        <v>302.76037439017989</v>
      </c>
      <c r="CD17" s="62">
        <f ca="1">AVERAGE(OFFSET($CC$3,0,0,'Données projet'!$E$12+1,1))-AVERAGE(OFFSET($H$3,0,0,'Données projet'!$E$12+1,1))</f>
        <v>429.54141820799617</v>
      </c>
      <c r="CE17" s="62">
        <f t="shared" si="40"/>
        <v>231.36959598460686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3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2.1</v>
      </c>
      <c r="N18" s="14">
        <f>IF('Données projet'!$A$36&gt;35,N17+M18-V17,IF(A18&lt;'Données projet'!$A$36,$K$205^A18,IF(A18='Données projet'!$A$36,'Données projet'!$B$36,N17+M18-V17)))</f>
        <v>16.498215337821566</v>
      </c>
      <c r="O18" s="14">
        <f>N18*VLOOKUP('Données projet'!$B$9,Paramètres!$A$1:$I$89,3,0)*VLOOKUP('Données projet'!$B$9,Paramètres!$A$1:$I$89,5,0)</f>
        <v>16.729190352551068</v>
      </c>
      <c r="P18" s="14">
        <f t="shared" si="33"/>
        <v>5.5541103821765283</v>
      </c>
      <c r="Q18" s="22">
        <f t="shared" si="2"/>
        <v>38.810082112983899</v>
      </c>
      <c r="R18" s="62">
        <f t="shared" si="0"/>
        <v>313.81008211298388</v>
      </c>
      <c r="S18" s="62">
        <f ca="1">AVERAGE(OFFSET($R$3,0,0,'Données projet'!$E$9+1,1))-AVERAGE(OFFSET($H$3,0,0,'Données projet'!$E$9+1,1))</f>
        <v>476.25344680259701</v>
      </c>
      <c r="T18" s="62">
        <f t="shared" si="34"/>
        <v>254.25036207346591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>
        <f>VLOOKUP(A18,'Données projet'!$A$61:$I$81,2,0)</f>
        <v>30.128205128205128</v>
      </c>
      <c r="AG18" s="13">
        <f>VLOOKUP(A18,'Données projet'!$A$61:$I$81,9,0)</f>
        <v>2.0085470085470085</v>
      </c>
      <c r="AH18" s="13">
        <f t="array" ref="AH18">INDEX(AG:AG,MIN(IF(ISNUMBER(AG18:AG214),ROW(AG18:AG214),"")))</f>
        <v>2.0085470085470085</v>
      </c>
      <c r="AI18" s="14">
        <f>IF('Données projet'!$A$62&gt;35,AI17+AH18-AQ17,IF(A18&lt;'Données projet'!$A$62,$AF$205^A18,IF(A18='Données projet'!$A$62,'Données projet'!$B$62,AI17+AH18-AQ17)))</f>
        <v>30.128205128205128</v>
      </c>
      <c r="AJ18" s="14">
        <f>AI18*VLOOKUP('Données projet'!$B$10,Paramètres!$A$1:$I$89,3,0)*VLOOKUP('Données projet'!$B$10,Paramètres!$A$1:$I$89,5,0)</f>
        <v>31.490000000000006</v>
      </c>
      <c r="AK18" s="14">
        <f t="shared" si="35"/>
        <v>9.7126430402655597</v>
      </c>
      <c r="AL18" s="22">
        <f t="shared" si="4"/>
        <v>71.761269961795847</v>
      </c>
      <c r="AM18" s="62">
        <f t="shared" si="5"/>
        <v>346.76126996179585</v>
      </c>
      <c r="AN18" s="62">
        <f ca="1">AVERAGE(OFFSET($AM$3,0,0,'Données projet'!$E$10+1,1))-AVERAGE(OFFSET($H$3,0,0,'Données projet'!$E$10+1,1))</f>
        <v>493.70175665335978</v>
      </c>
      <c r="AO18" s="62">
        <f t="shared" si="36"/>
        <v>325.12357781685949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>
        <f>VLOOKUP(A18,'Données projet'!$A$87:$I$107,2,0)</f>
        <v>89</v>
      </c>
      <c r="BB18" s="13">
        <f>VLOOKUP(A18,'Données projet'!$A$87:$I$107,9,0)</f>
        <v>8.4</v>
      </c>
      <c r="BC18" s="13">
        <f t="array" ref="BC18">INDEX(BB:BB,MIN(IF(ISNUMBER(BB18:BB214),ROW(BB18:BB214),"")))</f>
        <v>8.4</v>
      </c>
      <c r="BD18" s="13">
        <f>IF('Données projet'!$A$88&gt;35,BD17+BC18-BL17,IF(A18&lt;'Données projet'!$A$88,$BA$205^A18,IF(A18='Données projet'!$A$88,'Données projet'!$B$88,BD17+BC18-BL17)))</f>
        <v>89.000000000000014</v>
      </c>
      <c r="BE18" s="14">
        <f>BD18*VLOOKUP('Données projet'!$B$11,Paramètres!$A$1:$I$89,3,0)*VLOOKUP('Données projet'!$B$11,Paramètres!$A$1:$I$89,5,0)</f>
        <v>80.527200000000008</v>
      </c>
      <c r="BF18" s="14">
        <f t="shared" si="37"/>
        <v>22.26603795098552</v>
      </c>
      <c r="BG18" s="22">
        <f t="shared" si="7"/>
        <v>179.03155609796647</v>
      </c>
      <c r="BH18" s="62">
        <f t="shared" si="8"/>
        <v>454.03155609796647</v>
      </c>
      <c r="BI18" s="62">
        <f ca="1">AVERAGE(OFFSET($BH$3,0,0,'Données projet'!$E$11+1,1))-AVERAGE(OFFSET($H$3,0,0,'Données projet'!$E$11+1,1))</f>
        <v>245.09257882574383</v>
      </c>
      <c r="BJ18" s="62">
        <f t="shared" si="38"/>
        <v>342.30266518164211</v>
      </c>
      <c r="BK18" s="16">
        <f>IF(ISNA(VLOOKUP(A18,'Données projet'!$A$87:$I$107,3,0)),0,VLOOKUP(A18,'Données projet'!$A$87:$I$107,3,0))</f>
        <v>2</v>
      </c>
      <c r="BL18" s="16">
        <f>IF(ISNA(VLOOKUP(A18,'Données projet'!$A$87:$I$107,4,0)),0,VLOOKUP(A18,'Données projet'!$A$87:$I$107,4,0))</f>
        <v>13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2.1</v>
      </c>
      <c r="BY18" s="13">
        <f>IF('Données projet'!$A$114&gt;35,BY17+BX18-CG17,IF(A18&lt;'Données projet'!$A$114,$BV$205^A18,IF(A18='Données projet'!$A$114,'Données projet'!$B$114,BY17+BX18-CG17)))</f>
        <v>16.498215337821566</v>
      </c>
      <c r="BZ18" s="14">
        <f>BY18*VLOOKUP('Données projet'!$B$12,Paramètres!$A$1:$I$89,3,0)*VLOOKUP('Données projet'!$B$12,Paramètres!$A$1:$I$89,5,0)</f>
        <v>14.927585237660953</v>
      </c>
      <c r="CA18" s="14">
        <f t="shared" si="39"/>
        <v>5.0221449106318534</v>
      </c>
      <c r="CB18" s="22">
        <f t="shared" si="10"/>
        <v>34.745780008276633</v>
      </c>
      <c r="CC18" s="62">
        <f t="shared" si="11"/>
        <v>309.74578000827665</v>
      </c>
      <c r="CD18" s="62">
        <f ca="1">AVERAGE(OFFSET($CC$3,0,0,'Données projet'!$E$12+1,1))-AVERAGE(OFFSET($H$3,0,0,'Données projet'!$E$12+1,1))</f>
        <v>429.54141820799617</v>
      </c>
      <c r="CE18" s="62">
        <f t="shared" si="40"/>
        <v>231.36959598460686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3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2.1</v>
      </c>
      <c r="N19" s="14">
        <f>IF('Données projet'!$A$36&gt;35,N18+M19-V18,IF(A19&lt;'Données projet'!$A$36,$K$205^A19,IF(A19='Données projet'!$A$36,'Données projet'!$B$36,N18+M19-V18)))</f>
        <v>19.888381054913147</v>
      </c>
      <c r="O19" s="14">
        <f>N19*VLOOKUP('Données projet'!$B$9,Paramètres!$A$1:$I$89,3,0)*VLOOKUP('Données projet'!$B$9,Paramètres!$A$1:$I$89,5,0)</f>
        <v>20.166818389681932</v>
      </c>
      <c r="P19" s="14">
        <f t="shared" si="33"/>
        <v>6.5513327797938032</v>
      </c>
      <c r="Q19" s="22">
        <f t="shared" si="2"/>
        <v>46.534113286836906</v>
      </c>
      <c r="R19" s="62">
        <f t="shared" si="0"/>
        <v>322.75633550905911</v>
      </c>
      <c r="S19" s="62">
        <f ca="1">AVERAGE(OFFSET($R$3,0,0,'Données projet'!$E$9+1,1))-AVERAGE(OFFSET($H$3,0,0,'Données projet'!$E$9+1,1))</f>
        <v>476.25344680259701</v>
      </c>
      <c r="T19" s="62">
        <f t="shared" si="34"/>
        <v>254.25036207346591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5.7692307692307683</v>
      </c>
      <c r="AI19" s="14">
        <f>IF('Données projet'!$A$62&gt;35,AI18+AH19-AQ18,IF(A19&lt;'Données projet'!$A$62,$AF$205^A19,IF(A19='Données projet'!$A$62,'Données projet'!$B$62,AI18+AH19-AQ18)))</f>
        <v>35.897435897435898</v>
      </c>
      <c r="AJ19" s="14">
        <f>AI19*VLOOKUP('Données projet'!$B$10,Paramètres!$A$1:$I$89,3,0)*VLOOKUP('Données projet'!$B$10,Paramètres!$A$1:$I$89,5,0)</f>
        <v>37.520000000000003</v>
      </c>
      <c r="AK19" s="14">
        <f t="shared" si="35"/>
        <v>11.338894152047692</v>
      </c>
      <c r="AL19" s="22">
        <f t="shared" si="4"/>
        <v>85.095907314816401</v>
      </c>
      <c r="AM19" s="62">
        <f t="shared" si="5"/>
        <v>361.31812953703866</v>
      </c>
      <c r="AN19" s="62">
        <f ca="1">AVERAGE(OFFSET($AM$3,0,0,'Données projet'!$E$10+1,1))-AVERAGE(OFFSET($H$3,0,0,'Données projet'!$E$10+1,1))</f>
        <v>493.70175665335978</v>
      </c>
      <c r="AO19" s="62">
        <f t="shared" si="36"/>
        <v>325.12357781685949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7.6</v>
      </c>
      <c r="BD19" s="13">
        <f>IF('Données projet'!$A$88&gt;35,BD18+BC19-BL18,IF(A19&lt;'Données projet'!$A$88,$BA$205^A19,IF(A19='Données projet'!$A$88,'Données projet'!$B$88,BD18+BC19-BL18)))</f>
        <v>83.600000000000009</v>
      </c>
      <c r="BE19" s="14">
        <f>BD19*VLOOKUP('Données projet'!$B$11,Paramètres!$A$1:$I$89,3,0)*VLOOKUP('Données projet'!$B$11,Paramètres!$A$1:$I$89,5,0)</f>
        <v>75.641280000000009</v>
      </c>
      <c r="BF19" s="14">
        <f t="shared" si="37"/>
        <v>21.068004470152093</v>
      </c>
      <c r="BG19" s="22">
        <f t="shared" si="7"/>
        <v>168.43533711884822</v>
      </c>
      <c r="BH19" s="62">
        <f t="shared" si="8"/>
        <v>444.65755934107045</v>
      </c>
      <c r="BI19" s="62">
        <f ca="1">AVERAGE(OFFSET($BH$3,0,0,'Données projet'!$E$11+1,1))-AVERAGE(OFFSET($H$3,0,0,'Données projet'!$E$11+1,1))</f>
        <v>245.09257882574383</v>
      </c>
      <c r="BJ19" s="62">
        <f t="shared" si="38"/>
        <v>342.30266518164211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2.1</v>
      </c>
      <c r="BY19" s="13">
        <f>IF('Données projet'!$A$114&gt;35,BY18+BX19-CG18,IF(A19&lt;'Données projet'!$A$114,$BV$205^A19,IF(A19='Données projet'!$A$114,'Données projet'!$B$114,BY18+BX19-CG18)))</f>
        <v>19.888381054913147</v>
      </c>
      <c r="BZ19" s="14">
        <f>BY19*VLOOKUP('Données projet'!$B$12,Paramètres!$A$1:$I$89,3,0)*VLOOKUP('Données projet'!$B$12,Paramètres!$A$1:$I$89,5,0)</f>
        <v>17.995007178485412</v>
      </c>
      <c r="CA19" s="14">
        <f t="shared" si="39"/>
        <v>5.9238546434872337</v>
      </c>
      <c r="CB19" s="22">
        <f t="shared" si="10"/>
        <v>41.658684339935689</v>
      </c>
      <c r="CC19" s="62">
        <f t="shared" si="11"/>
        <v>317.88090656215792</v>
      </c>
      <c r="CD19" s="62">
        <f ca="1">AVERAGE(OFFSET($CC$3,0,0,'Données projet'!$E$12+1,1))-AVERAGE(OFFSET($H$3,0,0,'Données projet'!$E$12+1,1))</f>
        <v>429.54141820799617</v>
      </c>
      <c r="CE19" s="62">
        <f t="shared" si="40"/>
        <v>231.36959598460686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3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2.1</v>
      </c>
      <c r="N20" s="14">
        <f>IF('Données projet'!$A$36&gt;35,N19+M20-V19,IF(A20&lt;'Données projet'!$A$36,$K$205^A20,IF(A20='Données projet'!$A$36,'Données projet'!$B$36,N19+M20-V19)))</f>
        <v>23.975181126327602</v>
      </c>
      <c r="O20" s="14">
        <f>N20*VLOOKUP('Données projet'!$B$9,Paramètres!$A$1:$I$89,3,0)*VLOOKUP('Données projet'!$B$9,Paramètres!$A$1:$I$89,5,0)</f>
        <v>24.31083366209619</v>
      </c>
      <c r="P20" s="14">
        <f t="shared" si="33"/>
        <v>7.7276032052466093</v>
      </c>
      <c r="Q20" s="22">
        <f t="shared" si="2"/>
        <v>55.800277543955367</v>
      </c>
      <c r="R20" s="62">
        <f t="shared" si="0"/>
        <v>333.24472198839982</v>
      </c>
      <c r="S20" s="62">
        <f ca="1">AVERAGE(OFFSET($R$3,0,0,'Données projet'!$E$9+1,1))-AVERAGE(OFFSET($H$3,0,0,'Données projet'!$E$9+1,1))</f>
        <v>476.25344680259701</v>
      </c>
      <c r="T20" s="62">
        <f t="shared" si="34"/>
        <v>254.25036207346591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5.7692307692307683</v>
      </c>
      <c r="AI20" s="14">
        <f>IF('Données projet'!$A$62&gt;35,AI19+AH20-AQ19,IF(A20&lt;'Données projet'!$A$62,$AF$205^A20,IF(A20='Données projet'!$A$62,'Données projet'!$B$62,AI19+AH20-AQ19)))</f>
        <v>41.666666666666664</v>
      </c>
      <c r="AJ20" s="14">
        <f>AI20*VLOOKUP('Données projet'!$B$10,Paramètres!$A$1:$I$89,3,0)*VLOOKUP('Données projet'!$B$10,Paramètres!$A$1:$I$89,5,0)</f>
        <v>43.550000000000004</v>
      </c>
      <c r="AK20" s="14">
        <f t="shared" si="35"/>
        <v>12.934868040345785</v>
      </c>
      <c r="AL20" s="22">
        <f t="shared" si="4"/>
        <v>98.377811836935564</v>
      </c>
      <c r="AM20" s="62">
        <f t="shared" si="5"/>
        <v>375.82225628138002</v>
      </c>
      <c r="AN20" s="62">
        <f ca="1">AVERAGE(OFFSET($AM$3,0,0,'Données projet'!$E$10+1,1))-AVERAGE(OFFSET($H$3,0,0,'Données projet'!$E$10+1,1))</f>
        <v>493.70175665335978</v>
      </c>
      <c r="AO20" s="62">
        <f t="shared" si="36"/>
        <v>325.12357781685949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7.6</v>
      </c>
      <c r="BD20" s="13">
        <f>IF('Données projet'!$A$88&gt;35,BD19+BC20-BL19,IF(A20&lt;'Données projet'!$A$88,$BA$205^A20,IF(A20='Données projet'!$A$88,'Données projet'!$B$88,BD19+BC20-BL19)))</f>
        <v>91.2</v>
      </c>
      <c r="BE20" s="14">
        <f>BD20*VLOOKUP('Données projet'!$B$11,Paramètres!$A$1:$I$89,3,0)*VLOOKUP('Données projet'!$B$11,Paramètres!$A$1:$I$89,5,0)</f>
        <v>82.51776000000001</v>
      </c>
      <c r="BF20" s="14">
        <f t="shared" si="37"/>
        <v>22.751674941896663</v>
      </c>
      <c r="BG20" s="22">
        <f t="shared" si="7"/>
        <v>183.34426585713672</v>
      </c>
      <c r="BH20" s="62">
        <f t="shared" si="8"/>
        <v>460.7887103015812</v>
      </c>
      <c r="BI20" s="62">
        <f ca="1">AVERAGE(OFFSET($BH$3,0,0,'Données projet'!$E$11+1,1))-AVERAGE(OFFSET($H$3,0,0,'Données projet'!$E$11+1,1))</f>
        <v>245.09257882574383</v>
      </c>
      <c r="BJ20" s="62">
        <f t="shared" si="38"/>
        <v>342.30266518164211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2.1</v>
      </c>
      <c r="BY20" s="13">
        <f>IF('Données projet'!$A$114&gt;35,BY19+BX20-CG19,IF(A20&lt;'Données projet'!$A$114,$BV$205^A20,IF(A20='Données projet'!$A$114,'Données projet'!$B$114,BY19+BX20-CG19)))</f>
        <v>23.975181126327602</v>
      </c>
      <c r="BZ20" s="14">
        <f>BY20*VLOOKUP('Données projet'!$B$12,Paramètres!$A$1:$I$89,3,0)*VLOOKUP('Données projet'!$B$12,Paramètres!$A$1:$I$89,5,0)</f>
        <v>21.692743883101215</v>
      </c>
      <c r="CA20" s="14">
        <f t="shared" si="39"/>
        <v>6.98746341685115</v>
      </c>
      <c r="CB20" s="22">
        <f t="shared" si="10"/>
        <v>49.951361047417038</v>
      </c>
      <c r="CC20" s="62">
        <f t="shared" si="11"/>
        <v>327.39580549186149</v>
      </c>
      <c r="CD20" s="62">
        <f ca="1">AVERAGE(OFFSET($CC$3,0,0,'Données projet'!$E$12+1,1))-AVERAGE(OFFSET($H$3,0,0,'Données projet'!$E$12+1,1))</f>
        <v>429.54141820799617</v>
      </c>
      <c r="CE20" s="62">
        <f t="shared" si="40"/>
        <v>231.36959598460686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3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2.1</v>
      </c>
      <c r="N21" s="14">
        <f>IF('Données projet'!$A$36&gt;35,N20+M21-V20,IF(A21&lt;'Données projet'!$A$36,$K$205^A21,IF(A21='Données projet'!$A$36,'Données projet'!$B$36,N20+M21-V20)))</f>
        <v>28.901764726506816</v>
      </c>
      <c r="O21" s="14">
        <f>N21*VLOOKUP('Données projet'!$B$9,Paramètres!$A$1:$I$89,3,0)*VLOOKUP('Données projet'!$B$9,Paramètres!$A$1:$I$89,5,0)</f>
        <v>29.306389432677911</v>
      </c>
      <c r="P21" s="14">
        <f t="shared" si="33"/>
        <v>9.1150691477493808</v>
      </c>
      <c r="Q21" s="22">
        <f t="shared" si="2"/>
        <v>66.917373694244205</v>
      </c>
      <c r="R21" s="62">
        <f t="shared" si="0"/>
        <v>345.58404036091088</v>
      </c>
      <c r="S21" s="62">
        <f ca="1">AVERAGE(OFFSET($R$3,0,0,'Données projet'!$E$9+1,1))-AVERAGE(OFFSET($H$3,0,0,'Données projet'!$E$9+1,1))</f>
        <v>476.25344680259701</v>
      </c>
      <c r="T21" s="62">
        <f t="shared" si="34"/>
        <v>254.25036207346591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5.7692307692307683</v>
      </c>
      <c r="AI21" s="14">
        <f>IF('Données projet'!$A$62&gt;35,AI20+AH21-AQ20,IF(A21&lt;'Données projet'!$A$62,$AF$205^A21,IF(A21='Données projet'!$A$62,'Données projet'!$B$62,AI20+AH21-AQ20)))</f>
        <v>47.435897435897431</v>
      </c>
      <c r="AJ21" s="14">
        <f>AI21*VLOOKUP('Données projet'!$B$10,Paramètres!$A$1:$I$89,3,0)*VLOOKUP('Données projet'!$B$10,Paramètres!$A$1:$I$89,5,0)</f>
        <v>49.58</v>
      </c>
      <c r="AK21" s="14">
        <f t="shared" si="35"/>
        <v>14.505239638165149</v>
      </c>
      <c r="AL21" s="22">
        <f t="shared" si="4"/>
        <v>111.61512570313762</v>
      </c>
      <c r="AM21" s="62">
        <f t="shared" si="5"/>
        <v>390.28179236980429</v>
      </c>
      <c r="AN21" s="62">
        <f ca="1">AVERAGE(OFFSET($AM$3,0,0,'Données projet'!$E$10+1,1))-AVERAGE(OFFSET($H$3,0,0,'Données projet'!$E$10+1,1))</f>
        <v>493.70175665335978</v>
      </c>
      <c r="AO21" s="62">
        <f t="shared" si="36"/>
        <v>325.12357781685949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7.6</v>
      </c>
      <c r="BD21" s="13">
        <f>IF('Données projet'!$A$88&gt;35,BD20+BC21-BL20,IF(A21&lt;'Données projet'!$A$88,$BA$205^A21,IF(A21='Données projet'!$A$88,'Données projet'!$B$88,BD20+BC21-BL20)))</f>
        <v>98.8</v>
      </c>
      <c r="BE21" s="14">
        <f>BD21*VLOOKUP('Données projet'!$B$11,Paramètres!$A$1:$I$89,3,0)*VLOOKUP('Données projet'!$B$11,Paramètres!$A$1:$I$89,5,0)</f>
        <v>89.394239999999996</v>
      </c>
      <c r="BF21" s="14">
        <f t="shared" si="37"/>
        <v>24.419072895797868</v>
      </c>
      <c r="BG21" s="22">
        <f t="shared" si="7"/>
        <v>198.2248532935146</v>
      </c>
      <c r="BH21" s="62">
        <f t="shared" si="8"/>
        <v>476.89151996018131</v>
      </c>
      <c r="BI21" s="62">
        <f ca="1">AVERAGE(OFFSET($BH$3,0,0,'Données projet'!$E$11+1,1))-AVERAGE(OFFSET($H$3,0,0,'Données projet'!$E$11+1,1))</f>
        <v>245.09257882574383</v>
      </c>
      <c r="BJ21" s="62">
        <f t="shared" si="38"/>
        <v>342.30266518164211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2.1</v>
      </c>
      <c r="BY21" s="13">
        <f>IF('Données projet'!$A$114&gt;35,BY20+BX21-CG20,IF(A21&lt;'Données projet'!$A$114,$BV$205^A21,IF(A21='Données projet'!$A$114,'Données projet'!$B$114,BY20+BX21-CG20)))</f>
        <v>28.901764726506816</v>
      </c>
      <c r="BZ21" s="14">
        <f>BY21*VLOOKUP('Données projet'!$B$12,Paramètres!$A$1:$I$89,3,0)*VLOOKUP('Données projet'!$B$12,Paramètres!$A$1:$I$89,5,0)</f>
        <v>26.150316724543362</v>
      </c>
      <c r="CA21" s="14">
        <f t="shared" si="39"/>
        <v>8.2420396752158016</v>
      </c>
      <c r="CB21" s="22">
        <f t="shared" si="10"/>
        <v>59.900020729580547</v>
      </c>
      <c r="CC21" s="62">
        <f t="shared" si="11"/>
        <v>338.56668739624723</v>
      </c>
      <c r="CD21" s="62">
        <f ca="1">AVERAGE(OFFSET($CC$3,0,0,'Données projet'!$E$12+1,1))-AVERAGE(OFFSET($H$3,0,0,'Données projet'!$E$12+1,1))</f>
        <v>429.54141820799617</v>
      </c>
      <c r="CE21" s="62">
        <f t="shared" si="40"/>
        <v>231.36959598460686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3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2.1</v>
      </c>
      <c r="N22" s="14">
        <f>IF('Données projet'!$A$36&gt;35,N21+M22-V21,IF(A22&lt;'Données projet'!$A$36,$K$205^A22,IF(A22='Données projet'!$A$36,'Données projet'!$B$36,N21+M22-V21)))</f>
        <v>34.840696297767764</v>
      </c>
      <c r="O22" s="14">
        <f>N22*VLOOKUP('Données projet'!$B$9,Paramètres!$A$1:$I$89,3,0)*VLOOKUP('Données projet'!$B$9,Paramètres!$A$1:$I$89,5,0)</f>
        <v>35.328466045936516</v>
      </c>
      <c r="P22" s="14">
        <f t="shared" si="33"/>
        <v>10.751650073316766</v>
      </c>
      <c r="Q22" s="22">
        <f t="shared" si="2"/>
        <v>80.256202241032796</v>
      </c>
      <c r="R22" s="62">
        <f t="shared" si="0"/>
        <v>360.14509112992164</v>
      </c>
      <c r="S22" s="62">
        <f ca="1">AVERAGE(OFFSET($R$3,0,0,'Données projet'!$E$9+1,1))-AVERAGE(OFFSET($H$3,0,0,'Données projet'!$E$9+1,1))</f>
        <v>476.25344680259701</v>
      </c>
      <c r="T22" s="62">
        <f t="shared" si="34"/>
        <v>254.25036207346591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5.7692307692307683</v>
      </c>
      <c r="AI22" s="14">
        <f>IF('Données projet'!$A$62&gt;35,AI21+AH22-AQ21,IF(A22&lt;'Données projet'!$A$62,$AF$205^A22,IF(A22='Données projet'!$A$62,'Données projet'!$B$62,AI21+AH22-AQ21)))</f>
        <v>53.205128205128197</v>
      </c>
      <c r="AJ22" s="14">
        <f>AI22*VLOOKUP('Données projet'!$B$10,Paramètres!$A$1:$I$89,3,0)*VLOOKUP('Données projet'!$B$10,Paramètres!$A$1:$I$89,5,0)</f>
        <v>55.61</v>
      </c>
      <c r="AK22" s="14">
        <f t="shared" si="35"/>
        <v>16.053478951715945</v>
      </c>
      <c r="AL22" s="22">
        <f t="shared" si="4"/>
        <v>124.81389250757191</v>
      </c>
      <c r="AM22" s="62">
        <f t="shared" si="5"/>
        <v>404.70278139646075</v>
      </c>
      <c r="AN22" s="62">
        <f ca="1">AVERAGE(OFFSET($AM$3,0,0,'Données projet'!$E$10+1,1))-AVERAGE(OFFSET($H$3,0,0,'Données projet'!$E$10+1,1))</f>
        <v>493.70175665335978</v>
      </c>
      <c r="AO22" s="62">
        <f t="shared" si="36"/>
        <v>325.12357781685949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7.6</v>
      </c>
      <c r="BD22" s="13">
        <f>IF('Données projet'!$A$88&gt;35,BD21+BC22-BL21,IF(A22&lt;'Données projet'!$A$88,$BA$205^A22,IF(A22='Données projet'!$A$88,'Données projet'!$B$88,BD21+BC22-BL21)))</f>
        <v>106.39999999999999</v>
      </c>
      <c r="BE22" s="14">
        <f>BD22*VLOOKUP('Données projet'!$B$11,Paramètres!$A$1:$I$89,3,0)*VLOOKUP('Données projet'!$B$11,Paramètres!$A$1:$I$89,5,0)</f>
        <v>96.270719999999983</v>
      </c>
      <c r="BF22" s="14">
        <f t="shared" si="37"/>
        <v>26.071592384845928</v>
      </c>
      <c r="BG22" s="22">
        <f t="shared" si="7"/>
        <v>213.07952740360665</v>
      </c>
      <c r="BH22" s="62">
        <f t="shared" si="8"/>
        <v>492.96841629249548</v>
      </c>
      <c r="BI22" s="62">
        <f ca="1">AVERAGE(OFFSET($BH$3,0,0,'Données projet'!$E$11+1,1))-AVERAGE(OFFSET($H$3,0,0,'Données projet'!$E$11+1,1))</f>
        <v>245.09257882574383</v>
      </c>
      <c r="BJ22" s="62">
        <f t="shared" si="38"/>
        <v>342.30266518164211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2.1</v>
      </c>
      <c r="BY22" s="13">
        <f>IF('Données projet'!$A$114&gt;35,BY21+BX22-CG21,IF(A22&lt;'Données projet'!$A$114,$BV$205^A22,IF(A22='Données projet'!$A$114,'Données projet'!$B$114,BY21+BX22-CG21)))</f>
        <v>34.840696297767764</v>
      </c>
      <c r="BZ22" s="14">
        <f>BY22*VLOOKUP('Données projet'!$B$12,Paramètres!$A$1:$I$89,3,0)*VLOOKUP('Données projet'!$B$12,Paramètres!$A$1:$I$89,5,0)</f>
        <v>31.52386201022027</v>
      </c>
      <c r="CA22" s="14">
        <f t="shared" si="39"/>
        <v>9.7218710074397983</v>
      </c>
      <c r="CB22" s="22">
        <f t="shared" si="10"/>
        <v>71.836318339091292</v>
      </c>
      <c r="CC22" s="62">
        <f t="shared" si="11"/>
        <v>351.72520722798015</v>
      </c>
      <c r="CD22" s="62">
        <f ca="1">AVERAGE(OFFSET($CC$3,0,0,'Données projet'!$E$12+1,1))-AVERAGE(OFFSET($H$3,0,0,'Données projet'!$E$12+1,1))</f>
        <v>429.54141820799617</v>
      </c>
      <c r="CE22" s="62">
        <f t="shared" si="40"/>
        <v>231.36959598460686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3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42</v>
      </c>
      <c r="L23" s="13">
        <f>VLOOKUP(A23,'Données projet'!$A$35:$I$55,9,0)</f>
        <v>2.1</v>
      </c>
      <c r="M23" s="13">
        <f t="array" ref="M23">INDEX(L:L,MIN(IF(ISNUMBER(L23:L219),ROW(L23:L219),"")))</f>
        <v>2.1</v>
      </c>
      <c r="N23" s="14">
        <f>IF('Données projet'!$A$36&gt;35,N22+M23-V22,IF(A23&lt;'Données projet'!$A$36,$K$205^A23,IF(A23='Données projet'!$A$36,'Données projet'!$B$36,N22+M23-V22)))</f>
        <v>42</v>
      </c>
      <c r="O23" s="14">
        <f>N23*VLOOKUP('Données projet'!$B$9,Paramètres!$A$1:$I$89,3,0)*VLOOKUP('Données projet'!$B$9,Paramètres!$A$1:$I$89,5,0)</f>
        <v>42.588000000000001</v>
      </c>
      <c r="P23" s="14">
        <f t="shared" si="33"/>
        <v>12.682073764365764</v>
      </c>
      <c r="Q23" s="22">
        <f t="shared" si="2"/>
        <v>96.262045139603686</v>
      </c>
      <c r="R23" s="62">
        <f t="shared" si="0"/>
        <v>377.37315625071483</v>
      </c>
      <c r="S23" s="62">
        <f ca="1">AVERAGE(OFFSET($R$3,0,0,'Données projet'!$E$9+1,1))-AVERAGE(OFFSET($H$3,0,0,'Données projet'!$E$9+1,1))</f>
        <v>476.25344680259701</v>
      </c>
      <c r="T23" s="62">
        <f t="shared" si="34"/>
        <v>254.25036207346591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58.974358974358971</v>
      </c>
      <c r="AG23" s="13">
        <f>VLOOKUP(A23,'Données projet'!$A$61:$I$81,9,0)</f>
        <v>5.7692307692307683</v>
      </c>
      <c r="AH23" s="13">
        <f t="array" ref="AH23">INDEX(AG:AG,MIN(IF(ISNUMBER(AG23:AG219),ROW(AG23:AG219),"")))</f>
        <v>5.7692307692307683</v>
      </c>
      <c r="AI23" s="14">
        <f>IF('Données projet'!$A$62&gt;35,AI22+AH23-AQ22,IF(A23&lt;'Données projet'!$A$62,$AF$205^A23,IF(A23='Données projet'!$A$62,'Données projet'!$B$62,AI22+AH23-AQ22)))</f>
        <v>58.974358974358964</v>
      </c>
      <c r="AJ23" s="14">
        <f>AI23*VLOOKUP('Données projet'!$B$10,Paramètres!$A$1:$I$89,3,0)*VLOOKUP('Données projet'!$B$10,Paramètres!$A$1:$I$89,5,0)</f>
        <v>61.64</v>
      </c>
      <c r="AK23" s="14">
        <f t="shared" si="35"/>
        <v>17.582259466632539</v>
      </c>
      <c r="AL23" s="22">
        <f t="shared" si="4"/>
        <v>137.97876857105169</v>
      </c>
      <c r="AM23" s="62">
        <f t="shared" si="5"/>
        <v>419.08987968216286</v>
      </c>
      <c r="AN23" s="62">
        <f ca="1">AVERAGE(OFFSET($AM$3,0,0,'Données projet'!$E$10+1,1))-AVERAGE(OFFSET($H$3,0,0,'Données projet'!$E$10+1,1))</f>
        <v>493.70175665335978</v>
      </c>
      <c r="AO23" s="62">
        <f t="shared" si="36"/>
        <v>325.12357781685949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>
        <f>VLOOKUP(A23,'Données projet'!$A$87:$I$107,2,0)</f>
        <v>114</v>
      </c>
      <c r="BB23" s="13">
        <f>VLOOKUP(A23,'Données projet'!$A$87:$I$107,9,0)</f>
        <v>7.6</v>
      </c>
      <c r="BC23" s="13">
        <f t="array" ref="BC23">INDEX(BB:BB,MIN(IF(ISNUMBER(BB23:BB219),ROW(BB23:BB219),"")))</f>
        <v>7.6</v>
      </c>
      <c r="BD23" s="13">
        <f>IF('Données projet'!$A$88&gt;35,BD22+BC23-BL22,IF(A23&lt;'Données projet'!$A$88,$BA$205^A23,IF(A23='Données projet'!$A$88,'Données projet'!$B$88,BD22+BC23-BL22)))</f>
        <v>113.99999999999999</v>
      </c>
      <c r="BE23" s="14">
        <f>BD23*VLOOKUP('Données projet'!$B$11,Paramètres!$A$1:$I$89,3,0)*VLOOKUP('Données projet'!$B$11,Paramètres!$A$1:$I$89,5,0)</f>
        <v>103.14719999999998</v>
      </c>
      <c r="BF23" s="14">
        <f t="shared" si="37"/>
        <v>27.710417026801451</v>
      </c>
      <c r="BG23" s="22">
        <f t="shared" si="7"/>
        <v>227.91034965501251</v>
      </c>
      <c r="BH23" s="62">
        <f t="shared" si="8"/>
        <v>509.02146076612365</v>
      </c>
      <c r="BI23" s="62">
        <f ca="1">AVERAGE(OFFSET($BH$3,0,0,'Données projet'!$E$11+1,1))-AVERAGE(OFFSET($H$3,0,0,'Données projet'!$E$11+1,1))</f>
        <v>245.09257882574383</v>
      </c>
      <c r="BJ23" s="62">
        <f t="shared" si="38"/>
        <v>342.30266518164211</v>
      </c>
      <c r="BK23" s="16">
        <f>IF(ISNA(VLOOKUP(A23,'Données projet'!$A$87:$I$107,3,0)),0,VLOOKUP(A23,'Données projet'!$A$87:$I$107,3,0))</f>
        <v>3</v>
      </c>
      <c r="BL23" s="16">
        <f>IF(ISNA(VLOOKUP(A23,'Données projet'!$A$87:$I$107,4,0)),0,VLOOKUP(A23,'Données projet'!$A$87:$I$107,4,0))</f>
        <v>10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>
        <f>VLOOKUP(A23,'Données projet'!$A$113:$I$133,2,0)</f>
        <v>42</v>
      </c>
      <c r="BW23" s="13">
        <f>VLOOKUP(A23,'Données projet'!$A$113:$I$133,9,0)</f>
        <v>2.1</v>
      </c>
      <c r="BX23" s="13">
        <f t="array" ref="BX23">INDEX(BW:BW,MIN(IF(ISNUMBER(BW23:BW219),ROW(BW23:BW219),"")))</f>
        <v>2.1</v>
      </c>
      <c r="BY23" s="13">
        <f>IF('Données projet'!$A$114&gt;35,BY22+BX23-CG22,IF(A23&lt;'Données projet'!$A$114,$BV$205^A23,IF(A23='Données projet'!$A$114,'Données projet'!$B$114,BY22+BX23-CG22)))</f>
        <v>42</v>
      </c>
      <c r="BZ23" s="14">
        <f>BY23*VLOOKUP('Données projet'!$B$12,Paramètres!$A$1:$I$89,3,0)*VLOOKUP('Données projet'!$B$12,Paramètres!$A$1:$I$89,5,0)</f>
        <v>38.001600000000003</v>
      </c>
      <c r="CA23" s="14">
        <f t="shared" si="39"/>
        <v>11.467401227090512</v>
      </c>
      <c r="CB23" s="22">
        <f t="shared" si="10"/>
        <v>86.158510470515978</v>
      </c>
      <c r="CC23" s="62">
        <f t="shared" si="11"/>
        <v>367.26962158162712</v>
      </c>
      <c r="CD23" s="62">
        <f ca="1">AVERAGE(OFFSET($CC$3,0,0,'Données projet'!$E$12+1,1))-AVERAGE(OFFSET($H$3,0,0,'Données projet'!$E$12+1,1))</f>
        <v>429.54141820799617</v>
      </c>
      <c r="CE23" s="62">
        <f t="shared" si="40"/>
        <v>231.36959598460686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3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5.6</v>
      </c>
      <c r="N24" s="14">
        <f>IF('Données projet'!$A$36&gt;35,N23+M24-V23,IF(A24&lt;'Données projet'!$A$36,$K$205^A24,IF(A24='Données projet'!$A$36,'Données projet'!$B$36,N23+M24-V23)))</f>
        <v>47.6</v>
      </c>
      <c r="O24" s="14">
        <f>N24*VLOOKUP('Données projet'!$B$9,Paramètres!$A$1:$I$89,3,0)*VLOOKUP('Données projet'!$B$9,Paramètres!$A$1:$I$89,5,0)</f>
        <v>48.266400000000004</v>
      </c>
      <c r="P24" s="14">
        <f t="shared" si="33"/>
        <v>14.165134590154434</v>
      </c>
      <c r="Q24" s="22">
        <f t="shared" si="2"/>
        <v>108.73492274451898</v>
      </c>
      <c r="R24" s="62">
        <f t="shared" si="0"/>
        <v>391.06825607785231</v>
      </c>
      <c r="S24" s="62">
        <f ca="1">AVERAGE(OFFSET($R$3,0,0,'Données projet'!$E$9+1,1))-AVERAGE(OFFSET($H$3,0,0,'Données projet'!$E$9+1,1))</f>
        <v>476.25344680259701</v>
      </c>
      <c r="T24" s="62">
        <f t="shared" si="34"/>
        <v>254.25036207346591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6.5384615384615374</v>
      </c>
      <c r="AI24" s="14">
        <f>IF('Données projet'!$A$62&gt;35,AI23+AH24-AQ23,IF(A24&lt;'Données projet'!$A$62,$AF$205^A24,IF(A24='Données projet'!$A$62,'Données projet'!$B$62,AI23+AH24-AQ23)))</f>
        <v>65.512820512820497</v>
      </c>
      <c r="AJ24" s="14">
        <f>AI24*VLOOKUP('Données projet'!$B$10,Paramètres!$A$1:$I$89,3,0)*VLOOKUP('Données projet'!$B$10,Paramètres!$A$1:$I$89,5,0)</f>
        <v>68.47399999999999</v>
      </c>
      <c r="AK24" s="14">
        <f t="shared" si="35"/>
        <v>19.294013233443497</v>
      </c>
      <c r="AL24" s="22">
        <f t="shared" si="4"/>
        <v>152.8626230482474</v>
      </c>
      <c r="AM24" s="62">
        <f t="shared" si="5"/>
        <v>435.19595638158069</v>
      </c>
      <c r="AN24" s="62">
        <f ca="1">AVERAGE(OFFSET($AM$3,0,0,'Données projet'!$E$10+1,1))-AVERAGE(OFFSET($H$3,0,0,'Données projet'!$E$10+1,1))</f>
        <v>493.70175665335978</v>
      </c>
      <c r="AO24" s="62">
        <f t="shared" si="36"/>
        <v>325.12357781685949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6.4</v>
      </c>
      <c r="BD24" s="13">
        <f>IF('Données projet'!$A$88&gt;35,BD23+BC24-BL23,IF(A24&lt;'Données projet'!$A$88,$BA$205^A24,IF(A24='Données projet'!$A$88,'Données projet'!$B$88,BD23+BC24-BL23)))</f>
        <v>110.39999999999999</v>
      </c>
      <c r="BE24" s="14">
        <f>BD24*VLOOKUP('Données projet'!$B$11,Paramètres!$A$1:$I$89,3,0)*VLOOKUP('Données projet'!$B$11,Paramètres!$A$1:$I$89,5,0)</f>
        <v>99.889920000000004</v>
      </c>
      <c r="BF24" s="14">
        <f t="shared" si="37"/>
        <v>26.935770825480187</v>
      </c>
      <c r="BG24" s="22">
        <f t="shared" si="7"/>
        <v>220.88807818771133</v>
      </c>
      <c r="BH24" s="62">
        <f t="shared" si="8"/>
        <v>503.22141152104462</v>
      </c>
      <c r="BI24" s="62">
        <f ca="1">AVERAGE(OFFSET($BH$3,0,0,'Données projet'!$E$11+1,1))-AVERAGE(OFFSET($H$3,0,0,'Données projet'!$E$11+1,1))</f>
        <v>245.09257882574383</v>
      </c>
      <c r="BJ24" s="62">
        <f t="shared" si="38"/>
        <v>342.30266518164211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5.6</v>
      </c>
      <c r="BY24" s="13">
        <f>IF('Données projet'!$A$114&gt;35,BY23+BX24-CG23,IF(A24&lt;'Données projet'!$A$114,$BV$205^A24,IF(A24='Données projet'!$A$114,'Données projet'!$B$114,BY23+BX24-CG23)))</f>
        <v>47.6</v>
      </c>
      <c r="BZ24" s="14">
        <f>BY24*VLOOKUP('Données projet'!$B$12,Paramètres!$A$1:$I$89,3,0)*VLOOKUP('Données projet'!$B$12,Paramètres!$A$1:$I$89,5,0)</f>
        <v>43.068480000000001</v>
      </c>
      <c r="CA24" s="14">
        <f t="shared" si="39"/>
        <v>12.808416415102187</v>
      </c>
      <c r="CB24" s="22">
        <f t="shared" si="10"/>
        <v>97.318927922969635</v>
      </c>
      <c r="CC24" s="62">
        <f t="shared" si="11"/>
        <v>379.65226125630295</v>
      </c>
      <c r="CD24" s="62">
        <f ca="1">AVERAGE(OFFSET($CC$3,0,0,'Données projet'!$E$12+1,1))-AVERAGE(OFFSET($H$3,0,0,'Données projet'!$E$12+1,1))</f>
        <v>429.54141820799617</v>
      </c>
      <c r="CE24" s="62">
        <f t="shared" si="40"/>
        <v>231.36959598460686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3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5.6</v>
      </c>
      <c r="N25" s="14">
        <f>IF('Données projet'!$A$36&gt;35,N24+M25-V24,IF(A25&lt;'Données projet'!$A$36,$K$205^A25,IF(A25='Données projet'!$A$36,'Données projet'!$B$36,N24+M25-V24)))</f>
        <v>53.2</v>
      </c>
      <c r="O25" s="14">
        <f>N25*VLOOKUP('Données projet'!$B$9,Paramètres!$A$1:$I$89,3,0)*VLOOKUP('Données projet'!$B$9,Paramètres!$A$1:$I$89,5,0)</f>
        <v>53.944800000000008</v>
      </c>
      <c r="P25" s="14">
        <f t="shared" si="33"/>
        <v>15.627975445731321</v>
      </c>
      <c r="Q25" s="22">
        <f t="shared" si="2"/>
        <v>121.17258390131538</v>
      </c>
      <c r="R25" s="62">
        <f t="shared" si="0"/>
        <v>404.72813945687091</v>
      </c>
      <c r="S25" s="62">
        <f ca="1">AVERAGE(OFFSET($R$3,0,0,'Données projet'!$E$9+1,1))-AVERAGE(OFFSET($H$3,0,0,'Données projet'!$E$9+1,1))</f>
        <v>476.25344680259701</v>
      </c>
      <c r="T25" s="62">
        <f t="shared" si="34"/>
        <v>254.25036207346591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6.5384615384615374</v>
      </c>
      <c r="AI25" s="14">
        <f>IF('Données projet'!$A$62&gt;35,AI24+AH25-AQ24,IF(A25&lt;'Données projet'!$A$62,$AF$205^A25,IF(A25='Données projet'!$A$62,'Données projet'!$B$62,AI24+AH25-AQ24)))</f>
        <v>72.05128205128203</v>
      </c>
      <c r="AJ25" s="14">
        <f>AI25*VLOOKUP('Données projet'!$B$10,Paramètres!$A$1:$I$89,3,0)*VLOOKUP('Données projet'!$B$10,Paramètres!$A$1:$I$89,5,0)</f>
        <v>75.307999999999979</v>
      </c>
      <c r="AK25" s="14">
        <f t="shared" si="35"/>
        <v>20.985961565400835</v>
      </c>
      <c r="AL25" s="22">
        <f t="shared" si="4"/>
        <v>167.71198305973977</v>
      </c>
      <c r="AM25" s="62">
        <f t="shared" si="5"/>
        <v>451.26753861529528</v>
      </c>
      <c r="AN25" s="62">
        <f ca="1">AVERAGE(OFFSET($AM$3,0,0,'Données projet'!$E$10+1,1))-AVERAGE(OFFSET($H$3,0,0,'Données projet'!$E$10+1,1))</f>
        <v>493.70175665335978</v>
      </c>
      <c r="AO25" s="62">
        <f t="shared" si="36"/>
        <v>325.12357781685949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6.4</v>
      </c>
      <c r="BD25" s="13">
        <f>IF('Données projet'!$A$88&gt;35,BD24+BC25-BL24,IF(A25&lt;'Données projet'!$A$88,$BA$205^A25,IF(A25='Données projet'!$A$88,'Données projet'!$B$88,BD24+BC25-BL24)))</f>
        <v>116.8</v>
      </c>
      <c r="BE25" s="14">
        <f>BD25*VLOOKUP('Données projet'!$B$11,Paramètres!$A$1:$I$89,3,0)*VLOOKUP('Données projet'!$B$11,Paramètres!$A$1:$I$89,5,0)</f>
        <v>105.68064</v>
      </c>
      <c r="BF25" s="14">
        <f t="shared" si="37"/>
        <v>28.31094923104175</v>
      </c>
      <c r="BG25" s="22">
        <f t="shared" si="7"/>
        <v>233.36868457739772</v>
      </c>
      <c r="BH25" s="62">
        <f t="shared" si="8"/>
        <v>516.92424013295329</v>
      </c>
      <c r="BI25" s="62">
        <f ca="1">AVERAGE(OFFSET($BH$3,0,0,'Données projet'!$E$11+1,1))-AVERAGE(OFFSET($H$3,0,0,'Données projet'!$E$11+1,1))</f>
        <v>245.09257882574383</v>
      </c>
      <c r="BJ25" s="62">
        <f t="shared" si="38"/>
        <v>342.30266518164211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5.6</v>
      </c>
      <c r="BY25" s="13">
        <f>IF('Données projet'!$A$114&gt;35,BY24+BX25-CG24,IF(A25&lt;'Données projet'!$A$114,$BV$205^A25,IF(A25='Données projet'!$A$114,'Données projet'!$B$114,BY24+BX25-CG24)))</f>
        <v>53.2</v>
      </c>
      <c r="BZ25" s="14">
        <f>BY25*VLOOKUP('Données projet'!$B$12,Paramètres!$A$1:$I$89,3,0)*VLOOKUP('Données projet'!$B$12,Paramètres!$A$1:$I$89,5,0)</f>
        <v>48.135359999999999</v>
      </c>
      <c r="CA25" s="14">
        <f t="shared" si="39"/>
        <v>14.131148275361113</v>
      </c>
      <c r="CB25" s="22">
        <f t="shared" si="10"/>
        <v>108.4475019129206</v>
      </c>
      <c r="CC25" s="62">
        <f t="shared" si="11"/>
        <v>392.00305746847613</v>
      </c>
      <c r="CD25" s="62">
        <f ca="1">AVERAGE(OFFSET($CC$3,0,0,'Données projet'!$E$12+1,1))-AVERAGE(OFFSET($H$3,0,0,'Données projet'!$E$12+1,1))</f>
        <v>429.54141820799617</v>
      </c>
      <c r="CE25" s="62">
        <f t="shared" si="40"/>
        <v>231.36959598460686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3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5.6</v>
      </c>
      <c r="N26" s="14">
        <f>IF('Données projet'!$A$36&gt;35,N25+M26-V25,IF(A26&lt;'Données projet'!$A$36,$K$205^A26,IF(A26='Données projet'!$A$36,'Données projet'!$B$36,N25+M26-V25)))</f>
        <v>58.800000000000004</v>
      </c>
      <c r="O26" s="14">
        <f>N26*VLOOKUP('Données projet'!$B$9,Paramètres!$A$1:$I$89,3,0)*VLOOKUP('Données projet'!$B$9,Paramètres!$A$1:$I$89,5,0)</f>
        <v>59.623200000000011</v>
      </c>
      <c r="P26" s="14">
        <f t="shared" si="33"/>
        <v>17.072967249098898</v>
      </c>
      <c r="Q26" s="22">
        <f t="shared" si="2"/>
        <v>133.57915795884725</v>
      </c>
      <c r="R26" s="62">
        <f t="shared" si="0"/>
        <v>418.35693573662502</v>
      </c>
      <c r="S26" s="62">
        <f ca="1">AVERAGE(OFFSET($R$3,0,0,'Données projet'!$E$9+1,1))-AVERAGE(OFFSET($H$3,0,0,'Données projet'!$E$9+1,1))</f>
        <v>476.25344680259701</v>
      </c>
      <c r="T26" s="62">
        <f t="shared" si="34"/>
        <v>254.25036207346591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6.5384615384615374</v>
      </c>
      <c r="AI26" s="14">
        <f>IF('Données projet'!$A$62&gt;35,AI25+AH26-AQ25,IF(A26&lt;'Données projet'!$A$62,$AF$205^A26,IF(A26='Données projet'!$A$62,'Données projet'!$B$62,AI25+AH26-AQ25)))</f>
        <v>78.589743589743563</v>
      </c>
      <c r="AJ26" s="14">
        <f>AI26*VLOOKUP('Données projet'!$B$10,Paramètres!$A$1:$I$89,3,0)*VLOOKUP('Données projet'!$B$10,Paramètres!$A$1:$I$89,5,0)</f>
        <v>82.141999999999982</v>
      </c>
      <c r="AK26" s="14">
        <f t="shared" si="35"/>
        <v>22.660106151503225</v>
      </c>
      <c r="AL26" s="22">
        <f t="shared" si="4"/>
        <v>182.53033488053475</v>
      </c>
      <c r="AM26" s="62">
        <f t="shared" si="5"/>
        <v>467.30811265831255</v>
      </c>
      <c r="AN26" s="62">
        <f ca="1">AVERAGE(OFFSET($AM$3,0,0,'Données projet'!$E$10+1,1))-AVERAGE(OFFSET($H$3,0,0,'Données projet'!$E$10+1,1))</f>
        <v>493.70175665335978</v>
      </c>
      <c r="AO26" s="62">
        <f t="shared" si="36"/>
        <v>325.12357781685949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6.4</v>
      </c>
      <c r="BD26" s="13">
        <f>IF('Données projet'!$A$88&gt;35,BD25+BC26-BL25,IF(A26&lt;'Données projet'!$A$88,$BA$205^A26,IF(A26='Données projet'!$A$88,'Données projet'!$B$88,BD25+BC26-BL25)))</f>
        <v>123.2</v>
      </c>
      <c r="BE26" s="14">
        <f>BD26*VLOOKUP('Données projet'!$B$11,Paramètres!$A$1:$I$89,3,0)*VLOOKUP('Données projet'!$B$11,Paramètres!$A$1:$I$89,5,0)</f>
        <v>111.47136</v>
      </c>
      <c r="BF26" s="14">
        <f t="shared" si="37"/>
        <v>29.677379926628468</v>
      </c>
      <c r="BG26" s="22">
        <f t="shared" si="7"/>
        <v>245.83405537221128</v>
      </c>
      <c r="BH26" s="62">
        <f t="shared" si="8"/>
        <v>530.61183314998902</v>
      </c>
      <c r="BI26" s="62">
        <f ca="1">AVERAGE(OFFSET($BH$3,0,0,'Données projet'!$E$11+1,1))-AVERAGE(OFFSET($H$3,0,0,'Données projet'!$E$11+1,1))</f>
        <v>245.09257882574383</v>
      </c>
      <c r="BJ26" s="62">
        <f t="shared" si="38"/>
        <v>342.30266518164211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5.6</v>
      </c>
      <c r="BY26" s="13">
        <f>IF('Données projet'!$A$114&gt;35,BY25+BX26-CG25,IF(A26&lt;'Données projet'!$A$114,$BV$205^A26,IF(A26='Données projet'!$A$114,'Données projet'!$B$114,BY25+BX26-CG25)))</f>
        <v>58.800000000000004</v>
      </c>
      <c r="BZ26" s="14">
        <f>BY26*VLOOKUP('Données projet'!$B$12,Paramètres!$A$1:$I$89,3,0)*VLOOKUP('Données projet'!$B$12,Paramètres!$A$1:$I$89,5,0)</f>
        <v>53.202240000000003</v>
      </c>
      <c r="CA26" s="14">
        <f t="shared" si="39"/>
        <v>15.437740642425908</v>
      </c>
      <c r="CB26" s="22">
        <f t="shared" si="10"/>
        <v>119.54796628555846</v>
      </c>
      <c r="CC26" s="62">
        <f t="shared" si="11"/>
        <v>404.32574406333623</v>
      </c>
      <c r="CD26" s="62">
        <f ca="1">AVERAGE(OFFSET($CC$3,0,0,'Données projet'!$E$12+1,1))-AVERAGE(OFFSET($H$3,0,0,'Données projet'!$E$12+1,1))</f>
        <v>429.54141820799617</v>
      </c>
      <c r="CE26" s="62">
        <f t="shared" si="40"/>
        <v>231.36959598460686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3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5.6</v>
      </c>
      <c r="N27" s="14">
        <f>IF('Données projet'!$A$36&gt;35,N26+M27-V26,IF(A27&lt;'Données projet'!$A$36,$K$205^A27,IF(A27='Données projet'!$A$36,'Données projet'!$B$36,N26+M27-V26)))</f>
        <v>64.400000000000006</v>
      </c>
      <c r="O27" s="14">
        <f>N27*VLOOKUP('Données projet'!$B$9,Paramètres!$A$1:$I$89,3,0)*VLOOKUP('Données projet'!$B$9,Paramètres!$A$1:$I$89,5,0)</f>
        <v>65.301600000000008</v>
      </c>
      <c r="P27" s="14">
        <f t="shared" si="33"/>
        <v>18.502003309535596</v>
      </c>
      <c r="Q27" s="22">
        <f t="shared" si="2"/>
        <v>145.95794243077449</v>
      </c>
      <c r="R27" s="62">
        <f t="shared" si="0"/>
        <v>431.95794243077449</v>
      </c>
      <c r="S27" s="62">
        <f ca="1">AVERAGE(OFFSET($R$3,0,0,'Données projet'!$E$9+1,1))-AVERAGE(OFFSET($H$3,0,0,'Données projet'!$E$9+1,1))</f>
        <v>476.25344680259701</v>
      </c>
      <c r="T27" s="62">
        <f t="shared" si="34"/>
        <v>254.25036207346591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6.5384615384615374</v>
      </c>
      <c r="AI27" s="14">
        <f>IF('Données projet'!$A$62&gt;35,AI26+AH27-AQ26,IF(A27&lt;'Données projet'!$A$62,$AF$205^A27,IF(A27='Données projet'!$A$62,'Données projet'!$B$62,AI26+AH27-AQ26)))</f>
        <v>85.128205128205096</v>
      </c>
      <c r="AJ27" s="14">
        <f>AI27*VLOOKUP('Données projet'!$B$10,Paramètres!$A$1:$I$89,3,0)*VLOOKUP('Données projet'!$B$10,Paramètres!$A$1:$I$89,5,0)</f>
        <v>88.975999999999971</v>
      </c>
      <c r="AK27" s="14">
        <f t="shared" si="35"/>
        <v>24.318096618795476</v>
      </c>
      <c r="AL27" s="22">
        <f t="shared" si="4"/>
        <v>197.32055161106871</v>
      </c>
      <c r="AM27" s="62">
        <f t="shared" si="5"/>
        <v>483.32055161106871</v>
      </c>
      <c r="AN27" s="62">
        <f ca="1">AVERAGE(OFFSET($AM$3,0,0,'Données projet'!$E$10+1,1))-AVERAGE(OFFSET($H$3,0,0,'Données projet'!$E$10+1,1))</f>
        <v>493.70175665335978</v>
      </c>
      <c r="AO27" s="62">
        <f t="shared" si="36"/>
        <v>325.12357781685949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6.4</v>
      </c>
      <c r="BD27" s="13">
        <f>IF('Données projet'!$A$88&gt;35,BD26+BC27-BL26,IF(A27&lt;'Données projet'!$A$88,$BA$205^A27,IF(A27='Données projet'!$A$88,'Données projet'!$B$88,BD26+BC27-BL26)))</f>
        <v>129.6</v>
      </c>
      <c r="BE27" s="14">
        <f>BD27*VLOOKUP('Données projet'!$B$11,Paramètres!$A$1:$I$89,3,0)*VLOOKUP('Données projet'!$B$11,Paramètres!$A$1:$I$89,5,0)</f>
        <v>117.26208</v>
      </c>
      <c r="BF27" s="14">
        <f t="shared" si="37"/>
        <v>31.035569170075775</v>
      </c>
      <c r="BG27" s="22">
        <f t="shared" si="7"/>
        <v>258.28507230454863</v>
      </c>
      <c r="BH27" s="62">
        <f t="shared" si="8"/>
        <v>544.28507230454863</v>
      </c>
      <c r="BI27" s="62">
        <f ca="1">AVERAGE(OFFSET($BH$3,0,0,'Données projet'!$E$11+1,1))-AVERAGE(OFFSET($H$3,0,0,'Données projet'!$E$11+1,1))</f>
        <v>245.09257882574383</v>
      </c>
      <c r="BJ27" s="62">
        <f t="shared" si="38"/>
        <v>342.30266518164211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5.6</v>
      </c>
      <c r="BY27" s="13">
        <f>IF('Données projet'!$A$114&gt;35,BY26+BX27-CG26,IF(A27&lt;'Données projet'!$A$114,$BV$205^A27,IF(A27='Données projet'!$A$114,'Données projet'!$B$114,BY26+BX27-CG26)))</f>
        <v>64.400000000000006</v>
      </c>
      <c r="BZ27" s="14">
        <f>BY27*VLOOKUP('Données projet'!$B$12,Paramètres!$A$1:$I$89,3,0)*VLOOKUP('Données projet'!$B$12,Paramètres!$A$1:$I$89,5,0)</f>
        <v>58.269120000000008</v>
      </c>
      <c r="CA27" s="14">
        <f t="shared" si="39"/>
        <v>16.729905486873804</v>
      </c>
      <c r="CB27" s="22">
        <f t="shared" si="10"/>
        <v>130.62330272297189</v>
      </c>
      <c r="CC27" s="62">
        <f t="shared" si="11"/>
        <v>416.62330272297186</v>
      </c>
      <c r="CD27" s="62">
        <f ca="1">AVERAGE(OFFSET($CC$3,0,0,'Données projet'!$E$12+1,1))-AVERAGE(OFFSET($H$3,0,0,'Données projet'!$E$12+1,1))</f>
        <v>429.54141820799617</v>
      </c>
      <c r="CE27" s="62">
        <f t="shared" si="40"/>
        <v>231.36959598460686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3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70</v>
      </c>
      <c r="L28" s="13">
        <f>VLOOKUP(A28,'Données projet'!$A$35:$I$55,9,0)</f>
        <v>5.6</v>
      </c>
      <c r="M28" s="13">
        <f t="array" ref="M28">INDEX(L:L,MIN(IF(ISNUMBER(L28:L224),ROW(L28:L224),"")))</f>
        <v>5.6</v>
      </c>
      <c r="N28" s="14">
        <f>IF('Données projet'!$A$36&gt;35,N27+M28-V27,IF(A28&lt;'Données projet'!$A$36,$K$205^A28,IF(A28='Données projet'!$A$36,'Données projet'!$B$36,N27+M28-V27)))</f>
        <v>70</v>
      </c>
      <c r="O28" s="14">
        <f>N28*VLOOKUP('Données projet'!$B$9,Paramètres!$A$1:$I$89,3,0)*VLOOKUP('Données projet'!$B$9,Paramètres!$A$1:$I$89,5,0)</f>
        <v>70.98</v>
      </c>
      <c r="P28" s="14">
        <f t="shared" si="33"/>
        <v>19.916628839746853</v>
      </c>
      <c r="Q28" s="22">
        <f t="shared" si="2"/>
        <v>158.31162856255909</v>
      </c>
      <c r="R28" s="62">
        <f t="shared" si="0"/>
        <v>445.53385078478129</v>
      </c>
      <c r="S28" s="62">
        <f ca="1">AVERAGE(OFFSET($R$3,0,0,'Données projet'!$E$9+1,1))-AVERAGE(OFFSET($H$3,0,0,'Données projet'!$E$9+1,1))</f>
        <v>476.25344680259701</v>
      </c>
      <c r="T28" s="62">
        <f t="shared" si="34"/>
        <v>254.25036207346591</v>
      </c>
      <c r="U28" s="16">
        <f>IF(ISNA(VLOOKUP(A28,'Données projet'!$A$35:$I$55,3,0)),0,VLOOKUP(A28,'Données projet'!$A$35:$I$55,3,0))</f>
        <v>1</v>
      </c>
      <c r="V28" s="16">
        <f>IF(ISNA(VLOOKUP(A28,'Données projet'!$A$35:$I$55,4,0)),0,VLOOKUP(A28,'Données projet'!$A$35:$I$55,4,0))</f>
        <v>8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91.666666666666657</v>
      </c>
      <c r="AG28" s="13">
        <f>VLOOKUP(A28,'Données projet'!$A$61:$I$81,9,0)</f>
        <v>6.5384615384615374</v>
      </c>
      <c r="AH28" s="13">
        <f t="array" ref="AH28">INDEX(AG:AG,MIN(IF(ISNUMBER(AG28:AG224),ROW(AG28:AG224),"")))</f>
        <v>6.5384615384615374</v>
      </c>
      <c r="AI28" s="14">
        <f>IF('Données projet'!$A$62&gt;35,AI27+AH28-AQ27,IF(A28&lt;'Données projet'!$A$62,$AF$205^A28,IF(A28='Données projet'!$A$62,'Données projet'!$B$62,AI27+AH28-AQ27)))</f>
        <v>91.666666666666629</v>
      </c>
      <c r="AJ28" s="14">
        <f>AI28*VLOOKUP('Données projet'!$B$10,Paramètres!$A$1:$I$89,3,0)*VLOOKUP('Données projet'!$B$10,Paramètres!$A$1:$I$89,5,0)</f>
        <v>95.80999999999996</v>
      </c>
      <c r="AK28" s="14">
        <f t="shared" si="35"/>
        <v>25.961314793499493</v>
      </c>
      <c r="AL28" s="22">
        <f t="shared" si="4"/>
        <v>212.08503993201154</v>
      </c>
      <c r="AM28" s="62">
        <f t="shared" si="5"/>
        <v>499.30726215423374</v>
      </c>
      <c r="AN28" s="62">
        <f ca="1">AVERAGE(OFFSET($AM$3,0,0,'Données projet'!$E$10+1,1))-AVERAGE(OFFSET($H$3,0,0,'Données projet'!$E$10+1,1))</f>
        <v>493.70175665335978</v>
      </c>
      <c r="AO28" s="62">
        <f t="shared" si="36"/>
        <v>325.12357781685949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136</v>
      </c>
      <c r="BB28" s="13">
        <f>VLOOKUP(A28,'Données projet'!$A$87:$I$107,9,0)</f>
        <v>6.4</v>
      </c>
      <c r="BC28" s="13">
        <f t="array" ref="BC28">INDEX(BB:BB,MIN(IF(ISNUMBER(BB28:BB224),ROW(BB28:BB224),"")))</f>
        <v>6.4</v>
      </c>
      <c r="BD28" s="13">
        <f>IF('Données projet'!$A$88&gt;35,BD27+BC28-BL27,IF(A28&lt;'Données projet'!$A$88,$BA$205^A28,IF(A28='Données projet'!$A$88,'Données projet'!$B$88,BD27+BC28-BL27)))</f>
        <v>136</v>
      </c>
      <c r="BE28" s="14">
        <f>BD28*VLOOKUP('Données projet'!$B$11,Paramètres!$A$1:$I$89,3,0)*VLOOKUP('Données projet'!$B$11,Paramètres!$A$1:$I$89,5,0)</f>
        <v>123.05279999999999</v>
      </c>
      <c r="BF28" s="14">
        <f t="shared" si="37"/>
        <v>32.385970393750824</v>
      </c>
      <c r="BG28" s="22">
        <f t="shared" si="7"/>
        <v>270.72252510244931</v>
      </c>
      <c r="BH28" s="62">
        <f t="shared" si="8"/>
        <v>557.94474732467154</v>
      </c>
      <c r="BI28" s="62">
        <f ca="1">AVERAGE(OFFSET($BH$3,0,0,'Données projet'!$E$11+1,1))-AVERAGE(OFFSET($H$3,0,0,'Données projet'!$E$11+1,1))</f>
        <v>245.09257882574383</v>
      </c>
      <c r="BJ28" s="62">
        <f t="shared" si="38"/>
        <v>342.30266518164211</v>
      </c>
      <c r="BK28" s="16">
        <f>IF(ISNA(VLOOKUP(A28,'Données projet'!$A$87:$I$107,3,0)),0,VLOOKUP(A28,'Données projet'!$A$87:$I$107,3,0))</f>
        <v>4</v>
      </c>
      <c r="BL28" s="16">
        <f>IF(ISNA(VLOOKUP(A28,'Données projet'!$A$87:$I$107,4,0)),0,VLOOKUP(A28,'Données projet'!$A$87:$I$107,4,0))</f>
        <v>8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>
        <f>VLOOKUP(A28,'Données projet'!$A$113:$I$133,2,0)</f>
        <v>70</v>
      </c>
      <c r="BW28" s="13">
        <f>VLOOKUP(A28,'Données projet'!$A$113:$I$133,9,0)</f>
        <v>5.6</v>
      </c>
      <c r="BX28" s="13">
        <f t="array" ref="BX28">INDEX(BW:BW,MIN(IF(ISNUMBER(BW28:BW224),ROW(BW28:BW224),"")))</f>
        <v>5.6</v>
      </c>
      <c r="BY28" s="13">
        <f>IF('Données projet'!$A$114&gt;35,BY27+BX28-CG27,IF(A28&lt;'Données projet'!$A$114,$BV$205^A28,IF(A28='Données projet'!$A$114,'Données projet'!$B$114,BY27+BX28-CG27)))</f>
        <v>70</v>
      </c>
      <c r="BZ28" s="14">
        <f>BY28*VLOOKUP('Données projet'!$B$12,Paramètres!$A$1:$I$89,3,0)*VLOOKUP('Données projet'!$B$12,Paramètres!$A$1:$I$89,5,0)</f>
        <v>63.335999999999991</v>
      </c>
      <c r="CA28" s="14">
        <f t="shared" si="39"/>
        <v>18.009040022946227</v>
      </c>
      <c r="CB28" s="22">
        <f t="shared" si="10"/>
        <v>141.67594470663133</v>
      </c>
      <c r="CC28" s="62">
        <f t="shared" si="11"/>
        <v>428.89816692885358</v>
      </c>
      <c r="CD28" s="62">
        <f ca="1">AVERAGE(OFFSET($CC$3,0,0,'Données projet'!$E$12+1,1))-AVERAGE(OFFSET($H$3,0,0,'Données projet'!$E$12+1,1))</f>
        <v>429.54141820799617</v>
      </c>
      <c r="CE28" s="62">
        <f t="shared" si="40"/>
        <v>231.36959598460686</v>
      </c>
      <c r="CF28" s="16">
        <f>IF(ISNA(VLOOKUP(A28,'Données projet'!$A$113:$I$133,3,0)),0,VLOOKUP(A28,'Données projet'!$A$113:$I$133,3,0))</f>
        <v>1</v>
      </c>
      <c r="CG28" s="16">
        <f>IF(ISNA(VLOOKUP(A28,'Données projet'!$A$113:$I$133,4,0)),0,VLOOKUP(A28,'Données projet'!$A$113:$I$133,4,0))</f>
        <v>8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0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3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7</v>
      </c>
      <c r="N29" s="14">
        <f>IF('Données projet'!$A$36&gt;35,N28+M29-V28,IF(A29&lt;'Données projet'!$A$36,$K$205^A29,IF(A29='Données projet'!$A$36,'Données projet'!$B$36,N28+M29-V28)))</f>
        <v>69</v>
      </c>
      <c r="O29" s="14">
        <f>N29*VLOOKUP('Données projet'!$B$9,Paramètres!$A$1:$I$89,3,0)*VLOOKUP('Données projet'!$B$9,Paramètres!$A$1:$I$89,5,0)</f>
        <v>69.966000000000008</v>
      </c>
      <c r="P29" s="14">
        <f t="shared" si="33"/>
        <v>19.665013934342461</v>
      </c>
      <c r="Q29" s="22">
        <f t="shared" si="2"/>
        <v>156.10734926897979</v>
      </c>
      <c r="R29" s="62">
        <f t="shared" si="0"/>
        <v>444.55179371342422</v>
      </c>
      <c r="S29" s="62">
        <f ca="1">AVERAGE(OFFSET($R$3,0,0,'Données projet'!$E$9+1,1))-AVERAGE(OFFSET($H$3,0,0,'Données projet'!$E$9+1,1))</f>
        <v>476.25344680259701</v>
      </c>
      <c r="T29" s="62">
        <f t="shared" si="34"/>
        <v>254.25036207346591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6.7948717948717956</v>
      </c>
      <c r="AI29" s="14">
        <f>IF('Données projet'!$A$62&gt;35,AI28+AH29-AQ28,IF(A29&lt;'Données projet'!$A$62,$AF$205^A29,IF(A29='Données projet'!$A$62,'Données projet'!$B$62,AI28+AH29-AQ28)))</f>
        <v>98.461538461538424</v>
      </c>
      <c r="AJ29" s="14">
        <f>AI29*VLOOKUP('Données projet'!$B$10,Paramètres!$A$1:$I$89,3,0)*VLOOKUP('Données projet'!$B$10,Paramètres!$A$1:$I$89,5,0)</f>
        <v>102.91199999999996</v>
      </c>
      <c r="AK29" s="14">
        <f t="shared" si="35"/>
        <v>27.65457819507073</v>
      </c>
      <c r="AL29" s="22">
        <f t="shared" si="4"/>
        <v>227.40345702308142</v>
      </c>
      <c r="AM29" s="62">
        <f t="shared" si="5"/>
        <v>515.84790146752584</v>
      </c>
      <c r="AN29" s="62">
        <f ca="1">AVERAGE(OFFSET($AM$3,0,0,'Données projet'!$E$10+1,1))-AVERAGE(OFFSET($H$3,0,0,'Données projet'!$E$10+1,1))</f>
        <v>493.70175665335978</v>
      </c>
      <c r="AO29" s="62">
        <f t="shared" si="36"/>
        <v>325.12357781685949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5.2</v>
      </c>
      <c r="BD29" s="13">
        <f>IF('Données projet'!$A$88&gt;35,BD28+BC29-BL28,IF(A29&lt;'Données projet'!$A$88,$BA$205^A29,IF(A29='Données projet'!$A$88,'Données projet'!$B$88,BD28+BC29-BL28)))</f>
        <v>133.19999999999999</v>
      </c>
      <c r="BE29" s="14">
        <f>BD29*VLOOKUP('Données projet'!$B$11,Paramètres!$A$1:$I$89,3,0)*VLOOKUP('Données projet'!$B$11,Paramètres!$A$1:$I$89,5,0)</f>
        <v>120.51935999999998</v>
      </c>
      <c r="BF29" s="14">
        <f t="shared" si="37"/>
        <v>31.796101022354524</v>
      </c>
      <c r="BG29" s="22">
        <f t="shared" si="7"/>
        <v>265.28276128060071</v>
      </c>
      <c r="BH29" s="62">
        <f t="shared" si="8"/>
        <v>553.72720572504522</v>
      </c>
      <c r="BI29" s="62">
        <f ca="1">AVERAGE(OFFSET($BH$3,0,0,'Données projet'!$E$11+1,1))-AVERAGE(OFFSET($H$3,0,0,'Données projet'!$E$11+1,1))</f>
        <v>245.09257882574383</v>
      </c>
      <c r="BJ29" s="62">
        <f t="shared" si="38"/>
        <v>342.30266518164211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7</v>
      </c>
      <c r="BY29" s="13">
        <f>IF('Données projet'!$A$114&gt;35,BY28+BX29-CG28,IF(A29&lt;'Données projet'!$A$114,$BV$205^A29,IF(A29='Données projet'!$A$114,'Données projet'!$B$114,BY28+BX29-CG28)))</f>
        <v>69</v>
      </c>
      <c r="BZ29" s="14">
        <f>BY29*VLOOKUP('Données projet'!$B$12,Paramètres!$A$1:$I$89,3,0)*VLOOKUP('Données projet'!$B$12,Paramètres!$A$1:$I$89,5,0)</f>
        <v>62.431199999999997</v>
      </c>
      <c r="CA29" s="14">
        <f t="shared" si="39"/>
        <v>17.781524466058684</v>
      </c>
      <c r="CB29" s="22">
        <f t="shared" si="10"/>
        <v>139.70382844505221</v>
      </c>
      <c r="CC29" s="62">
        <f t="shared" si="11"/>
        <v>428.14827288949664</v>
      </c>
      <c r="CD29" s="62">
        <f ca="1">AVERAGE(OFFSET($CC$3,0,0,'Données projet'!$E$12+1,1))-AVERAGE(OFFSET($H$3,0,0,'Données projet'!$E$12+1,1))</f>
        <v>429.54141820799617</v>
      </c>
      <c r="CE29" s="62">
        <f t="shared" si="40"/>
        <v>231.36959598460686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0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3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7</v>
      </c>
      <c r="N30" s="14">
        <f>IF('Données projet'!$A$36&gt;35,N29+M30-V29,IF(A30&lt;'Données projet'!$A$36,$K$205^A30,IF(A30='Données projet'!$A$36,'Données projet'!$B$36,N29+M30-V29)))</f>
        <v>76</v>
      </c>
      <c r="O30" s="14">
        <f>N30*VLOOKUP('Données projet'!$B$9,Paramètres!$A$1:$I$89,3,0)*VLOOKUP('Données projet'!$B$9,Paramètres!$A$1:$I$89,5,0)</f>
        <v>77.064000000000007</v>
      </c>
      <c r="P30" s="14">
        <f t="shared" si="33"/>
        <v>21.417762186678065</v>
      </c>
      <c r="Q30" s="22">
        <f t="shared" si="2"/>
        <v>171.52240247513097</v>
      </c>
      <c r="R30" s="62">
        <f t="shared" si="0"/>
        <v>461.18906914179763</v>
      </c>
      <c r="S30" s="62">
        <f ca="1">AVERAGE(OFFSET($R$3,0,0,'Données projet'!$E$9+1,1))-AVERAGE(OFFSET($H$3,0,0,'Données projet'!$E$9+1,1))</f>
        <v>476.25344680259701</v>
      </c>
      <c r="T30" s="62">
        <f t="shared" si="34"/>
        <v>254.25036207346591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6.7948717948717956</v>
      </c>
      <c r="AI30" s="14">
        <f>IF('Données projet'!$A$62&gt;35,AI29+AH30-AQ29,IF(A30&lt;'Données projet'!$A$62,$AF$205^A30,IF(A30='Données projet'!$A$62,'Données projet'!$B$62,AI29+AH30-AQ29)))</f>
        <v>105.25641025641022</v>
      </c>
      <c r="AJ30" s="14">
        <f>AI30*VLOOKUP('Données projet'!$B$10,Paramètres!$A$1:$I$89,3,0)*VLOOKUP('Données projet'!$B$10,Paramètres!$A$1:$I$89,5,0)</f>
        <v>110.01399999999998</v>
      </c>
      <c r="AK30" s="14">
        <f t="shared" si="35"/>
        <v>29.334283057323191</v>
      </c>
      <c r="AL30" s="22">
        <f t="shared" si="4"/>
        <v>242.69825965817117</v>
      </c>
      <c r="AM30" s="62">
        <f t="shared" si="5"/>
        <v>532.36492632483782</v>
      </c>
      <c r="AN30" s="62">
        <f ca="1">AVERAGE(OFFSET($AM$3,0,0,'Données projet'!$E$10+1,1))-AVERAGE(OFFSET($H$3,0,0,'Données projet'!$E$10+1,1))</f>
        <v>493.70175665335978</v>
      </c>
      <c r="AO30" s="62">
        <f t="shared" si="36"/>
        <v>325.12357781685949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5.2</v>
      </c>
      <c r="BD30" s="13">
        <f>IF('Données projet'!$A$88&gt;35,BD29+BC30-BL29,IF(A30&lt;'Données projet'!$A$88,$BA$205^A30,IF(A30='Données projet'!$A$88,'Données projet'!$B$88,BD29+BC30-BL29)))</f>
        <v>138.39999999999998</v>
      </c>
      <c r="BE30" s="14">
        <f>BD30*VLOOKUP('Données projet'!$B$11,Paramètres!$A$1:$I$89,3,0)*VLOOKUP('Données projet'!$B$11,Paramètres!$A$1:$I$89,5,0)</f>
        <v>125.22431999999996</v>
      </c>
      <c r="BF30" s="14">
        <f t="shared" si="37"/>
        <v>32.890447642602773</v>
      </c>
      <c r="BG30" s="22">
        <f t="shared" si="7"/>
        <v>275.38322031086642</v>
      </c>
      <c r="BH30" s="62">
        <f t="shared" si="8"/>
        <v>565.04988697753311</v>
      </c>
      <c r="BI30" s="62">
        <f ca="1">AVERAGE(OFFSET($BH$3,0,0,'Données projet'!$E$11+1,1))-AVERAGE(OFFSET($H$3,0,0,'Données projet'!$E$11+1,1))</f>
        <v>245.09257882574383</v>
      </c>
      <c r="BJ30" s="62">
        <f t="shared" si="38"/>
        <v>342.30266518164211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7</v>
      </c>
      <c r="BY30" s="13">
        <f>IF('Données projet'!$A$114&gt;35,BY29+BX30-CG29,IF(A30&lt;'Données projet'!$A$114,$BV$205^A30,IF(A30='Données projet'!$A$114,'Données projet'!$B$114,BY29+BX30-CG29)))</f>
        <v>76</v>
      </c>
      <c r="BZ30" s="14">
        <f>BY30*VLOOKUP('Données projet'!$B$12,Paramètres!$A$1:$I$89,3,0)*VLOOKUP('Données projet'!$B$12,Paramètres!$A$1:$I$89,5,0)</f>
        <v>68.764799999999994</v>
      </c>
      <c r="CA30" s="14">
        <f t="shared" si="39"/>
        <v>19.366396769521369</v>
      </c>
      <c r="CB30" s="22">
        <f t="shared" si="10"/>
        <v>153.49516770691636</v>
      </c>
      <c r="CC30" s="62">
        <f t="shared" si="11"/>
        <v>443.16183437358302</v>
      </c>
      <c r="CD30" s="62">
        <f ca="1">AVERAGE(OFFSET($CC$3,0,0,'Données projet'!$E$12+1,1))-AVERAGE(OFFSET($H$3,0,0,'Données projet'!$E$12+1,1))</f>
        <v>429.54141820799617</v>
      </c>
      <c r="CE30" s="62">
        <f t="shared" si="40"/>
        <v>231.36959598460686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0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3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7</v>
      </c>
      <c r="N31" s="14">
        <f>IF('Données projet'!$A$36&gt;35,N30+M31-V30,IF(A31&lt;'Données projet'!$A$36,$K$205^A31,IF(A31='Données projet'!$A$36,'Données projet'!$B$36,N30+M31-V30)))</f>
        <v>83</v>
      </c>
      <c r="O31" s="14">
        <f>N31*VLOOKUP('Données projet'!$B$9,Paramètres!$A$1:$I$89,3,0)*VLOOKUP('Données projet'!$B$9,Paramètres!$A$1:$I$89,5,0)</f>
        <v>84.162000000000006</v>
      </c>
      <c r="P31" s="14">
        <f t="shared" si="33"/>
        <v>23.151791590506594</v>
      </c>
      <c r="Q31" s="22">
        <f t="shared" si="2"/>
        <v>186.90485368679899</v>
      </c>
      <c r="R31" s="62">
        <f t="shared" si="0"/>
        <v>477.79374257568782</v>
      </c>
      <c r="S31" s="62">
        <f ca="1">AVERAGE(OFFSET($R$3,0,0,'Données projet'!$E$9+1,1))-AVERAGE(OFFSET($H$3,0,0,'Données projet'!$E$9+1,1))</f>
        <v>476.25344680259701</v>
      </c>
      <c r="T31" s="62">
        <f t="shared" si="34"/>
        <v>254.25036207346591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6.7948717948717956</v>
      </c>
      <c r="AI31" s="14">
        <f>IF('Données projet'!$A$62&gt;35,AI30+AH31-AQ30,IF(A31&lt;'Données projet'!$A$62,$AF$205^A31,IF(A31='Données projet'!$A$62,'Données projet'!$B$62,AI30+AH31-AQ30)))</f>
        <v>112.05128205128202</v>
      </c>
      <c r="AJ31" s="14">
        <f>AI31*VLOOKUP('Données projet'!$B$10,Paramètres!$A$1:$I$89,3,0)*VLOOKUP('Données projet'!$B$10,Paramètres!$A$1:$I$89,5,0)</f>
        <v>117.11599999999999</v>
      </c>
      <c r="AK31" s="14">
        <f t="shared" si="35"/>
        <v>31.001404275140228</v>
      </c>
      <c r="AL31" s="22">
        <f t="shared" si="4"/>
        <v>257.97114577920252</v>
      </c>
      <c r="AM31" s="62">
        <f t="shared" si="5"/>
        <v>548.86003466809143</v>
      </c>
      <c r="AN31" s="62">
        <f ca="1">AVERAGE(OFFSET($AM$3,0,0,'Données projet'!$E$10+1,1))-AVERAGE(OFFSET($H$3,0,0,'Données projet'!$E$10+1,1))</f>
        <v>493.70175665335978</v>
      </c>
      <c r="AO31" s="62">
        <f t="shared" si="36"/>
        <v>325.12357781685949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5.2</v>
      </c>
      <c r="BD31" s="13">
        <f>IF('Données projet'!$A$88&gt;35,BD30+BC31-BL30,IF(A31&lt;'Données projet'!$A$88,$BA$205^A31,IF(A31='Données projet'!$A$88,'Données projet'!$B$88,BD30+BC31-BL30)))</f>
        <v>143.59999999999997</v>
      </c>
      <c r="BE31" s="14">
        <f>BD31*VLOOKUP('Données projet'!$B$11,Paramètres!$A$1:$I$89,3,0)*VLOOKUP('Données projet'!$B$11,Paramètres!$A$1:$I$89,5,0)</f>
        <v>129.92927999999995</v>
      </c>
      <c r="BF31" s="14">
        <f t="shared" si="37"/>
        <v>33.980017499256149</v>
      </c>
      <c r="BG31" s="22">
        <f t="shared" si="7"/>
        <v>285.47535981120433</v>
      </c>
      <c r="BH31" s="62">
        <f t="shared" si="8"/>
        <v>576.36424870009319</v>
      </c>
      <c r="BI31" s="62">
        <f ca="1">AVERAGE(OFFSET($BH$3,0,0,'Données projet'!$E$11+1,1))-AVERAGE(OFFSET($H$3,0,0,'Données projet'!$E$11+1,1))</f>
        <v>245.09257882574383</v>
      </c>
      <c r="BJ31" s="62">
        <f t="shared" si="38"/>
        <v>342.30266518164211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7</v>
      </c>
      <c r="BY31" s="13">
        <f>IF('Données projet'!$A$114&gt;35,BY30+BX31-CG30,IF(A31&lt;'Données projet'!$A$114,$BV$205^A31,IF(A31='Données projet'!$A$114,'Données projet'!$B$114,BY30+BX31-CG30)))</f>
        <v>83</v>
      </c>
      <c r="BZ31" s="14">
        <f>BY31*VLOOKUP('Données projet'!$B$12,Paramètres!$A$1:$I$89,3,0)*VLOOKUP('Données projet'!$B$12,Paramètres!$A$1:$I$89,5,0)</f>
        <v>75.098399999999998</v>
      </c>
      <c r="CA31" s="14">
        <f t="shared" si="39"/>
        <v>20.934343091450742</v>
      </c>
      <c r="CB31" s="22">
        <f t="shared" si="10"/>
        <v>167.25702755094335</v>
      </c>
      <c r="CC31" s="62">
        <f t="shared" si="11"/>
        <v>458.14591643983221</v>
      </c>
      <c r="CD31" s="62">
        <f ca="1">AVERAGE(OFFSET($CC$3,0,0,'Données projet'!$E$12+1,1))-AVERAGE(OFFSET($H$3,0,0,'Données projet'!$E$12+1,1))</f>
        <v>429.54141820799617</v>
      </c>
      <c r="CE31" s="62">
        <f t="shared" si="40"/>
        <v>231.36959598460686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0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3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7</v>
      </c>
      <c r="N32" s="14">
        <f>IF('Données projet'!$A$36&gt;35,N31+M32-V31,IF(A32&lt;'Données projet'!$A$36,$K$205^A32,IF(A32='Données projet'!$A$36,'Données projet'!$B$36,N31+M32-V31)))</f>
        <v>90</v>
      </c>
      <c r="O32" s="14">
        <f>N32*VLOOKUP('Données projet'!$B$9,Paramètres!$A$1:$I$89,3,0)*VLOOKUP('Données projet'!$B$9,Paramètres!$A$1:$I$89,5,0)</f>
        <v>91.26</v>
      </c>
      <c r="P32" s="14">
        <f t="shared" si="33"/>
        <v>24.868860330902777</v>
      </c>
      <c r="Q32" s="22">
        <f t="shared" si="2"/>
        <v>202.25776507632233</v>
      </c>
      <c r="R32" s="62">
        <f t="shared" si="0"/>
        <v>494.36887618743344</v>
      </c>
      <c r="S32" s="62">
        <f ca="1">AVERAGE(OFFSET($R$3,0,0,'Données projet'!$E$9+1,1))-AVERAGE(OFFSET($H$3,0,0,'Données projet'!$E$9+1,1))</f>
        <v>476.25344680259701</v>
      </c>
      <c r="T32" s="62">
        <f t="shared" si="34"/>
        <v>254.25036207346591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6.7948717948717956</v>
      </c>
      <c r="AI32" s="14">
        <f>IF('Données projet'!$A$62&gt;35,AI31+AH32-AQ31,IF(A32&lt;'Données projet'!$A$62,$AF$205^A32,IF(A32='Données projet'!$A$62,'Données projet'!$B$62,AI31+AH32-AQ31)))</f>
        <v>118.84615384615381</v>
      </c>
      <c r="AJ32" s="14">
        <f>AI32*VLOOKUP('Données projet'!$B$10,Paramètres!$A$1:$I$89,3,0)*VLOOKUP('Données projet'!$B$10,Paramètres!$A$1:$I$89,5,0)</f>
        <v>124.21799999999999</v>
      </c>
      <c r="AK32" s="14">
        <f t="shared" si="35"/>
        <v>32.656791825983653</v>
      </c>
      <c r="AL32" s="22">
        <f t="shared" si="4"/>
        <v>273.22359576358815</v>
      </c>
      <c r="AM32" s="62">
        <f t="shared" si="5"/>
        <v>565.33470687469935</v>
      </c>
      <c r="AN32" s="62">
        <f ca="1">AVERAGE(OFFSET($AM$3,0,0,'Données projet'!$E$10+1,1))-AVERAGE(OFFSET($H$3,0,0,'Données projet'!$E$10+1,1))</f>
        <v>493.70175665335978</v>
      </c>
      <c r="AO32" s="62">
        <f t="shared" si="36"/>
        <v>325.12357781685949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5.2</v>
      </c>
      <c r="BD32" s="13">
        <f>IF('Données projet'!$A$88&gt;35,BD31+BC32-BL31,IF(A32&lt;'Données projet'!$A$88,$BA$205^A32,IF(A32='Données projet'!$A$88,'Données projet'!$B$88,BD31+BC32-BL31)))</f>
        <v>148.79999999999995</v>
      </c>
      <c r="BE32" s="14">
        <f>BD32*VLOOKUP('Données projet'!$B$11,Paramètres!$A$1:$I$89,3,0)*VLOOKUP('Données projet'!$B$11,Paramètres!$A$1:$I$89,5,0)</f>
        <v>134.63423999999998</v>
      </c>
      <c r="BF32" s="14">
        <f t="shared" si="37"/>
        <v>35.065003380589694</v>
      </c>
      <c r="BG32" s="22">
        <f t="shared" si="7"/>
        <v>295.55951555452697</v>
      </c>
      <c r="BH32" s="62">
        <f t="shared" si="8"/>
        <v>587.67062666563811</v>
      </c>
      <c r="BI32" s="62">
        <f ca="1">AVERAGE(OFFSET($BH$3,0,0,'Données projet'!$E$11+1,1))-AVERAGE(OFFSET($H$3,0,0,'Données projet'!$E$11+1,1))</f>
        <v>245.09257882574383</v>
      </c>
      <c r="BJ32" s="62">
        <f t="shared" si="38"/>
        <v>342.30266518164211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7</v>
      </c>
      <c r="BY32" s="13">
        <f>IF('Données projet'!$A$114&gt;35,BY31+BX32-CG31,IF(A32&lt;'Données projet'!$A$114,$BV$205^A32,IF(A32='Données projet'!$A$114,'Données projet'!$B$114,BY31+BX32-CG31)))</f>
        <v>90</v>
      </c>
      <c r="BZ32" s="14">
        <f>BY32*VLOOKUP('Données projet'!$B$12,Paramètres!$A$1:$I$89,3,0)*VLOOKUP('Données projet'!$B$12,Paramètres!$A$1:$I$89,5,0)</f>
        <v>81.432000000000002</v>
      </c>
      <c r="CA32" s="14">
        <f t="shared" si="39"/>
        <v>22.486953220240881</v>
      </c>
      <c r="CB32" s="22">
        <f t="shared" si="10"/>
        <v>180.99217685858619</v>
      </c>
      <c r="CC32" s="62">
        <f t="shared" si="11"/>
        <v>473.10328796969736</v>
      </c>
      <c r="CD32" s="62">
        <f ca="1">AVERAGE(OFFSET($CC$3,0,0,'Données projet'!$E$12+1,1))-AVERAGE(OFFSET($H$3,0,0,'Données projet'!$E$12+1,1))</f>
        <v>429.54141820799617</v>
      </c>
      <c r="CE32" s="62">
        <f t="shared" si="40"/>
        <v>231.36959598460686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0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3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97</v>
      </c>
      <c r="L33" s="13">
        <f>VLOOKUP(A33,'Données projet'!$A$35:$I$55,9,0)</f>
        <v>7</v>
      </c>
      <c r="M33" s="13">
        <f t="array" ref="M33">INDEX(L:L,MIN(IF(ISNUMBER(L33:L229),ROW(L33:L229),"")))</f>
        <v>7</v>
      </c>
      <c r="N33" s="14">
        <f>IF('Données projet'!$A$36&gt;35,N32+M33-V32,IF(A33&lt;'Données projet'!$A$36,$K$205^A33,IF(A33='Données projet'!$A$36,'Données projet'!$B$36,N32+M33-V32)))</f>
        <v>97</v>
      </c>
      <c r="O33" s="14">
        <f>N33*VLOOKUP('Données projet'!$B$9,Paramètres!$A$1:$I$89,3,0)*VLOOKUP('Données projet'!$B$9,Paramètres!$A$1:$I$89,5,0)</f>
        <v>98.358000000000004</v>
      </c>
      <c r="P33" s="14">
        <f t="shared" si="33"/>
        <v>26.570437554143126</v>
      </c>
      <c r="Q33" s="22">
        <f t="shared" si="2"/>
        <v>217.58369540679928</v>
      </c>
      <c r="R33" s="62">
        <f t="shared" si="0"/>
        <v>510.91702874013259</v>
      </c>
      <c r="S33" s="62">
        <f ca="1">AVERAGE(OFFSET($R$3,0,0,'Données projet'!$E$9+1,1))-AVERAGE(OFFSET($H$3,0,0,'Données projet'!$E$9+1,1))</f>
        <v>476.25344680259701</v>
      </c>
      <c r="T33" s="62">
        <f t="shared" si="34"/>
        <v>254.25036207346591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125.64102564102564</v>
      </c>
      <c r="AG33" s="13">
        <f>VLOOKUP(A33,'Données projet'!$A$61:$I$81,9,0)</f>
        <v>6.7948717948717956</v>
      </c>
      <c r="AH33" s="13">
        <f t="array" ref="AH33">INDEX(AG:AG,MIN(IF(ISNUMBER(AG33:AG229),ROW(AG33:AG229),"")))</f>
        <v>6.7948717948717956</v>
      </c>
      <c r="AI33" s="14">
        <f>IF('Données projet'!$A$62&gt;35,AI32+AH33-AQ32,IF(A33&lt;'Données projet'!$A$62,$AF$205^A33,IF(A33='Données projet'!$A$62,'Données projet'!$B$62,AI32+AH33-AQ32)))</f>
        <v>125.64102564102561</v>
      </c>
      <c r="AJ33" s="14">
        <f>AI33*VLOOKUP('Données projet'!$B$10,Paramètres!$A$1:$I$89,3,0)*VLOOKUP('Données projet'!$B$10,Paramètres!$A$1:$I$89,5,0)</f>
        <v>131.32</v>
      </c>
      <c r="AK33" s="14">
        <f t="shared" si="35"/>
        <v>34.30119300489546</v>
      </c>
      <c r="AL33" s="22">
        <f t="shared" si="4"/>
        <v>288.45691115019287</v>
      </c>
      <c r="AM33" s="62">
        <f t="shared" si="5"/>
        <v>581.79024448352618</v>
      </c>
      <c r="AN33" s="62">
        <f ca="1">AVERAGE(OFFSET($AM$3,0,0,'Données projet'!$E$10+1,1))-AVERAGE(OFFSET($H$3,0,0,'Données projet'!$E$10+1,1))</f>
        <v>493.70175665335978</v>
      </c>
      <c r="AO33" s="62">
        <f t="shared" si="36"/>
        <v>325.12357781685949</v>
      </c>
      <c r="AP33" s="16">
        <f>IF(ISNA(VLOOKUP(A33,'Données projet'!$A$61:$I$81,3,0)),0,VLOOKUP(A33,'Données projet'!$A$61:$I$81,3,0))</f>
        <v>1</v>
      </c>
      <c r="AQ33" s="16">
        <f>IF(ISNA(VLOOKUP(A33,'Données projet'!$A$61:$I$81,4,0)),0,VLOOKUP(A33,'Données projet'!$A$61:$I$81,4,0))</f>
        <v>28.205128205128204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154</v>
      </c>
      <c r="BB33" s="13">
        <f>VLOOKUP(A33,'Données projet'!$A$87:$I$107,9,0)</f>
        <v>5.2</v>
      </c>
      <c r="BC33" s="13">
        <f t="array" ref="BC33">INDEX(BB:BB,MIN(IF(ISNUMBER(BB33:BB229),ROW(BB33:BB229),"")))</f>
        <v>5.2</v>
      </c>
      <c r="BD33" s="13">
        <f>IF('Données projet'!$A$88&gt;35,BD32+BC33-BL32,IF(A33&lt;'Données projet'!$A$88,$BA$205^A33,IF(A33='Données projet'!$A$88,'Données projet'!$B$88,BD32+BC33-BL32)))</f>
        <v>153.99999999999994</v>
      </c>
      <c r="BE33" s="14">
        <f>BD33*VLOOKUP('Données projet'!$B$11,Paramètres!$A$1:$I$89,3,0)*VLOOKUP('Données projet'!$B$11,Paramètres!$A$1:$I$89,5,0)</f>
        <v>139.33919999999995</v>
      </c>
      <c r="BF33" s="14">
        <f t="shared" si="37"/>
        <v>36.145583836349623</v>
      </c>
      <c r="BG33" s="22">
        <f t="shared" si="7"/>
        <v>305.63599851497548</v>
      </c>
      <c r="BH33" s="62">
        <f t="shared" si="8"/>
        <v>598.9693318483088</v>
      </c>
      <c r="BI33" s="62">
        <f ca="1">AVERAGE(OFFSET($BH$3,0,0,'Données projet'!$E$11+1,1))-AVERAGE(OFFSET($H$3,0,0,'Données projet'!$E$11+1,1))</f>
        <v>245.09257882574383</v>
      </c>
      <c r="BJ33" s="62">
        <f t="shared" si="38"/>
        <v>342.30266518164211</v>
      </c>
      <c r="BK33" s="16">
        <f>IF(ISNA(VLOOKUP(A33,'Données projet'!$A$87:$I$107,3,0)),0,VLOOKUP(A33,'Données projet'!$A$87:$I$107,3,0))</f>
        <v>5</v>
      </c>
      <c r="BL33" s="16">
        <f>IF(ISNA(VLOOKUP(A33,'Données projet'!$A$87:$I$107,4,0)),0,VLOOKUP(A33,'Données projet'!$A$87:$I$107,4,0))</f>
        <v>6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97</v>
      </c>
      <c r="BW33" s="13">
        <f>VLOOKUP(A33,'Données projet'!$A$113:$I$133,9,0)</f>
        <v>7</v>
      </c>
      <c r="BX33" s="13">
        <f t="array" ref="BX33">INDEX(BW:BW,MIN(IF(ISNUMBER(BW33:BW229),ROW(BW33:BW229),"")))</f>
        <v>7</v>
      </c>
      <c r="BY33" s="13">
        <f>IF('Données projet'!$A$114&gt;35,BY32+BX33-CG32,IF(A33&lt;'Données projet'!$A$114,$BV$205^A33,IF(A33='Données projet'!$A$114,'Données projet'!$B$114,BY32+BX33-CG32)))</f>
        <v>97</v>
      </c>
      <c r="BZ33" s="14">
        <f>BY33*VLOOKUP('Données projet'!$B$12,Paramètres!$A$1:$I$89,3,0)*VLOOKUP('Données projet'!$B$12,Paramètres!$A$1:$I$89,5,0)</f>
        <v>87.765600000000006</v>
      </c>
      <c r="CA33" s="14">
        <f t="shared" si="39"/>
        <v>24.025555589247954</v>
      </c>
      <c r="CB33" s="22">
        <f t="shared" si="10"/>
        <v>194.7029293179402</v>
      </c>
      <c r="CC33" s="62">
        <f t="shared" si="11"/>
        <v>488.03626265127355</v>
      </c>
      <c r="CD33" s="62">
        <f ca="1">AVERAGE(OFFSET($CC$3,0,0,'Données projet'!$E$12+1,1))-AVERAGE(OFFSET($H$3,0,0,'Données projet'!$E$12+1,1))</f>
        <v>429.54141820799617</v>
      </c>
      <c r="CE33" s="62">
        <f t="shared" si="40"/>
        <v>231.36959598460686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0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3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8</v>
      </c>
      <c r="N34" s="14">
        <f>IF('Données projet'!$A$36&gt;35,N33+M34-V33,IF(A34&lt;'Données projet'!$A$36,$K$205^A34,IF(A34='Données projet'!$A$36,'Données projet'!$B$36,N33+M34-V33)))</f>
        <v>105</v>
      </c>
      <c r="O34" s="14">
        <f>N34*VLOOKUP('Données projet'!$B$9,Paramètres!$A$1:$I$89,3,0)*VLOOKUP('Données projet'!$B$9,Paramètres!$A$1:$I$89,5,0)</f>
        <v>106.47</v>
      </c>
      <c r="P34" s="14">
        <f t="shared" si="33"/>
        <v>28.49771681771891</v>
      </c>
      <c r="Q34" s="22">
        <f t="shared" si="2"/>
        <v>235.06877345752704</v>
      </c>
      <c r="R34" s="62">
        <f t="shared" si="0"/>
        <v>528.40210679086033</v>
      </c>
      <c r="S34" s="62">
        <f ca="1">AVERAGE(OFFSET($R$3,0,0,'Données projet'!$E$9+1,1))-AVERAGE(OFFSET($H$3,0,0,'Données projet'!$E$9+1,1))</f>
        <v>476.25344680259701</v>
      </c>
      <c r="T34" s="62">
        <f t="shared" si="34"/>
        <v>254.25036207346591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6.7948717948717956</v>
      </c>
      <c r="AI34" s="14">
        <f>IF('Données projet'!$A$62&gt;35,AI33+AH34-AQ33,IF(A34&lt;'Données projet'!$A$62,$AF$205^A34,IF(A34='Données projet'!$A$62,'Données projet'!$B$62,AI33+AH34-AQ33)))</f>
        <v>104.2307692307692</v>
      </c>
      <c r="AJ34" s="14">
        <f>AI34*VLOOKUP('Données projet'!$B$10,Paramètres!$A$1:$I$89,3,0)*VLOOKUP('Données projet'!$B$10,Paramètres!$A$1:$I$89,5,0)</f>
        <v>108.94199999999996</v>
      </c>
      <c r="AK34" s="14">
        <f t="shared" si="35"/>
        <v>29.08157148085148</v>
      </c>
      <c r="AL34" s="22">
        <f t="shared" si="4"/>
        <v>240.39105366248293</v>
      </c>
      <c r="AM34" s="62">
        <f t="shared" si="5"/>
        <v>533.7243869958163</v>
      </c>
      <c r="AN34" s="62">
        <f ca="1">AVERAGE(OFFSET($AM$3,0,0,'Données projet'!$E$10+1,1))-AVERAGE(OFFSET($H$3,0,0,'Données projet'!$E$10+1,1))</f>
        <v>493.70175665335978</v>
      </c>
      <c r="AO34" s="62">
        <f t="shared" si="36"/>
        <v>325.12357781685949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4.2</v>
      </c>
      <c r="BD34" s="13">
        <f>IF('Données projet'!$A$88&gt;35,BD33+BC34-BL33,IF(A34&lt;'Données projet'!$A$88,$BA$205^A34,IF(A34='Données projet'!$A$88,'Données projet'!$B$88,BD33+BC34-BL33)))</f>
        <v>152.19999999999993</v>
      </c>
      <c r="BE34" s="14">
        <f>BD34*VLOOKUP('Données projet'!$B$11,Paramètres!$A$1:$I$89,3,0)*VLOOKUP('Données projet'!$B$11,Paramètres!$A$1:$I$89,5,0)</f>
        <v>137.71055999999993</v>
      </c>
      <c r="BF34" s="14">
        <f t="shared" si="37"/>
        <v>35.772024702085233</v>
      </c>
      <c r="BG34" s="22">
        <f t="shared" si="7"/>
        <v>302.14883502279832</v>
      </c>
      <c r="BH34" s="62">
        <f t="shared" si="8"/>
        <v>595.48216835613164</v>
      </c>
      <c r="BI34" s="62">
        <f ca="1">AVERAGE(OFFSET($BH$3,0,0,'Données projet'!$E$11+1,1))-AVERAGE(OFFSET($H$3,0,0,'Données projet'!$E$11+1,1))</f>
        <v>245.09257882574383</v>
      </c>
      <c r="BJ34" s="62">
        <f t="shared" si="38"/>
        <v>342.30266518164211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8</v>
      </c>
      <c r="BY34" s="13">
        <f>IF('Données projet'!$A$114&gt;35,BY33+BX34-CG33,IF(A34&lt;'Données projet'!$A$114,$BV$205^A34,IF(A34='Données projet'!$A$114,'Données projet'!$B$114,BY33+BX34-CG33)))</f>
        <v>105</v>
      </c>
      <c r="BZ34" s="14">
        <f>BY34*VLOOKUP('Données projet'!$B$12,Paramètres!$A$1:$I$89,3,0)*VLOOKUP('Données projet'!$B$12,Paramètres!$A$1:$I$89,5,0)</f>
        <v>95.004000000000005</v>
      </c>
      <c r="CA34" s="14">
        <f t="shared" si="39"/>
        <v>25.768242550600785</v>
      </c>
      <c r="CB34" s="22">
        <f t="shared" si="10"/>
        <v>210.34498910896306</v>
      </c>
      <c r="CC34" s="62">
        <f t="shared" si="11"/>
        <v>503.67832244229635</v>
      </c>
      <c r="CD34" s="62">
        <f ca="1">AVERAGE(OFFSET($CC$3,0,0,'Données projet'!$E$12+1,1))-AVERAGE(OFFSET($H$3,0,0,'Données projet'!$E$12+1,1))</f>
        <v>429.54141820799617</v>
      </c>
      <c r="CE34" s="62">
        <f t="shared" si="40"/>
        <v>231.36959598460686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0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3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8</v>
      </c>
      <c r="N35" s="14">
        <f>IF('Données projet'!$A$36&gt;35,N34+M35-V34,IF(A35&lt;'Données projet'!$A$36,$K$205^A35,IF(A35='Données projet'!$A$36,'Données projet'!$B$36,N34+M35-V34)))</f>
        <v>113</v>
      </c>
      <c r="O35" s="14">
        <f>N35*VLOOKUP('Données projet'!$B$9,Paramètres!$A$1:$I$89,3,0)*VLOOKUP('Données projet'!$B$9,Paramètres!$A$1:$I$89,5,0)</f>
        <v>114.58200000000001</v>
      </c>
      <c r="P35" s="14">
        <f t="shared" si="33"/>
        <v>30.407962048850919</v>
      </c>
      <c r="Q35" s="22">
        <f t="shared" ref="Q35:Q66" si="53">(O35+P35)*0.475*44/12</f>
        <v>252.52418390174873</v>
      </c>
      <c r="R35" s="62">
        <f t="shared" si="0"/>
        <v>545.85751723508201</v>
      </c>
      <c r="S35" s="62">
        <f ca="1">AVERAGE(OFFSET($R$3,0,0,'Données projet'!$E$9+1,1))-AVERAGE(OFFSET($H$3,0,0,'Données projet'!$E$9+1,1))</f>
        <v>476.25344680259701</v>
      </c>
      <c r="T35" s="62">
        <f t="shared" si="34"/>
        <v>254.25036207346591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6.7948717948717956</v>
      </c>
      <c r="AI35" s="14">
        <f>IF('Données projet'!$A$62&gt;35,AI34+AH35-AQ34,IF(A35&lt;'Données projet'!$A$62,$AF$205^A35,IF(A35='Données projet'!$A$62,'Données projet'!$B$62,AI34+AH35-AQ34)))</f>
        <v>111.02564102564099</v>
      </c>
      <c r="AJ35" s="14">
        <f>AI35*VLOOKUP('Données projet'!$B$10,Paramètres!$A$1:$I$89,3,0)*VLOOKUP('Données projet'!$B$10,Paramètres!$A$1:$I$89,5,0)</f>
        <v>116.04399999999997</v>
      </c>
      <c r="AK35" s="14">
        <f t="shared" si="35"/>
        <v>30.750534860350001</v>
      </c>
      <c r="AL35" s="22">
        <f t="shared" si="4"/>
        <v>255.66714821510956</v>
      </c>
      <c r="AM35" s="62">
        <f t="shared" si="5"/>
        <v>549.00048154844285</v>
      </c>
      <c r="AN35" s="62">
        <f ca="1">AVERAGE(OFFSET($AM$3,0,0,'Données projet'!$E$10+1,1))-AVERAGE(OFFSET($H$3,0,0,'Données projet'!$E$10+1,1))</f>
        <v>493.70175665335978</v>
      </c>
      <c r="AO35" s="62">
        <f t="shared" si="36"/>
        <v>325.12357781685949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4.2</v>
      </c>
      <c r="BD35" s="13">
        <f>IF('Données projet'!$A$88&gt;35,BD34+BC35-BL34,IF(A35&lt;'Données projet'!$A$88,$BA$205^A35,IF(A35='Données projet'!$A$88,'Données projet'!$B$88,BD34+BC35-BL34)))</f>
        <v>156.39999999999992</v>
      </c>
      <c r="BE35" s="14">
        <f>BD35*VLOOKUP('Données projet'!$B$11,Paramètres!$A$1:$I$89,3,0)*VLOOKUP('Données projet'!$B$11,Paramètres!$A$1:$I$89,5,0)</f>
        <v>141.51071999999994</v>
      </c>
      <c r="BF35" s="14">
        <f t="shared" si="37"/>
        <v>36.642873749766764</v>
      </c>
      <c r="BG35" s="22">
        <f t="shared" si="7"/>
        <v>310.28417578084361</v>
      </c>
      <c r="BH35" s="62">
        <f t="shared" si="8"/>
        <v>603.61750911417698</v>
      </c>
      <c r="BI35" s="62">
        <f ca="1">AVERAGE(OFFSET($BH$3,0,0,'Données projet'!$E$11+1,1))-AVERAGE(OFFSET($H$3,0,0,'Données projet'!$E$11+1,1))</f>
        <v>245.09257882574383</v>
      </c>
      <c r="BJ35" s="62">
        <f t="shared" si="38"/>
        <v>342.30266518164211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8</v>
      </c>
      <c r="BY35" s="13">
        <f>IF('Données projet'!$A$114&gt;35,BY34+BX35-CG34,IF(A35&lt;'Données projet'!$A$114,$BV$205^A35,IF(A35='Données projet'!$A$114,'Données projet'!$B$114,BY34+BX35-CG34)))</f>
        <v>113</v>
      </c>
      <c r="BZ35" s="14">
        <f>BY35*VLOOKUP('Données projet'!$B$12,Paramètres!$A$1:$I$89,3,0)*VLOOKUP('Données projet'!$B$12,Paramètres!$A$1:$I$89,5,0)</f>
        <v>102.24239999999999</v>
      </c>
      <c r="CA35" s="14">
        <f t="shared" si="39"/>
        <v>27.495526976991481</v>
      </c>
      <c r="CB35" s="22">
        <f t="shared" si="10"/>
        <v>225.96022281826015</v>
      </c>
      <c r="CC35" s="62">
        <f t="shared" si="11"/>
        <v>519.29355615159352</v>
      </c>
      <c r="CD35" s="62">
        <f ca="1">AVERAGE(OFFSET($CC$3,0,0,'Données projet'!$E$12+1,1))-AVERAGE(OFFSET($H$3,0,0,'Données projet'!$E$12+1,1))</f>
        <v>429.54141820799617</v>
      </c>
      <c r="CE35" s="62">
        <f t="shared" si="40"/>
        <v>231.36959598460686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0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3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8</v>
      </c>
      <c r="N36" s="14">
        <f>IF('Données projet'!$A$36&gt;35,N35+M36-V35,IF(A36&lt;'Données projet'!$A$36,$K$205^A36,IF(A36='Données projet'!$A$36,'Données projet'!$B$36,N35+M36-V35)))</f>
        <v>121</v>
      </c>
      <c r="O36" s="14">
        <f>N36*VLOOKUP('Données projet'!$B$9,Paramètres!$A$1:$I$89,3,0)*VLOOKUP('Données projet'!$B$9,Paramètres!$A$1:$I$89,5,0)</f>
        <v>122.69400000000002</v>
      </c>
      <c r="P36" s="14">
        <f t="shared" si="33"/>
        <v>32.302516360650685</v>
      </c>
      <c r="Q36" s="22">
        <f t="shared" si="53"/>
        <v>269.95226599479992</v>
      </c>
      <c r="R36" s="62">
        <f t="shared" si="0"/>
        <v>563.28559932813323</v>
      </c>
      <c r="S36" s="62">
        <f ca="1">AVERAGE(OFFSET($R$3,0,0,'Données projet'!$E$9+1,1))-AVERAGE(OFFSET($H$3,0,0,'Données projet'!$E$9+1,1))</f>
        <v>476.25344680259701</v>
      </c>
      <c r="T36" s="62">
        <f t="shared" si="34"/>
        <v>254.25036207346591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6.7948717948717956</v>
      </c>
      <c r="AI36" s="14">
        <f>IF('Données projet'!$A$62&gt;35,AI35+AH36-AQ35,IF(A36&lt;'Données projet'!$A$62,$AF$205^A36,IF(A36='Données projet'!$A$62,'Données projet'!$B$62,AI35+AH36-AQ35)))</f>
        <v>117.82051282051279</v>
      </c>
      <c r="AJ36" s="14">
        <f>AI36*VLOOKUP('Données projet'!$B$10,Paramètres!$A$1:$I$89,3,0)*VLOOKUP('Données projet'!$B$10,Paramètres!$A$1:$I$89,5,0)</f>
        <v>123.14599999999997</v>
      </c>
      <c r="AK36" s="14">
        <f t="shared" si="35"/>
        <v>32.407643337050729</v>
      </c>
      <c r="AL36" s="22">
        <f t="shared" si="4"/>
        <v>270.92259547869656</v>
      </c>
      <c r="AM36" s="62">
        <f t="shared" si="5"/>
        <v>564.25592881202988</v>
      </c>
      <c r="AN36" s="62">
        <f ca="1">AVERAGE(OFFSET($AM$3,0,0,'Données projet'!$E$10+1,1))-AVERAGE(OFFSET($H$3,0,0,'Données projet'!$E$10+1,1))</f>
        <v>493.70175665335978</v>
      </c>
      <c r="AO36" s="62">
        <f t="shared" si="36"/>
        <v>325.12357781685949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4.2</v>
      </c>
      <c r="BD36" s="13">
        <f>IF('Données projet'!$A$88&gt;35,BD35+BC36-BL35,IF(A36&lt;'Données projet'!$A$88,$BA$205^A36,IF(A36='Données projet'!$A$88,'Données projet'!$B$88,BD35+BC36-BL35)))</f>
        <v>160.59999999999991</v>
      </c>
      <c r="BE36" s="14">
        <f>BD36*VLOOKUP('Données projet'!$B$11,Paramètres!$A$1:$I$89,3,0)*VLOOKUP('Données projet'!$B$11,Paramètres!$A$1:$I$89,5,0)</f>
        <v>145.31087999999991</v>
      </c>
      <c r="BF36" s="14">
        <f t="shared" si="37"/>
        <v>37.511004575106362</v>
      </c>
      <c r="BG36" s="22">
        <f t="shared" si="7"/>
        <v>318.41478230164341</v>
      </c>
      <c r="BH36" s="62">
        <f t="shared" si="8"/>
        <v>611.74811563497678</v>
      </c>
      <c r="BI36" s="62">
        <f ca="1">AVERAGE(OFFSET($BH$3,0,0,'Données projet'!$E$11+1,1))-AVERAGE(OFFSET($H$3,0,0,'Données projet'!$E$11+1,1))</f>
        <v>245.09257882574383</v>
      </c>
      <c r="BJ36" s="62">
        <f t="shared" si="38"/>
        <v>342.30266518164211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8</v>
      </c>
      <c r="BY36" s="13">
        <f>IF('Données projet'!$A$114&gt;35,BY35+BX36-CG35,IF(A36&lt;'Données projet'!$A$114,$BV$205^A36,IF(A36='Données projet'!$A$114,'Données projet'!$B$114,BY35+BX36-CG35)))</f>
        <v>121</v>
      </c>
      <c r="BZ36" s="14">
        <f>BY36*VLOOKUP('Données projet'!$B$12,Paramètres!$A$1:$I$89,3,0)*VLOOKUP('Données projet'!$B$12,Paramètres!$A$1:$I$89,5,0)</f>
        <v>109.48079999999999</v>
      </c>
      <c r="CA36" s="14">
        <f t="shared" si="39"/>
        <v>29.208623339903898</v>
      </c>
      <c r="CB36" s="22">
        <f t="shared" si="10"/>
        <v>241.5507456503326</v>
      </c>
      <c r="CC36" s="62">
        <f t="shared" si="11"/>
        <v>534.88407898366586</v>
      </c>
      <c r="CD36" s="62">
        <f ca="1">AVERAGE(OFFSET($CC$3,0,0,'Données projet'!$E$12+1,1))-AVERAGE(OFFSET($H$3,0,0,'Données projet'!$E$12+1,1))</f>
        <v>429.54141820799617</v>
      </c>
      <c r="CE36" s="62">
        <f t="shared" si="40"/>
        <v>231.36959598460686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0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3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8</v>
      </c>
      <c r="N37" s="14">
        <f>IF('Données projet'!$A$36&gt;35,N36+M37-V36,IF(A37&lt;'Données projet'!$A$36,$K$205^A37,IF(A37='Données projet'!$A$36,'Données projet'!$B$36,N36+M37-V36)))</f>
        <v>129</v>
      </c>
      <c r="O37" s="14">
        <f>N37*VLOOKUP('Données projet'!$B$9,Paramètres!$A$1:$I$89,3,0)*VLOOKUP('Données projet'!$B$9,Paramètres!$A$1:$I$89,5,0)</f>
        <v>130.80600000000001</v>
      </c>
      <c r="P37" s="14">
        <f t="shared" si="33"/>
        <v>34.182535218254564</v>
      </c>
      <c r="Q37" s="22">
        <f t="shared" si="53"/>
        <v>287.35503217179337</v>
      </c>
      <c r="R37" s="62">
        <f t="shared" si="0"/>
        <v>580.68836550512674</v>
      </c>
      <c r="S37" s="62">
        <f ca="1">AVERAGE(OFFSET($R$3,0,0,'Données projet'!$E$9+1,1))-AVERAGE(OFFSET($H$3,0,0,'Données projet'!$E$9+1,1))</f>
        <v>476.25344680259701</v>
      </c>
      <c r="T37" s="62">
        <f t="shared" si="34"/>
        <v>254.25036207346591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6.7948717948717956</v>
      </c>
      <c r="AI37" s="14">
        <f>IF('Données projet'!$A$62&gt;35,AI36+AH37-AQ36,IF(A37&lt;'Données projet'!$A$62,$AF$205^A37,IF(A37='Données projet'!$A$62,'Données projet'!$B$62,AI36+AH37-AQ36)))</f>
        <v>124.61538461538458</v>
      </c>
      <c r="AJ37" s="14">
        <f>AI37*VLOOKUP('Données projet'!$B$10,Paramètres!$A$1:$I$89,3,0)*VLOOKUP('Données projet'!$B$10,Paramètres!$A$1:$I$89,5,0)</f>
        <v>130.24799999999999</v>
      </c>
      <c r="AK37" s="14">
        <f t="shared" si="35"/>
        <v>34.053658492903352</v>
      </c>
      <c r="AL37" s="22">
        <f t="shared" si="4"/>
        <v>286.15872187513997</v>
      </c>
      <c r="AM37" s="62">
        <f t="shared" si="5"/>
        <v>579.49205520847329</v>
      </c>
      <c r="AN37" s="62">
        <f ca="1">AVERAGE(OFFSET($AM$3,0,0,'Données projet'!$E$10+1,1))-AVERAGE(OFFSET($H$3,0,0,'Données projet'!$E$10+1,1))</f>
        <v>493.70175665335978</v>
      </c>
      <c r="AO37" s="62">
        <f t="shared" si="36"/>
        <v>325.12357781685949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4.2</v>
      </c>
      <c r="BD37" s="13">
        <f>IF('Données projet'!$A$88&gt;35,BD36+BC37-BL36,IF(A37&lt;'Données projet'!$A$88,$BA$205^A37,IF(A37='Données projet'!$A$88,'Données projet'!$B$88,BD36+BC37-BL36)))</f>
        <v>164.7999999999999</v>
      </c>
      <c r="BE37" s="14">
        <f>BD37*VLOOKUP('Données projet'!$B$11,Paramètres!$A$1:$I$89,3,0)*VLOOKUP('Données projet'!$B$11,Paramètres!$A$1:$I$89,5,0)</f>
        <v>149.11103999999989</v>
      </c>
      <c r="BF37" s="14">
        <f t="shared" si="37"/>
        <v>38.376496436982357</v>
      </c>
      <c r="BG37" s="22">
        <f t="shared" si="7"/>
        <v>326.54079262774405</v>
      </c>
      <c r="BH37" s="62">
        <f t="shared" si="8"/>
        <v>619.87412596107743</v>
      </c>
      <c r="BI37" s="62">
        <f ca="1">AVERAGE(OFFSET($BH$3,0,0,'Données projet'!$E$11+1,1))-AVERAGE(OFFSET($H$3,0,0,'Données projet'!$E$11+1,1))</f>
        <v>245.09257882574383</v>
      </c>
      <c r="BJ37" s="62">
        <f t="shared" si="38"/>
        <v>342.30266518164211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8</v>
      </c>
      <c r="BY37" s="13">
        <f>IF('Données projet'!$A$114&gt;35,BY36+BX37-CG36,IF(A37&lt;'Données projet'!$A$114,$BV$205^A37,IF(A37='Données projet'!$A$114,'Données projet'!$B$114,BY36+BX37-CG36)))</f>
        <v>129</v>
      </c>
      <c r="BZ37" s="14">
        <f>BY37*VLOOKUP('Données projet'!$B$12,Paramètres!$A$1:$I$89,3,0)*VLOOKUP('Données projet'!$B$12,Paramètres!$A$1:$I$89,5,0)</f>
        <v>116.71919999999999</v>
      </c>
      <c r="CA37" s="14">
        <f t="shared" si="39"/>
        <v>30.908576435525887</v>
      </c>
      <c r="CB37" s="22">
        <f t="shared" si="10"/>
        <v>257.1183772918742</v>
      </c>
      <c r="CC37" s="62">
        <f t="shared" si="11"/>
        <v>550.45171062520751</v>
      </c>
      <c r="CD37" s="62">
        <f ca="1">AVERAGE(OFFSET($CC$3,0,0,'Données projet'!$E$12+1,1))-AVERAGE(OFFSET($H$3,0,0,'Données projet'!$E$12+1,1))</f>
        <v>429.54141820799617</v>
      </c>
      <c r="CE37" s="62">
        <f t="shared" si="40"/>
        <v>231.36959598460686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0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3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137</v>
      </c>
      <c r="L38" s="13">
        <f>VLOOKUP(A38,'Données projet'!$A$35:$I$55,9,0)</f>
        <v>8</v>
      </c>
      <c r="M38" s="13">
        <f t="array" ref="M38">INDEX(L:L,MIN(IF(ISNUMBER(L38:L234),ROW(L38:L234),"")))</f>
        <v>8</v>
      </c>
      <c r="N38" s="14">
        <f>IF('Données projet'!$A$36&gt;35,N37+M38-V37,IF(A38&lt;'Données projet'!$A$36,$K$205^A38,IF(A38='Données projet'!$A$36,'Données projet'!$B$36,N37+M38-V37)))</f>
        <v>137</v>
      </c>
      <c r="O38" s="14">
        <f>N38*VLOOKUP('Données projet'!$B$9,Paramètres!$A$1:$I$89,3,0)*VLOOKUP('Données projet'!$B$9,Paramètres!$A$1:$I$89,5,0)</f>
        <v>138.91800000000001</v>
      </c>
      <c r="P38" s="14">
        <f t="shared" si="33"/>
        <v>36.049022673886341</v>
      </c>
      <c r="Q38" s="22">
        <f t="shared" si="53"/>
        <v>304.73423115701871</v>
      </c>
      <c r="R38" s="62">
        <f t="shared" si="0"/>
        <v>598.06756449035197</v>
      </c>
      <c r="S38" s="62">
        <f ca="1">AVERAGE(OFFSET($R$3,0,0,'Données projet'!$E$9+1,1))-AVERAGE(OFFSET($H$3,0,0,'Données projet'!$E$9+1,1))</f>
        <v>476.25344680259701</v>
      </c>
      <c r="T38" s="62">
        <f t="shared" si="34"/>
        <v>254.25036207346591</v>
      </c>
      <c r="U38" s="16">
        <f>IF(ISNA(VLOOKUP(A38,'Données projet'!$A$35:$I$55,3,0)),0,VLOOKUP(A38,'Données projet'!$A$35:$I$55,3,0))</f>
        <v>2</v>
      </c>
      <c r="V38" s="16">
        <f>IF(ISNA(VLOOKUP(A38,'Données projet'!$A$35:$I$55,4,0)),0,VLOOKUP(A38,'Données projet'!$A$35:$I$55,4,0))</f>
        <v>42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131.41025641025641</v>
      </c>
      <c r="AG38" s="13">
        <f>VLOOKUP(A38,'Données projet'!$A$61:$I$81,9,0)</f>
        <v>6.7948717948717956</v>
      </c>
      <c r="AH38" s="13">
        <f t="array" ref="AH38">INDEX(AG:AG,MIN(IF(ISNUMBER(AG38:AG234),ROW(AG38:AG234),"")))</f>
        <v>6.7948717948717956</v>
      </c>
      <c r="AI38" s="14">
        <f>IF('Données projet'!$A$62&gt;35,AI37+AH38-AQ37,IF(A38&lt;'Données projet'!$A$62,$AF$205^A38,IF(A38='Données projet'!$A$62,'Données projet'!$B$62,AI37+AH38-AQ37)))</f>
        <v>131.41025641025638</v>
      </c>
      <c r="AJ38" s="14">
        <f>AI38*VLOOKUP('Données projet'!$B$10,Paramètres!$A$1:$I$89,3,0)*VLOOKUP('Données projet'!$B$10,Paramètres!$A$1:$I$89,5,0)</f>
        <v>137.35</v>
      </c>
      <c r="AK38" s="14">
        <f t="shared" si="35"/>
        <v>35.68925416600387</v>
      </c>
      <c r="AL38" s="22">
        <f t="shared" si="4"/>
        <v>301.37670100579004</v>
      </c>
      <c r="AM38" s="62">
        <f t="shared" si="5"/>
        <v>594.71003433912335</v>
      </c>
      <c r="AN38" s="62">
        <f ca="1">AVERAGE(OFFSET($AM$3,0,0,'Données projet'!$E$10+1,1))-AVERAGE(OFFSET($H$3,0,0,'Données projet'!$E$10+1,1))</f>
        <v>493.70175665335978</v>
      </c>
      <c r="AO38" s="62">
        <f t="shared" si="36"/>
        <v>325.12357781685949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169</v>
      </c>
      <c r="BB38" s="13">
        <f>VLOOKUP(A38,'Données projet'!$A$87:$I$107,9,0)</f>
        <v>4.2</v>
      </c>
      <c r="BC38" s="13">
        <f t="array" ref="BC38">INDEX(BB:BB,MIN(IF(ISNUMBER(BB38:BB234),ROW(BB38:BB234),"")))</f>
        <v>4.2</v>
      </c>
      <c r="BD38" s="13">
        <f>IF('Données projet'!$A$88&gt;35,BD37+BC38-BL37,IF(A38&lt;'Données projet'!$A$88,$BA$205^A38,IF(A38='Données projet'!$A$88,'Données projet'!$B$88,BD37+BC38-BL37)))</f>
        <v>168.99999999999989</v>
      </c>
      <c r="BE38" s="14">
        <f>BD38*VLOOKUP('Données projet'!$B$11,Paramètres!$A$1:$I$89,3,0)*VLOOKUP('Données projet'!$B$11,Paramètres!$A$1:$I$89,5,0)</f>
        <v>152.91119999999989</v>
      </c>
      <c r="BF38" s="14">
        <f t="shared" si="37"/>
        <v>39.239424324197508</v>
      </c>
      <c r="BG38" s="22">
        <f t="shared" si="7"/>
        <v>334.66233736464375</v>
      </c>
      <c r="BH38" s="62">
        <f t="shared" si="8"/>
        <v>627.99567069797706</v>
      </c>
      <c r="BI38" s="62">
        <f ca="1">AVERAGE(OFFSET($BH$3,0,0,'Données projet'!$E$11+1,1))-AVERAGE(OFFSET($H$3,0,0,'Données projet'!$E$11+1,1))</f>
        <v>245.09257882574383</v>
      </c>
      <c r="BJ38" s="62">
        <f t="shared" si="38"/>
        <v>342.30266518164211</v>
      </c>
      <c r="BK38" s="16">
        <f>IF(ISNA(VLOOKUP(A38,'Données projet'!$A$87:$I$107,3,0)),0,VLOOKUP(A38,'Données projet'!$A$87:$I$107,3,0))</f>
        <v>6</v>
      </c>
      <c r="BL38" s="16">
        <f>IF(ISNA(VLOOKUP(A38,'Données projet'!$A$87:$I$107,4,0)),0,VLOOKUP(A38,'Données projet'!$A$87:$I$107,4,0))</f>
        <v>5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0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137</v>
      </c>
      <c r="BW38" s="13">
        <f>VLOOKUP(A38,'Données projet'!$A$113:$I$133,9,0)</f>
        <v>8</v>
      </c>
      <c r="BX38" s="13">
        <f t="array" ref="BX38">INDEX(BW:BW,MIN(IF(ISNUMBER(BW38:BW234),ROW(BW38:BW234),"")))</f>
        <v>8</v>
      </c>
      <c r="BY38" s="13">
        <f>IF('Données projet'!$A$114&gt;35,BY37+BX38-CG37,IF(A38&lt;'Données projet'!$A$114,$BV$205^A38,IF(A38='Données projet'!$A$114,'Données projet'!$B$114,BY37+BX38-CG37)))</f>
        <v>137</v>
      </c>
      <c r="BZ38" s="14">
        <f>BY38*VLOOKUP('Données projet'!$B$12,Paramètres!$A$1:$I$89,3,0)*VLOOKUP('Données projet'!$B$12,Paramètres!$A$1:$I$89,5,0)</f>
        <v>123.9576</v>
      </c>
      <c r="CA38" s="14">
        <f t="shared" si="39"/>
        <v>32.59629414926458</v>
      </c>
      <c r="CB38" s="22">
        <f t="shared" si="10"/>
        <v>272.6646989766358</v>
      </c>
      <c r="CC38" s="62">
        <f t="shared" si="11"/>
        <v>565.99803230996918</v>
      </c>
      <c r="CD38" s="62">
        <f ca="1">AVERAGE(OFFSET($CC$3,0,0,'Données projet'!$E$12+1,1))-AVERAGE(OFFSET($H$3,0,0,'Données projet'!$E$12+1,1))</f>
        <v>429.54141820799617</v>
      </c>
      <c r="CE38" s="62">
        <f t="shared" si="40"/>
        <v>231.36959598460686</v>
      </c>
      <c r="CF38" s="16">
        <f>IF(ISNA(VLOOKUP(A38,'Données projet'!$A$113:$I$133,3,0)),0,VLOOKUP(A38,'Données projet'!$A$113:$I$133,3,0))</f>
        <v>2</v>
      </c>
      <c r="CG38" s="16">
        <f>IF(ISNA(VLOOKUP(A38,'Données projet'!$A$113:$I$133,4,0)),0,VLOOKUP(A38,'Données projet'!$A$113:$I$133,4,0))</f>
        <v>42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0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3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8.4</v>
      </c>
      <c r="N39" s="14">
        <f>IF('Données projet'!$A$36&gt;35,N38+M39-V38,IF(A39&lt;'Données projet'!$A$36,$K$205^A39,IF(A39='Données projet'!$A$36,'Données projet'!$B$36,N38+M39-V38)))</f>
        <v>103.4</v>
      </c>
      <c r="O39" s="14">
        <f>N39*VLOOKUP('Données projet'!$B$9,Paramètres!$A$1:$I$89,3,0)*VLOOKUP('Données projet'!$B$9,Paramètres!$A$1:$I$89,5,0)</f>
        <v>104.84760000000001</v>
      </c>
      <c r="P39" s="14">
        <f t="shared" si="33"/>
        <v>28.113670466115643</v>
      </c>
      <c r="Q39" s="22">
        <f t="shared" si="53"/>
        <v>231.57421272848475</v>
      </c>
      <c r="R39" s="62">
        <f t="shared" si="0"/>
        <v>524.90754606181804</v>
      </c>
      <c r="S39" s="62">
        <f ca="1">AVERAGE(OFFSET($R$3,0,0,'Données projet'!$E$9+1,1))-AVERAGE(OFFSET($H$3,0,0,'Données projet'!$E$9+1,1))</f>
        <v>476.25344680259701</v>
      </c>
      <c r="T39" s="62">
        <f t="shared" si="34"/>
        <v>254.25036207346591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6.5384615384615357</v>
      </c>
      <c r="AI39" s="14">
        <f>IF('Données projet'!$A$62&gt;35,AI38+AH39-AQ38,IF(A39&lt;'Données projet'!$A$62,$AF$205^A39,IF(A39='Données projet'!$A$62,'Données projet'!$B$62,AI38+AH39-AQ38)))</f>
        <v>137.94871794871793</v>
      </c>
      <c r="AJ39" s="14">
        <f>AI39*VLOOKUP('Données projet'!$B$10,Paramètres!$A$1:$I$89,3,0)*VLOOKUP('Données projet'!$B$10,Paramètres!$A$1:$I$89,5,0)</f>
        <v>144.184</v>
      </c>
      <c r="AK39" s="14">
        <f t="shared" si="35"/>
        <v>37.253852236732257</v>
      </c>
      <c r="AL39" s="22">
        <f t="shared" si="4"/>
        <v>316.00425931230865</v>
      </c>
      <c r="AM39" s="62">
        <f t="shared" si="5"/>
        <v>609.33759264564196</v>
      </c>
      <c r="AN39" s="62">
        <f ca="1">AVERAGE(OFFSET($AM$3,0,0,'Données projet'!$E$10+1,1))-AVERAGE(OFFSET($H$3,0,0,'Données projet'!$E$10+1,1))</f>
        <v>493.70175665335978</v>
      </c>
      <c r="AO39" s="62">
        <f t="shared" si="36"/>
        <v>325.12357781685949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3.8</v>
      </c>
      <c r="BD39" s="13">
        <f>IF('Données projet'!$A$88&gt;35,BD38+BC39-BL38,IF(A39&lt;'Données projet'!$A$88,$BA$205^A39,IF(A39='Données projet'!$A$88,'Données projet'!$B$88,BD38+BC39-BL38)))</f>
        <v>167.7999999999999</v>
      </c>
      <c r="BE39" s="14">
        <f>BD39*VLOOKUP('Données projet'!$B$11,Paramètres!$A$1:$I$89,3,0)*VLOOKUP('Données projet'!$B$11,Paramètres!$A$1:$I$89,5,0)</f>
        <v>151.8254399999999</v>
      </c>
      <c r="BF39" s="14">
        <f t="shared" si="37"/>
        <v>38.993130915848106</v>
      </c>
      <c r="BG39" s="22">
        <f t="shared" si="7"/>
        <v>332.34234434510194</v>
      </c>
      <c r="BH39" s="62">
        <f t="shared" si="8"/>
        <v>625.67567767843525</v>
      </c>
      <c r="BI39" s="62">
        <f ca="1">AVERAGE(OFFSET($BH$3,0,0,'Données projet'!$E$11+1,1))-AVERAGE(OFFSET($H$3,0,0,'Données projet'!$E$11+1,1))</f>
        <v>245.09257882574383</v>
      </c>
      <c r="BJ39" s="62">
        <f t="shared" si="38"/>
        <v>342.30266518164211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0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8.4</v>
      </c>
      <c r="BY39" s="13">
        <f>IF('Données projet'!$A$114&gt;35,BY38+BX39-CG38,IF(A39&lt;'Données projet'!$A$114,$BV$205^A39,IF(A39='Données projet'!$A$114,'Données projet'!$B$114,BY38+BX39-CG38)))</f>
        <v>103.4</v>
      </c>
      <c r="BZ39" s="14">
        <f>BY39*VLOOKUP('Données projet'!$B$12,Paramètres!$A$1:$I$89,3,0)*VLOOKUP('Données projet'!$B$12,Paramètres!$A$1:$I$89,5,0)</f>
        <v>93.556319999999999</v>
      </c>
      <c r="CA39" s="14">
        <f t="shared" si="39"/>
        <v>25.420979659258073</v>
      </c>
      <c r="CB39" s="22">
        <f t="shared" si="10"/>
        <v>207.21879690654114</v>
      </c>
      <c r="CC39" s="62">
        <f t="shared" si="11"/>
        <v>500.55213023987449</v>
      </c>
      <c r="CD39" s="62">
        <f ca="1">AVERAGE(OFFSET($CC$3,0,0,'Données projet'!$E$12+1,1))-AVERAGE(OFFSET($H$3,0,0,'Données projet'!$E$12+1,1))</f>
        <v>429.54141820799617</v>
      </c>
      <c r="CE39" s="62">
        <f t="shared" si="40"/>
        <v>231.36959598460686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0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3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8.4</v>
      </c>
      <c r="N40" s="14">
        <f>IF('Données projet'!$A$36&gt;35,N39+M40-V39,IF(A40&lt;'Données projet'!$A$36,$K$205^A40,IF(A40='Données projet'!$A$36,'Données projet'!$B$36,N39+M40-V39)))</f>
        <v>111.80000000000001</v>
      </c>
      <c r="O40" s="14">
        <f>N40*VLOOKUP('Données projet'!$B$9,Paramètres!$A$1:$I$89,3,0)*VLOOKUP('Données projet'!$B$9,Paramètres!$A$1:$I$89,5,0)</f>
        <v>113.36520000000003</v>
      </c>
      <c r="P40" s="14">
        <f t="shared" si="33"/>
        <v>30.122456058687614</v>
      </c>
      <c r="Q40" s="22">
        <f t="shared" si="53"/>
        <v>249.9076676355476</v>
      </c>
      <c r="R40" s="62">
        <f t="shared" si="0"/>
        <v>543.24100096888094</v>
      </c>
      <c r="S40" s="62">
        <f ca="1">AVERAGE(OFFSET($R$3,0,0,'Données projet'!$E$9+1,1))-AVERAGE(OFFSET($H$3,0,0,'Données projet'!$E$9+1,1))</f>
        <v>476.25344680259701</v>
      </c>
      <c r="T40" s="62">
        <f t="shared" si="34"/>
        <v>254.25036207346591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6.5384615384615357</v>
      </c>
      <c r="AI40" s="14">
        <f>IF('Données projet'!$A$62&gt;35,AI39+AH40-AQ39,IF(A40&lt;'Données projet'!$A$62,$AF$205^A40,IF(A40='Données projet'!$A$62,'Données projet'!$B$62,AI39+AH40-AQ39)))</f>
        <v>144.48717948717947</v>
      </c>
      <c r="AJ40" s="14">
        <f>AI40*VLOOKUP('Données projet'!$B$10,Paramètres!$A$1:$I$89,3,0)*VLOOKUP('Données projet'!$B$10,Paramètres!$A$1:$I$89,5,0)</f>
        <v>151.018</v>
      </c>
      <c r="AK40" s="14">
        <f t="shared" si="35"/>
        <v>38.809838626521376</v>
      </c>
      <c r="AL40" s="22">
        <f t="shared" si="4"/>
        <v>330.61681894119141</v>
      </c>
      <c r="AM40" s="62">
        <f t="shared" si="5"/>
        <v>623.95015227452473</v>
      </c>
      <c r="AN40" s="62">
        <f ca="1">AVERAGE(OFFSET($AM$3,0,0,'Données projet'!$E$10+1,1))-AVERAGE(OFFSET($H$3,0,0,'Données projet'!$E$10+1,1))</f>
        <v>493.70175665335978</v>
      </c>
      <c r="AO40" s="62">
        <f t="shared" si="36"/>
        <v>325.12357781685949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3.8</v>
      </c>
      <c r="BD40" s="13">
        <f>IF('Données projet'!$A$88&gt;35,BD39+BC40-BL39,IF(A40&lt;'Données projet'!$A$88,$BA$205^A40,IF(A40='Données projet'!$A$88,'Données projet'!$B$88,BD39+BC40-BL39)))</f>
        <v>171.59999999999991</v>
      </c>
      <c r="BE40" s="14">
        <f>BD40*VLOOKUP('Données projet'!$B$11,Paramètres!$A$1:$I$89,3,0)*VLOOKUP('Données projet'!$B$11,Paramètres!$A$1:$I$89,5,0)</f>
        <v>155.26367999999991</v>
      </c>
      <c r="BF40" s="14">
        <f t="shared" si="37"/>
        <v>39.77236412265178</v>
      </c>
      <c r="BG40" s="22">
        <f t="shared" si="7"/>
        <v>339.68777684695164</v>
      </c>
      <c r="BH40" s="62">
        <f t="shared" si="8"/>
        <v>633.02111018028495</v>
      </c>
      <c r="BI40" s="62">
        <f ca="1">AVERAGE(OFFSET($BH$3,0,0,'Données projet'!$E$11+1,1))-AVERAGE(OFFSET($H$3,0,0,'Données projet'!$E$11+1,1))</f>
        <v>245.09257882574383</v>
      </c>
      <c r="BJ40" s="62">
        <f t="shared" si="38"/>
        <v>342.30266518164211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0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8.4</v>
      </c>
      <c r="BY40" s="13">
        <f>IF('Données projet'!$A$114&gt;35,BY39+BX40-CG39,IF(A40&lt;'Données projet'!$A$114,$BV$205^A40,IF(A40='Données projet'!$A$114,'Données projet'!$B$114,BY39+BX40-CG39)))</f>
        <v>111.80000000000001</v>
      </c>
      <c r="BZ40" s="14">
        <f>BY40*VLOOKUP('Données projet'!$B$12,Paramètres!$A$1:$I$89,3,0)*VLOOKUP('Données projet'!$B$12,Paramètres!$A$1:$I$89,5,0)</f>
        <v>101.15664000000001</v>
      </c>
      <c r="CA40" s="14">
        <f t="shared" si="39"/>
        <v>27.237366379381644</v>
      </c>
      <c r="CB40" s="22">
        <f t="shared" si="10"/>
        <v>223.61956111075639</v>
      </c>
      <c r="CC40" s="62">
        <f t="shared" si="11"/>
        <v>516.95289444408968</v>
      </c>
      <c r="CD40" s="62">
        <f ca="1">AVERAGE(OFFSET($CC$3,0,0,'Données projet'!$E$12+1,1))-AVERAGE(OFFSET($H$3,0,0,'Données projet'!$E$12+1,1))</f>
        <v>429.54141820799617</v>
      </c>
      <c r="CE40" s="62">
        <f t="shared" si="40"/>
        <v>231.36959598460686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0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3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8.4</v>
      </c>
      <c r="N41" s="14">
        <f>IF('Données projet'!$A$36&gt;35,N40+M41-V40,IF(A41&lt;'Données projet'!$A$36,$K$205^A41,IF(A41='Données projet'!$A$36,'Données projet'!$B$36,N40+M41-V40)))</f>
        <v>120.20000000000002</v>
      </c>
      <c r="O41" s="14">
        <f>N41*VLOOKUP('Données projet'!$B$9,Paramètres!$A$1:$I$89,3,0)*VLOOKUP('Données projet'!$B$9,Paramètres!$A$1:$I$89,5,0)</f>
        <v>121.88280000000002</v>
      </c>
      <c r="P41" s="14">
        <f t="shared" si="33"/>
        <v>32.113732800054677</v>
      </c>
      <c r="Q41" s="22">
        <f t="shared" si="53"/>
        <v>268.21062796009522</v>
      </c>
      <c r="R41" s="62">
        <f t="shared" si="0"/>
        <v>561.54396129342854</v>
      </c>
      <c r="S41" s="62">
        <f ca="1">AVERAGE(OFFSET($R$3,0,0,'Données projet'!$E$9+1,1))-AVERAGE(OFFSET($H$3,0,0,'Données projet'!$E$9+1,1))</f>
        <v>476.25344680259701</v>
      </c>
      <c r="T41" s="62">
        <f t="shared" si="34"/>
        <v>254.25036207346591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6.5384615384615357</v>
      </c>
      <c r="AI41" s="14">
        <f>IF('Données projet'!$A$62&gt;35,AI40+AH41-AQ40,IF(A41&lt;'Données projet'!$A$62,$AF$205^A41,IF(A41='Données projet'!$A$62,'Données projet'!$B$62,AI40+AH41-AQ40)))</f>
        <v>151.02564102564102</v>
      </c>
      <c r="AJ41" s="14">
        <f>AI41*VLOOKUP('Données projet'!$B$10,Paramètres!$A$1:$I$89,3,0)*VLOOKUP('Données projet'!$B$10,Paramètres!$A$1:$I$89,5,0)</f>
        <v>157.852</v>
      </c>
      <c r="AK41" s="14">
        <f t="shared" si="35"/>
        <v>40.357647559226351</v>
      </c>
      <c r="AL41" s="22">
        <f t="shared" si="4"/>
        <v>345.21513616565261</v>
      </c>
      <c r="AM41" s="62">
        <f t="shared" si="5"/>
        <v>638.54846949898592</v>
      </c>
      <c r="AN41" s="62">
        <f ca="1">AVERAGE(OFFSET($AM$3,0,0,'Données projet'!$E$10+1,1))-AVERAGE(OFFSET($H$3,0,0,'Données projet'!$E$10+1,1))</f>
        <v>493.70175665335978</v>
      </c>
      <c r="AO41" s="62">
        <f t="shared" si="36"/>
        <v>325.12357781685949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3.8</v>
      </c>
      <c r="BD41" s="13">
        <f>IF('Données projet'!$A$88&gt;35,BD40+BC41-BL40,IF(A41&lt;'Données projet'!$A$88,$BA$205^A41,IF(A41='Données projet'!$A$88,'Données projet'!$B$88,BD40+BC41-BL40)))</f>
        <v>175.39999999999992</v>
      </c>
      <c r="BE41" s="14">
        <f>BD41*VLOOKUP('Données projet'!$B$11,Paramètres!$A$1:$I$89,3,0)*VLOOKUP('Données projet'!$B$11,Paramètres!$A$1:$I$89,5,0)</f>
        <v>158.70191999999992</v>
      </c>
      <c r="BF41" s="14">
        <f t="shared" si="37"/>
        <v>40.549591173644728</v>
      </c>
      <c r="BG41" s="22">
        <f t="shared" si="7"/>
        <v>347.02971529409774</v>
      </c>
      <c r="BH41" s="62">
        <f t="shared" si="8"/>
        <v>640.363048627431</v>
      </c>
      <c r="BI41" s="62">
        <f ca="1">AVERAGE(OFFSET($BH$3,0,0,'Données projet'!$E$11+1,1))-AVERAGE(OFFSET($H$3,0,0,'Données projet'!$E$11+1,1))</f>
        <v>245.09257882574383</v>
      </c>
      <c r="BJ41" s="62">
        <f t="shared" si="38"/>
        <v>342.30266518164211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0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8.4</v>
      </c>
      <c r="BY41" s="13">
        <f>IF('Données projet'!$A$114&gt;35,BY40+BX41-CG40,IF(A41&lt;'Données projet'!$A$114,$BV$205^A41,IF(A41='Données projet'!$A$114,'Données projet'!$B$114,BY40+BX41-CG40)))</f>
        <v>120.20000000000002</v>
      </c>
      <c r="BZ41" s="14">
        <f>BY41*VLOOKUP('Données projet'!$B$12,Paramètres!$A$1:$I$89,3,0)*VLOOKUP('Données projet'!$B$12,Paramètres!$A$1:$I$89,5,0)</f>
        <v>108.75696000000002</v>
      </c>
      <c r="CA41" s="14">
        <f t="shared" si="39"/>
        <v>29.037921223305609</v>
      </c>
      <c r="CB41" s="22">
        <f t="shared" si="10"/>
        <v>239.99275146392395</v>
      </c>
      <c r="CC41" s="62">
        <f t="shared" si="11"/>
        <v>533.32608479725729</v>
      </c>
      <c r="CD41" s="62">
        <f ca="1">AVERAGE(OFFSET($CC$3,0,0,'Données projet'!$E$12+1,1))-AVERAGE(OFFSET($H$3,0,0,'Données projet'!$E$12+1,1))</f>
        <v>429.54141820799617</v>
      </c>
      <c r="CE41" s="62">
        <f t="shared" si="40"/>
        <v>231.36959598460686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0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3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8.4</v>
      </c>
      <c r="N42" s="14">
        <f>IF('Données projet'!$A$36&gt;35,N41+M42-V41,IF(A42&lt;'Données projet'!$A$36,$K$205^A42,IF(A42='Données projet'!$A$36,'Données projet'!$B$36,N41+M42-V41)))</f>
        <v>128.60000000000002</v>
      </c>
      <c r="O42" s="14">
        <f>N42*VLOOKUP('Données projet'!$B$9,Paramètres!$A$1:$I$89,3,0)*VLOOKUP('Données projet'!$B$9,Paramètres!$A$1:$I$89,5,0)</f>
        <v>130.40040000000002</v>
      </c>
      <c r="P42" s="14">
        <f t="shared" si="33"/>
        <v>34.088863450406919</v>
      </c>
      <c r="Q42" s="22">
        <f t="shared" si="53"/>
        <v>286.48546717612544</v>
      </c>
      <c r="R42" s="62">
        <f t="shared" si="0"/>
        <v>579.8188005094587</v>
      </c>
      <c r="S42" s="62">
        <f ca="1">AVERAGE(OFFSET($R$3,0,0,'Données projet'!$E$9+1,1))-AVERAGE(OFFSET($H$3,0,0,'Données projet'!$E$9+1,1))</f>
        <v>476.25344680259701</v>
      </c>
      <c r="T42" s="62">
        <f t="shared" si="34"/>
        <v>254.25036207346591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6.5384615384615357</v>
      </c>
      <c r="AI42" s="14">
        <f>IF('Données projet'!$A$62&gt;35,AI41+AH42-AQ41,IF(A42&lt;'Données projet'!$A$62,$AF$205^A42,IF(A42='Données projet'!$A$62,'Données projet'!$B$62,AI41+AH42-AQ41)))</f>
        <v>157.56410256410257</v>
      </c>
      <c r="AJ42" s="14">
        <f>AI42*VLOOKUP('Données projet'!$B$10,Paramètres!$A$1:$I$89,3,0)*VLOOKUP('Données projet'!$B$10,Paramètres!$A$1:$I$89,5,0)</f>
        <v>164.68600000000001</v>
      </c>
      <c r="AK42" s="14">
        <f t="shared" si="35"/>
        <v>41.89767353409232</v>
      </c>
      <c r="AL42" s="22">
        <f t="shared" si="4"/>
        <v>359.79989807187752</v>
      </c>
      <c r="AM42" s="62">
        <f t="shared" si="5"/>
        <v>653.13323140521084</v>
      </c>
      <c r="AN42" s="62">
        <f ca="1">AVERAGE(OFFSET($AM$3,0,0,'Données projet'!$E$10+1,1))-AVERAGE(OFFSET($H$3,0,0,'Données projet'!$E$10+1,1))</f>
        <v>493.70175665335978</v>
      </c>
      <c r="AO42" s="62">
        <f t="shared" si="36"/>
        <v>325.12357781685949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3.8</v>
      </c>
      <c r="BD42" s="13">
        <f>IF('Données projet'!$A$88&gt;35,BD41+BC42-BL41,IF(A42&lt;'Données projet'!$A$88,$BA$205^A42,IF(A42='Données projet'!$A$88,'Données projet'!$B$88,BD41+BC42-BL41)))</f>
        <v>179.19999999999993</v>
      </c>
      <c r="BE42" s="14">
        <f>BD42*VLOOKUP('Données projet'!$B$11,Paramètres!$A$1:$I$89,3,0)*VLOOKUP('Données projet'!$B$11,Paramètres!$A$1:$I$89,5,0)</f>
        <v>162.14015999999992</v>
      </c>
      <c r="BF42" s="14">
        <f t="shared" si="37"/>
        <v>41.324860537333677</v>
      </c>
      <c r="BG42" s="22">
        <f t="shared" si="7"/>
        <v>354.36824410252262</v>
      </c>
      <c r="BH42" s="62">
        <f t="shared" si="8"/>
        <v>647.70157743585594</v>
      </c>
      <c r="BI42" s="62">
        <f ca="1">AVERAGE(OFFSET($BH$3,0,0,'Données projet'!$E$11+1,1))-AVERAGE(OFFSET($H$3,0,0,'Données projet'!$E$11+1,1))</f>
        <v>245.09257882574383</v>
      </c>
      <c r="BJ42" s="62">
        <f t="shared" si="38"/>
        <v>342.30266518164211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0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8.4</v>
      </c>
      <c r="BY42" s="13">
        <f>IF('Données projet'!$A$114&gt;35,BY41+BX42-CG41,IF(A42&lt;'Données projet'!$A$114,$BV$205^A42,IF(A42='Données projet'!$A$114,'Données projet'!$B$114,BY41+BX42-CG41)))</f>
        <v>128.60000000000002</v>
      </c>
      <c r="BZ42" s="14">
        <f>BY42*VLOOKUP('Données projet'!$B$12,Paramètres!$A$1:$I$89,3,0)*VLOOKUP('Données projet'!$B$12,Paramètres!$A$1:$I$89,5,0)</f>
        <v>116.35728000000002</v>
      </c>
      <c r="CA42" s="14">
        <f t="shared" si="39"/>
        <v>30.823876427820704</v>
      </c>
      <c r="CB42" s="22">
        <f t="shared" si="10"/>
        <v>256.34051411178774</v>
      </c>
      <c r="CC42" s="62">
        <f t="shared" si="11"/>
        <v>549.67384744512105</v>
      </c>
      <c r="CD42" s="62">
        <f ca="1">AVERAGE(OFFSET($CC$3,0,0,'Données projet'!$E$12+1,1))-AVERAGE(OFFSET($H$3,0,0,'Données projet'!$E$12+1,1))</f>
        <v>429.54141820799617</v>
      </c>
      <c r="CE42" s="62">
        <f t="shared" si="40"/>
        <v>231.36959598460686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0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3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137</v>
      </c>
      <c r="L43" s="13">
        <f>VLOOKUP(A43,'Données projet'!$A$35:$I$55,9,0)</f>
        <v>8.4</v>
      </c>
      <c r="M43" s="13">
        <f t="array" ref="M43">INDEX(L:L,MIN(IF(ISNUMBER(L43:L239),ROW(L43:L239),"")))</f>
        <v>8.4</v>
      </c>
      <c r="N43" s="14">
        <f>IF('Données projet'!$A$36&gt;35,N42+M43-V42,IF(A43&lt;'Données projet'!$A$36,$K$205^A43,IF(A43='Données projet'!$A$36,'Données projet'!$B$36,N42+M43-V42)))</f>
        <v>137.00000000000003</v>
      </c>
      <c r="O43" s="14">
        <f>N43*VLOOKUP('Données projet'!$B$9,Paramètres!$A$1:$I$89,3,0)*VLOOKUP('Données projet'!$B$9,Paramètres!$A$1:$I$89,5,0)</f>
        <v>138.91800000000003</v>
      </c>
      <c r="P43" s="14">
        <f t="shared" si="33"/>
        <v>36.049022673886341</v>
      </c>
      <c r="Q43" s="22">
        <f t="shared" si="53"/>
        <v>304.73423115701877</v>
      </c>
      <c r="R43" s="62">
        <f t="shared" si="0"/>
        <v>598.06756449035208</v>
      </c>
      <c r="S43" s="62">
        <f ca="1">AVERAGE(OFFSET($R$3,0,0,'Données projet'!$E$9+1,1))-AVERAGE(OFFSET($H$3,0,0,'Données projet'!$E$9+1,1))</f>
        <v>476.25344680259701</v>
      </c>
      <c r="T43" s="62">
        <f t="shared" si="34"/>
        <v>254.25036207346591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164.10256410256409</v>
      </c>
      <c r="AG43" s="13">
        <f>VLOOKUP(A43,'Données projet'!$A$61:$I$81,9,0)</f>
        <v>6.5384615384615357</v>
      </c>
      <c r="AH43" s="13">
        <f t="array" ref="AH43">INDEX(AG:AG,MIN(IF(ISNUMBER(AG43:AG239),ROW(AG43:AG239),"")))</f>
        <v>6.5384615384615357</v>
      </c>
      <c r="AI43" s="14">
        <f>IF('Données projet'!$A$62&gt;35,AI42+AH43-AQ42,IF(A43&lt;'Données projet'!$A$62,$AF$205^A43,IF(A43='Données projet'!$A$62,'Données projet'!$B$62,AI42+AH43-AQ42)))</f>
        <v>164.10256410256412</v>
      </c>
      <c r="AJ43" s="14">
        <f>AI43*VLOOKUP('Données projet'!$B$10,Paramètres!$A$1:$I$89,3,0)*VLOOKUP('Données projet'!$B$10,Paramètres!$A$1:$I$89,5,0)</f>
        <v>171.52000000000004</v>
      </c>
      <c r="AK43" s="14">
        <f t="shared" si="35"/>
        <v>43.430276456724698</v>
      </c>
      <c r="AL43" s="22">
        <f t="shared" si="4"/>
        <v>374.3717314954622</v>
      </c>
      <c r="AM43" s="62">
        <f t="shared" si="5"/>
        <v>667.70506482879546</v>
      </c>
      <c r="AN43" s="62">
        <f ca="1">AVERAGE(OFFSET($AM$3,0,0,'Données projet'!$E$10+1,1))-AVERAGE(OFFSET($H$3,0,0,'Données projet'!$E$10+1,1))</f>
        <v>493.70175665335978</v>
      </c>
      <c r="AO43" s="62">
        <f t="shared" si="36"/>
        <v>325.12357781685949</v>
      </c>
      <c r="AP43" s="16">
        <f>IF(ISNA(VLOOKUP(A43,'Données projet'!$A$61:$I$81,3,0)),0,VLOOKUP(A43,'Données projet'!$A$61:$I$81,3,0))</f>
        <v>2</v>
      </c>
      <c r="AQ43" s="16">
        <f>IF(ISNA(VLOOKUP(A43,'Données projet'!$A$61:$I$81,4,0)),0,VLOOKUP(A43,'Données projet'!$A$61:$I$81,4,0))</f>
        <v>22.435897435897434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183</v>
      </c>
      <c r="BB43" s="13">
        <f>VLOOKUP(A43,'Données projet'!$A$87:$I$107,9,0)</f>
        <v>3.8</v>
      </c>
      <c r="BC43" s="13">
        <f t="array" ref="BC43">INDEX(BB:BB,MIN(IF(ISNUMBER(BB43:BB239),ROW(BB43:BB239),"")))</f>
        <v>3.8</v>
      </c>
      <c r="BD43" s="13">
        <f>IF('Données projet'!$A$88&gt;35,BD42+BC43-BL42,IF(A43&lt;'Données projet'!$A$88,$BA$205^A43,IF(A43='Données projet'!$A$88,'Données projet'!$B$88,BD42+BC43-BL42)))</f>
        <v>182.99999999999994</v>
      </c>
      <c r="BE43" s="14">
        <f>BD43*VLOOKUP('Données projet'!$B$11,Paramètres!$A$1:$I$89,3,0)*VLOOKUP('Données projet'!$B$11,Paramètres!$A$1:$I$89,5,0)</f>
        <v>165.57839999999993</v>
      </c>
      <c r="BF43" s="14">
        <f t="shared" si="37"/>
        <v>42.098218509199661</v>
      </c>
      <c r="BG43" s="22">
        <f t="shared" si="7"/>
        <v>361.70344390352261</v>
      </c>
      <c r="BH43" s="62">
        <f t="shared" si="8"/>
        <v>655.03677723685587</v>
      </c>
      <c r="BI43" s="62">
        <f ca="1">AVERAGE(OFFSET($BH$3,0,0,'Données projet'!$E$11+1,1))-AVERAGE(OFFSET($H$3,0,0,'Données projet'!$E$11+1,1))</f>
        <v>245.09257882574383</v>
      </c>
      <c r="BJ43" s="62">
        <f t="shared" si="38"/>
        <v>342.30266518164211</v>
      </c>
      <c r="BK43" s="16">
        <f>IF(ISNA(VLOOKUP(A43,'Données projet'!$A$87:$I$107,3,0)),0,VLOOKUP(A43,'Données projet'!$A$87:$I$107,3,0))</f>
        <v>7</v>
      </c>
      <c r="BL43" s="16">
        <f>IF(ISNA(VLOOKUP(A43,'Données projet'!$A$87:$I$107,4,0)),0,VLOOKUP(A43,'Données projet'!$A$87:$I$107,4,0))</f>
        <v>4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0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137</v>
      </c>
      <c r="BW43" s="13">
        <f>VLOOKUP(A43,'Données projet'!$A$113:$I$133,9,0)</f>
        <v>8.4</v>
      </c>
      <c r="BX43" s="13">
        <f t="array" ref="BX43">INDEX(BW:BW,MIN(IF(ISNUMBER(BW43:BW239),ROW(BW43:BW239),"")))</f>
        <v>8.4</v>
      </c>
      <c r="BY43" s="13">
        <f>IF('Données projet'!$A$114&gt;35,BY42+BX43-CG42,IF(A43&lt;'Données projet'!$A$114,$BV$205^A43,IF(A43='Données projet'!$A$114,'Données projet'!$B$114,BY42+BX43-CG42)))</f>
        <v>137.00000000000003</v>
      </c>
      <c r="BZ43" s="14">
        <f>BY43*VLOOKUP('Données projet'!$B$12,Paramètres!$A$1:$I$89,3,0)*VLOOKUP('Données projet'!$B$12,Paramètres!$A$1:$I$89,5,0)</f>
        <v>123.95760000000001</v>
      </c>
      <c r="CA43" s="14">
        <f t="shared" si="39"/>
        <v>32.59629414926458</v>
      </c>
      <c r="CB43" s="22">
        <f t="shared" si="10"/>
        <v>272.6646989766358</v>
      </c>
      <c r="CC43" s="62">
        <f t="shared" si="11"/>
        <v>565.99803230996918</v>
      </c>
      <c r="CD43" s="62">
        <f ca="1">AVERAGE(OFFSET($CC$3,0,0,'Données projet'!$E$12+1,1))-AVERAGE(OFFSET($H$3,0,0,'Données projet'!$E$12+1,1))</f>
        <v>429.54141820799617</v>
      </c>
      <c r="CE43" s="62">
        <f t="shared" si="40"/>
        <v>231.36959598460686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0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3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8.4</v>
      </c>
      <c r="N44" s="14">
        <f>IF('Données projet'!$A$36&gt;35,N43+M44-V43,IF(A44&lt;'Données projet'!$A$36,$K$205^A44,IF(A44='Données projet'!$A$36,'Données projet'!$B$36,N43+M44-V43)))</f>
        <v>145.40000000000003</v>
      </c>
      <c r="O44" s="14">
        <f>N44*VLOOKUP('Données projet'!$B$9,Paramètres!$A$1:$I$89,3,0)*VLOOKUP('Données projet'!$B$9,Paramètres!$A$1:$I$89,5,0)</f>
        <v>147.43560000000002</v>
      </c>
      <c r="P44" s="14">
        <f t="shared" si="33"/>
        <v>37.99523294834102</v>
      </c>
      <c r="Q44" s="22">
        <f t="shared" si="53"/>
        <v>322.95870071836066</v>
      </c>
      <c r="R44" s="62">
        <f t="shared" si="0"/>
        <v>616.29203405169392</v>
      </c>
      <c r="S44" s="62">
        <f ca="1">AVERAGE(OFFSET($R$3,0,0,'Données projet'!$E$9+1,1))-AVERAGE(OFFSET($H$3,0,0,'Données projet'!$E$9+1,1))</f>
        <v>476.25344680259701</v>
      </c>
      <c r="T44" s="62">
        <f t="shared" si="34"/>
        <v>254.25036207346591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6.2820512820512819</v>
      </c>
      <c r="AI44" s="14">
        <f>IF('Données projet'!$A$62&gt;35,AI43+AH44-AQ43,IF(A44&lt;'Données projet'!$A$62,$AF$205^A44,IF(A44='Données projet'!$A$62,'Données projet'!$B$62,AI43+AH44-AQ43)))</f>
        <v>147.94871794871796</v>
      </c>
      <c r="AJ44" s="14">
        <f>AI44*VLOOKUP('Données projet'!$B$10,Paramètres!$A$1:$I$89,3,0)*VLOOKUP('Données projet'!$B$10,Paramètres!$A$1:$I$89,5,0)</f>
        <v>154.63600000000002</v>
      </c>
      <c r="AK44" s="14">
        <f t="shared" si="35"/>
        <v>39.630259615196607</v>
      </c>
      <c r="AL44" s="22">
        <f t="shared" si="4"/>
        <v>338.34706882980078</v>
      </c>
      <c r="AM44" s="62">
        <f t="shared" si="5"/>
        <v>631.68040216313409</v>
      </c>
      <c r="AN44" s="62">
        <f ca="1">AVERAGE(OFFSET($AM$3,0,0,'Données projet'!$E$10+1,1))-AVERAGE(OFFSET($H$3,0,0,'Données projet'!$E$10+1,1))</f>
        <v>493.70175665335978</v>
      </c>
      <c r="AO44" s="62">
        <f t="shared" si="36"/>
        <v>325.12357781685949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3.8</v>
      </c>
      <c r="BD44" s="13">
        <f>IF('Données projet'!$A$88&gt;35,BD43+BC44-BL43,IF(A44&lt;'Données projet'!$A$88,$BA$205^A44,IF(A44='Données projet'!$A$88,'Données projet'!$B$88,BD43+BC44-BL43)))</f>
        <v>182.79999999999995</v>
      </c>
      <c r="BE44" s="14">
        <f>BD44*VLOOKUP('Données projet'!$B$11,Paramètres!$A$1:$I$89,3,0)*VLOOKUP('Données projet'!$B$11,Paramètres!$A$1:$I$89,5,0)</f>
        <v>165.39743999999996</v>
      </c>
      <c r="BF44" s="14">
        <f t="shared" si="37"/>
        <v>42.057562385840804</v>
      </c>
      <c r="BG44" s="22">
        <f t="shared" si="7"/>
        <v>361.31746248867267</v>
      </c>
      <c r="BH44" s="62">
        <f t="shared" si="8"/>
        <v>654.65079582200599</v>
      </c>
      <c r="BI44" s="62">
        <f ca="1">AVERAGE(OFFSET($BH$3,0,0,'Données projet'!$E$11+1,1))-AVERAGE(OFFSET($H$3,0,0,'Données projet'!$E$11+1,1))</f>
        <v>245.09257882574383</v>
      </c>
      <c r="BJ44" s="62">
        <f t="shared" si="38"/>
        <v>342.30266518164211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0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8.4</v>
      </c>
      <c r="BY44" s="13">
        <f>IF('Données projet'!$A$114&gt;35,BY43+BX44-CG43,IF(A44&lt;'Données projet'!$A$114,$BV$205^A44,IF(A44='Données projet'!$A$114,'Données projet'!$B$114,BY43+BX44-CG43)))</f>
        <v>145.40000000000003</v>
      </c>
      <c r="BZ44" s="14">
        <f>BY44*VLOOKUP('Données projet'!$B$12,Paramètres!$A$1:$I$89,3,0)*VLOOKUP('Données projet'!$B$12,Paramètres!$A$1:$I$89,5,0)</f>
        <v>131.55792000000002</v>
      </c>
      <c r="CA44" s="14">
        <f t="shared" si="39"/>
        <v>34.3560989338864</v>
      </c>
      <c r="CB44" s="22">
        <f t="shared" si="10"/>
        <v>288.96691630985219</v>
      </c>
      <c r="CC44" s="62">
        <f t="shared" si="11"/>
        <v>582.30024964318545</v>
      </c>
      <c r="CD44" s="62">
        <f ca="1">AVERAGE(OFFSET($CC$3,0,0,'Données projet'!$E$12+1,1))-AVERAGE(OFFSET($H$3,0,0,'Données projet'!$E$12+1,1))</f>
        <v>429.54141820799617</v>
      </c>
      <c r="CE44" s="62">
        <f t="shared" si="40"/>
        <v>231.36959598460686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0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3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8.4</v>
      </c>
      <c r="N45" s="14">
        <f>IF('Données projet'!$A$36&gt;35,N44+M45-V44,IF(A45&lt;'Données projet'!$A$36,$K$205^A45,IF(A45='Données projet'!$A$36,'Données projet'!$B$36,N44+M45-V44)))</f>
        <v>153.80000000000004</v>
      </c>
      <c r="O45" s="14">
        <f>N45*VLOOKUP('Données projet'!$B$9,Paramètres!$A$1:$I$89,3,0)*VLOOKUP('Données projet'!$B$9,Paramètres!$A$1:$I$89,5,0)</f>
        <v>155.95320000000004</v>
      </c>
      <c r="P45" s="14">
        <f t="shared" si="33"/>
        <v>39.928391937903875</v>
      </c>
      <c r="Q45" s="22">
        <f t="shared" si="53"/>
        <v>341.16043929184929</v>
      </c>
      <c r="R45" s="62">
        <f t="shared" si="0"/>
        <v>634.4937726251826</v>
      </c>
      <c r="S45" s="62">
        <f ca="1">AVERAGE(OFFSET($R$3,0,0,'Données projet'!$E$9+1,1))-AVERAGE(OFFSET($H$3,0,0,'Données projet'!$E$9+1,1))</f>
        <v>476.25344680259701</v>
      </c>
      <c r="T45" s="62">
        <f t="shared" si="34"/>
        <v>254.25036207346591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6.2820512820512819</v>
      </c>
      <c r="AI45" s="14">
        <f>IF('Données projet'!$A$62&gt;35,AI44+AH45-AQ44,IF(A45&lt;'Données projet'!$A$62,$AF$205^A45,IF(A45='Données projet'!$A$62,'Données projet'!$B$62,AI44+AH45-AQ44)))</f>
        <v>154.23076923076923</v>
      </c>
      <c r="AJ45" s="14">
        <f>AI45*VLOOKUP('Données projet'!$B$10,Paramètres!$A$1:$I$89,3,0)*VLOOKUP('Données projet'!$B$10,Paramètres!$A$1:$I$89,5,0)</f>
        <v>161.20200000000003</v>
      </c>
      <c r="AK45" s="14">
        <f t="shared" si="35"/>
        <v>41.113511653265036</v>
      </c>
      <c r="AL45" s="22">
        <f t="shared" si="4"/>
        <v>352.36618279610326</v>
      </c>
      <c r="AM45" s="62">
        <f t="shared" si="5"/>
        <v>645.69951612943657</v>
      </c>
      <c r="AN45" s="62">
        <f ca="1">AVERAGE(OFFSET($AM$3,0,0,'Données projet'!$E$10+1,1))-AVERAGE(OFFSET($H$3,0,0,'Données projet'!$E$10+1,1))</f>
        <v>493.70175665335978</v>
      </c>
      <c r="AO45" s="62">
        <f t="shared" si="36"/>
        <v>325.12357781685949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3.8</v>
      </c>
      <c r="BD45" s="13">
        <f>IF('Données projet'!$A$88&gt;35,BD44+BC45-BL44,IF(A45&lt;'Données projet'!$A$88,$BA$205^A45,IF(A45='Données projet'!$A$88,'Données projet'!$B$88,BD44+BC45-BL44)))</f>
        <v>186.59999999999997</v>
      </c>
      <c r="BE45" s="14">
        <f>BD45*VLOOKUP('Données projet'!$B$11,Paramètres!$A$1:$I$89,3,0)*VLOOKUP('Données projet'!$B$11,Paramètres!$A$1:$I$89,5,0)</f>
        <v>168.83567999999994</v>
      </c>
      <c r="BF45" s="14">
        <f t="shared" si="37"/>
        <v>42.829150426593394</v>
      </c>
      <c r="BG45" s="22">
        <f t="shared" si="7"/>
        <v>368.64957965965004</v>
      </c>
      <c r="BH45" s="62">
        <f t="shared" si="8"/>
        <v>661.9829129929833</v>
      </c>
      <c r="BI45" s="62">
        <f ca="1">AVERAGE(OFFSET($BH$3,0,0,'Données projet'!$E$11+1,1))-AVERAGE(OFFSET($H$3,0,0,'Données projet'!$E$11+1,1))</f>
        <v>245.09257882574383</v>
      </c>
      <c r="BJ45" s="62">
        <f t="shared" si="38"/>
        <v>342.30266518164211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0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8.4</v>
      </c>
      <c r="BY45" s="13">
        <f>IF('Données projet'!$A$114&gt;35,BY44+BX45-CG44,IF(A45&lt;'Données projet'!$A$114,$BV$205^A45,IF(A45='Données projet'!$A$114,'Données projet'!$B$114,BY44+BX45-CG44)))</f>
        <v>153.80000000000004</v>
      </c>
      <c r="BZ45" s="14">
        <f>BY45*VLOOKUP('Données projet'!$B$12,Paramètres!$A$1:$I$89,3,0)*VLOOKUP('Données projet'!$B$12,Paramètres!$A$1:$I$89,5,0)</f>
        <v>139.15824000000003</v>
      </c>
      <c r="CA45" s="14">
        <f t="shared" si="39"/>
        <v>36.104102468715482</v>
      </c>
      <c r="CB45" s="22">
        <f t="shared" si="10"/>
        <v>305.24857979967953</v>
      </c>
      <c r="CC45" s="62">
        <f t="shared" si="11"/>
        <v>598.5819131330129</v>
      </c>
      <c r="CD45" s="62">
        <f ca="1">AVERAGE(OFFSET($CC$3,0,0,'Données projet'!$E$12+1,1))-AVERAGE(OFFSET($H$3,0,0,'Données projet'!$E$12+1,1))</f>
        <v>429.54141820799617</v>
      </c>
      <c r="CE45" s="62">
        <f t="shared" si="40"/>
        <v>231.36959598460686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0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0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3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8.4</v>
      </c>
      <c r="N46" s="14">
        <f>IF('Données projet'!$A$36&gt;35,N45+M46-V45,IF(A46&lt;'Données projet'!$A$36,$K$205^A46,IF(A46='Données projet'!$A$36,'Données projet'!$B$36,N45+M46-V45)))</f>
        <v>162.20000000000005</v>
      </c>
      <c r="O46" s="14">
        <f>N46*VLOOKUP('Données projet'!$B$9,Paramètres!$A$1:$I$89,3,0)*VLOOKUP('Données projet'!$B$9,Paramètres!$A$1:$I$89,5,0)</f>
        <v>164.47080000000005</v>
      </c>
      <c r="P46" s="14">
        <f t="shared" si="33"/>
        <v>41.849293714451377</v>
      </c>
      <c r="Q46" s="22">
        <f t="shared" si="53"/>
        <v>359.34082988600289</v>
      </c>
      <c r="R46" s="62">
        <f t="shared" si="0"/>
        <v>652.67416321933615</v>
      </c>
      <c r="S46" s="62">
        <f ca="1">AVERAGE(OFFSET($R$3,0,0,'Données projet'!$E$9+1,1))-AVERAGE(OFFSET($H$3,0,0,'Données projet'!$E$9+1,1))</f>
        <v>476.25344680259701</v>
      </c>
      <c r="T46" s="62">
        <f t="shared" si="34"/>
        <v>254.25036207346591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6.2820512820512819</v>
      </c>
      <c r="AI46" s="14">
        <f>IF('Données projet'!$A$62&gt;35,AI45+AH46-AQ45,IF(A46&lt;'Données projet'!$A$62,$AF$205^A46,IF(A46='Données projet'!$A$62,'Données projet'!$B$62,AI45+AH46-AQ45)))</f>
        <v>160.5128205128205</v>
      </c>
      <c r="AJ46" s="14">
        <f>AI46*VLOOKUP('Données projet'!$B$10,Paramètres!$A$1:$I$89,3,0)*VLOOKUP('Données projet'!$B$10,Paramètres!$A$1:$I$89,5,0)</f>
        <v>167.768</v>
      </c>
      <c r="AK46" s="14">
        <f t="shared" si="35"/>
        <v>42.589745970134487</v>
      </c>
      <c r="AL46" s="22">
        <f t="shared" si="4"/>
        <v>366.37307423131756</v>
      </c>
      <c r="AM46" s="62">
        <f t="shared" si="5"/>
        <v>659.70640756465082</v>
      </c>
      <c r="AN46" s="62">
        <f ca="1">AVERAGE(OFFSET($AM$3,0,0,'Données projet'!$E$10+1,1))-AVERAGE(OFFSET($H$3,0,0,'Données projet'!$E$10+1,1))</f>
        <v>493.70175665335978</v>
      </c>
      <c r="AO46" s="62">
        <f t="shared" si="36"/>
        <v>325.12357781685949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3.8</v>
      </c>
      <c r="BD46" s="13">
        <f>IF('Données projet'!$A$88&gt;35,BD45+BC46-BL45,IF(A46&lt;'Données projet'!$A$88,$BA$205^A46,IF(A46='Données projet'!$A$88,'Données projet'!$B$88,BD45+BC46-BL45)))</f>
        <v>190.39999999999998</v>
      </c>
      <c r="BE46" s="14">
        <f>BD46*VLOOKUP('Données projet'!$B$11,Paramètres!$A$1:$I$89,3,0)*VLOOKUP('Données projet'!$B$11,Paramètres!$A$1:$I$89,5,0)</f>
        <v>172.27391999999998</v>
      </c>
      <c r="BF46" s="14">
        <f t="shared" si="37"/>
        <v>43.598911513699605</v>
      </c>
      <c r="BG46" s="22">
        <f t="shared" si="7"/>
        <v>375.97851488636002</v>
      </c>
      <c r="BH46" s="62">
        <f t="shared" si="8"/>
        <v>669.31184821969327</v>
      </c>
      <c r="BI46" s="62">
        <f ca="1">AVERAGE(OFFSET($BH$3,0,0,'Données projet'!$E$11+1,1))-AVERAGE(OFFSET($H$3,0,0,'Données projet'!$E$11+1,1))</f>
        <v>245.09257882574383</v>
      </c>
      <c r="BJ46" s="62">
        <f t="shared" si="38"/>
        <v>342.30266518164211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0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8.4</v>
      </c>
      <c r="BY46" s="13">
        <f>IF('Données projet'!$A$114&gt;35,BY45+BX46-CG45,IF(A46&lt;'Données projet'!$A$114,$BV$205^A46,IF(A46='Données projet'!$A$114,'Données projet'!$B$114,BY45+BX46-CG45)))</f>
        <v>162.20000000000005</v>
      </c>
      <c r="BZ46" s="14">
        <f>BY46*VLOOKUP('Données projet'!$B$12,Paramètres!$A$1:$I$89,3,0)*VLOOKUP('Données projet'!$B$12,Paramètres!$A$1:$I$89,5,0)</f>
        <v>146.75856000000005</v>
      </c>
      <c r="CA46" s="14">
        <f t="shared" si="39"/>
        <v>37.841022770456242</v>
      </c>
      <c r="CB46" s="22">
        <f t="shared" si="10"/>
        <v>321.51093999187805</v>
      </c>
      <c r="CC46" s="62">
        <f t="shared" si="11"/>
        <v>614.84427332521136</v>
      </c>
      <c r="CD46" s="62">
        <f ca="1">AVERAGE(OFFSET($CC$3,0,0,'Données projet'!$E$12+1,1))-AVERAGE(OFFSET($H$3,0,0,'Données projet'!$E$12+1,1))</f>
        <v>429.54141820799617</v>
      </c>
      <c r="CE46" s="62">
        <f t="shared" si="40"/>
        <v>231.36959598460686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0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0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3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8.4</v>
      </c>
      <c r="N47" s="14">
        <f>IF('Données projet'!$A$36&gt;35,N46+M47-V46,IF(A47&lt;'Données projet'!$A$36,$K$205^A47,IF(A47='Données projet'!$A$36,'Données projet'!$B$36,N46+M47-V46)))</f>
        <v>170.60000000000005</v>
      </c>
      <c r="O47" s="14">
        <f>N47*VLOOKUP('Données projet'!$B$9,Paramètres!$A$1:$I$89,3,0)*VLOOKUP('Données projet'!$B$9,Paramètres!$A$1:$I$89,5,0)</f>
        <v>172.98840000000007</v>
      </c>
      <c r="P47" s="14">
        <f t="shared" si="33"/>
        <v>43.758645457754092</v>
      </c>
      <c r="Q47" s="22">
        <f t="shared" si="53"/>
        <v>377.50110417225511</v>
      </c>
      <c r="R47" s="62">
        <f t="shared" si="0"/>
        <v>670.83443750558843</v>
      </c>
      <c r="S47" s="62">
        <f ca="1">AVERAGE(OFFSET($R$3,0,0,'Données projet'!$E$9+1,1))-AVERAGE(OFFSET($H$3,0,0,'Données projet'!$E$9+1,1))</f>
        <v>476.25344680259701</v>
      </c>
      <c r="T47" s="62">
        <f t="shared" si="34"/>
        <v>254.25036207346591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6.2820512820512819</v>
      </c>
      <c r="AI47" s="14">
        <f>IF('Données projet'!$A$62&gt;35,AI46+AH47-AQ46,IF(A47&lt;'Données projet'!$A$62,$AF$205^A47,IF(A47='Données projet'!$A$62,'Données projet'!$B$62,AI46+AH47-AQ46)))</f>
        <v>166.79487179487177</v>
      </c>
      <c r="AJ47" s="14">
        <f>AI47*VLOOKUP('Données projet'!$B$10,Paramètres!$A$1:$I$89,3,0)*VLOOKUP('Données projet'!$B$10,Paramètres!$A$1:$I$89,5,0)</f>
        <v>174.334</v>
      </c>
      <c r="AK47" s="14">
        <f t="shared" si="35"/>
        <v>44.059268652696204</v>
      </c>
      <c r="AL47" s="22">
        <f t="shared" si="4"/>
        <v>380.3682762367792</v>
      </c>
      <c r="AM47" s="62">
        <f t="shared" si="5"/>
        <v>673.70160957011251</v>
      </c>
      <c r="AN47" s="62">
        <f ca="1">AVERAGE(OFFSET($AM$3,0,0,'Données projet'!$E$10+1,1))-AVERAGE(OFFSET($H$3,0,0,'Données projet'!$E$10+1,1))</f>
        <v>493.70175665335978</v>
      </c>
      <c r="AO47" s="62">
        <f t="shared" si="36"/>
        <v>325.12357781685949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3.8</v>
      </c>
      <c r="BD47" s="13">
        <f>IF('Données projet'!$A$88&gt;35,BD46+BC47-BL46,IF(A47&lt;'Données projet'!$A$88,$BA$205^A47,IF(A47='Données projet'!$A$88,'Données projet'!$B$88,BD46+BC47-BL46)))</f>
        <v>194.2</v>
      </c>
      <c r="BE47" s="14">
        <f>BD47*VLOOKUP('Données projet'!$B$11,Paramètres!$A$1:$I$89,3,0)*VLOOKUP('Données projet'!$B$11,Paramètres!$A$1:$I$89,5,0)</f>
        <v>175.71215999999998</v>
      </c>
      <c r="BF47" s="14">
        <f t="shared" si="37"/>
        <v>44.366886311884528</v>
      </c>
      <c r="BG47" s="22">
        <f t="shared" si="7"/>
        <v>383.30433899319883</v>
      </c>
      <c r="BH47" s="62">
        <f t="shared" si="8"/>
        <v>676.63767232653208</v>
      </c>
      <c r="BI47" s="62">
        <f ca="1">AVERAGE(OFFSET($BH$3,0,0,'Données projet'!$E$11+1,1))-AVERAGE(OFFSET($H$3,0,0,'Données projet'!$E$11+1,1))</f>
        <v>245.09257882574383</v>
      </c>
      <c r="BJ47" s="62">
        <f t="shared" si="38"/>
        <v>342.30266518164211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0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8.4</v>
      </c>
      <c r="BY47" s="13">
        <f>IF('Données projet'!$A$114&gt;35,BY46+BX47-CG46,IF(A47&lt;'Données projet'!$A$114,$BV$205^A47,IF(A47='Données projet'!$A$114,'Données projet'!$B$114,BY46+BX47-CG46)))</f>
        <v>170.60000000000005</v>
      </c>
      <c r="BZ47" s="14">
        <f>BY47*VLOOKUP('Données projet'!$B$12,Paramètres!$A$1:$I$89,3,0)*VLOOKUP('Données projet'!$B$12,Paramètres!$A$1:$I$89,5,0)</f>
        <v>154.35888000000003</v>
      </c>
      <c r="CA47" s="14">
        <f t="shared" si="39"/>
        <v>39.567499286120309</v>
      </c>
      <c r="CB47" s="22">
        <f t="shared" si="10"/>
        <v>337.75511058999291</v>
      </c>
      <c r="CC47" s="62">
        <f t="shared" si="11"/>
        <v>631.08844392332617</v>
      </c>
      <c r="CD47" s="62">
        <f ca="1">AVERAGE(OFFSET($CC$3,0,0,'Données projet'!$E$12+1,1))-AVERAGE(OFFSET($H$3,0,0,'Données projet'!$E$12+1,1))</f>
        <v>429.54141820799617</v>
      </c>
      <c r="CE47" s="62">
        <f t="shared" si="40"/>
        <v>231.36959598460686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0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0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3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179</v>
      </c>
      <c r="L48" s="13">
        <f>VLOOKUP(A48,'Données projet'!$A$35:$I$55,9,0)</f>
        <v>8.4</v>
      </c>
      <c r="M48" s="13">
        <f t="array" ref="M48">INDEX(L:L,MIN(IF(ISNUMBER(L48:L244),ROW(L48:L244),"")))</f>
        <v>8.4</v>
      </c>
      <c r="N48" s="14">
        <f>IF('Données projet'!$A$36&gt;35,N47+M48-V47,IF(A48&lt;'Données projet'!$A$36,$K$205^A48,IF(A48='Données projet'!$A$36,'Données projet'!$B$36,N47+M48-V47)))</f>
        <v>179.00000000000006</v>
      </c>
      <c r="O48" s="14">
        <f>N48*VLOOKUP('Données projet'!$B$9,Paramètres!$A$1:$I$89,3,0)*VLOOKUP('Données projet'!$B$9,Paramètres!$A$1:$I$89,5,0)</f>
        <v>181.50600000000006</v>
      </c>
      <c r="P48" s="14">
        <f t="shared" si="33"/>
        <v>45.657080773122978</v>
      </c>
      <c r="Q48" s="22">
        <f t="shared" si="53"/>
        <v>395.64236567985591</v>
      </c>
      <c r="R48" s="62">
        <f t="shared" si="0"/>
        <v>688.97569901318923</v>
      </c>
      <c r="S48" s="62">
        <f ca="1">AVERAGE(OFFSET($R$3,0,0,'Données projet'!$E$9+1,1))-AVERAGE(OFFSET($H$3,0,0,'Données projet'!$E$9+1,1))</f>
        <v>476.25344680259701</v>
      </c>
      <c r="T48" s="62">
        <f t="shared" si="34"/>
        <v>254.25036207346591</v>
      </c>
      <c r="U48" s="16">
        <f>IF(ISNA(VLOOKUP(A48,'Données projet'!$A$35:$I$55,3,0)),0,VLOOKUP(A48,'Données projet'!$A$35:$I$55,3,0))</f>
        <v>3</v>
      </c>
      <c r="V48" s="16">
        <f>IF(ISNA(VLOOKUP(A48,'Données projet'!$A$35:$I$55,4,0)),0,VLOOKUP(A48,'Données projet'!$A$35:$I$55,4,0))</f>
        <v>42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173.07692307692307</v>
      </c>
      <c r="AG48" s="13">
        <f>VLOOKUP(A48,'Données projet'!$A$61:$I$81,9,0)</f>
        <v>6.2820512820512819</v>
      </c>
      <c r="AH48" s="13">
        <f t="array" ref="AH48">INDEX(AG:AG,MIN(IF(ISNUMBER(AG48:AG244),ROW(AG48:AG244),"")))</f>
        <v>6.2820512820512819</v>
      </c>
      <c r="AI48" s="14">
        <f>IF('Données projet'!$A$62&gt;35,AI47+AH48-AQ47,IF(A48&lt;'Données projet'!$A$62,$AF$205^A48,IF(A48='Données projet'!$A$62,'Données projet'!$B$62,AI47+AH48-AQ47)))</f>
        <v>173.07692307692304</v>
      </c>
      <c r="AJ48" s="14">
        <f>AI48*VLOOKUP('Données projet'!$B$10,Paramètres!$A$1:$I$89,3,0)*VLOOKUP('Données projet'!$B$10,Paramètres!$A$1:$I$89,5,0)</f>
        <v>180.89999999999998</v>
      </c>
      <c r="AK48" s="14">
        <f t="shared" si="35"/>
        <v>45.522361425254346</v>
      </c>
      <c r="AL48" s="22">
        <f t="shared" si="4"/>
        <v>394.35227948231795</v>
      </c>
      <c r="AM48" s="62">
        <f t="shared" si="5"/>
        <v>687.68561281565121</v>
      </c>
      <c r="AN48" s="62">
        <f ca="1">AVERAGE(OFFSET($AM$3,0,0,'Données projet'!$E$10+1,1))-AVERAGE(OFFSET($H$3,0,0,'Données projet'!$E$10+1,1))</f>
        <v>493.70175665335978</v>
      </c>
      <c r="AO48" s="62">
        <f t="shared" si="36"/>
        <v>325.12357781685949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198</v>
      </c>
      <c r="BB48" s="13">
        <f>VLOOKUP(A48,'Données projet'!$A$87:$I$107,9,0)</f>
        <v>3.8</v>
      </c>
      <c r="BC48" s="13">
        <f t="array" ref="BC48">INDEX(BB:BB,MIN(IF(ISNUMBER(BB48:BB244),ROW(BB48:BB244),"")))</f>
        <v>3.8</v>
      </c>
      <c r="BD48" s="13">
        <f>IF('Données projet'!$A$88&gt;35,BD47+BC48-BL47,IF(A48&lt;'Données projet'!$A$88,$BA$205^A48,IF(A48='Données projet'!$A$88,'Données projet'!$B$88,BD47+BC48-BL47)))</f>
        <v>198</v>
      </c>
      <c r="BE48" s="14">
        <f>BD48*VLOOKUP('Données projet'!$B$11,Paramètres!$A$1:$I$89,3,0)*VLOOKUP('Données projet'!$B$11,Paramètres!$A$1:$I$89,5,0)</f>
        <v>179.15039999999999</v>
      </c>
      <c r="BF48" s="14">
        <f t="shared" si="37"/>
        <v>45.133113803437304</v>
      </c>
      <c r="BG48" s="22">
        <f t="shared" si="7"/>
        <v>390.62711987431993</v>
      </c>
      <c r="BH48" s="62">
        <f t="shared" si="8"/>
        <v>683.96045320765325</v>
      </c>
      <c r="BI48" s="62">
        <f ca="1">AVERAGE(OFFSET($BH$3,0,0,'Données projet'!$E$11+1,1))-AVERAGE(OFFSET($H$3,0,0,'Données projet'!$E$11+1,1))</f>
        <v>245.09257882574383</v>
      </c>
      <c r="BJ48" s="62">
        <f t="shared" si="38"/>
        <v>342.30266518164211</v>
      </c>
      <c r="BK48" s="16">
        <f>IF(ISNA(VLOOKUP(A48,'Données projet'!$A$87:$I$107,3,0)),0,VLOOKUP(A48,'Données projet'!$A$87:$I$107,3,0))</f>
        <v>8</v>
      </c>
      <c r="BL48" s="16">
        <f>IF(ISNA(VLOOKUP(A48,'Données projet'!$A$87:$I$107,4,0)),0,VLOOKUP(A48,'Données projet'!$A$87:$I$107,4,0))</f>
        <v>198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0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>
        <f>VLOOKUP(A48,'Données projet'!$A$113:$I$133,2,0)</f>
        <v>179</v>
      </c>
      <c r="BW48" s="13">
        <f>VLOOKUP(A48,'Données projet'!$A$113:$I$133,9,0)</f>
        <v>8.4</v>
      </c>
      <c r="BX48" s="13">
        <f t="array" ref="BX48">INDEX(BW:BW,MIN(IF(ISNUMBER(BW48:BW244),ROW(BW48:BW244),"")))</f>
        <v>8.4</v>
      </c>
      <c r="BY48" s="13">
        <f>IF('Données projet'!$A$114&gt;35,BY47+BX48-CG47,IF(A48&lt;'Données projet'!$A$114,$BV$205^A48,IF(A48='Données projet'!$A$114,'Données projet'!$B$114,BY47+BX48-CG47)))</f>
        <v>179.00000000000006</v>
      </c>
      <c r="BZ48" s="14">
        <f>BY48*VLOOKUP('Données projet'!$B$12,Paramètres!$A$1:$I$89,3,0)*VLOOKUP('Données projet'!$B$12,Paramètres!$A$1:$I$89,5,0)</f>
        <v>161.95920000000004</v>
      </c>
      <c r="CA48" s="14">
        <f t="shared" si="39"/>
        <v>41.284104935125725</v>
      </c>
      <c r="CB48" s="22">
        <f t="shared" si="10"/>
        <v>353.9820894286774</v>
      </c>
      <c r="CC48" s="62">
        <f t="shared" si="11"/>
        <v>647.31542276201071</v>
      </c>
      <c r="CD48" s="62">
        <f ca="1">AVERAGE(OFFSET($CC$3,0,0,'Données projet'!$E$12+1,1))-AVERAGE(OFFSET($H$3,0,0,'Données projet'!$E$12+1,1))</f>
        <v>429.54141820799617</v>
      </c>
      <c r="CE48" s="62">
        <f t="shared" si="40"/>
        <v>231.36959598460686</v>
      </c>
      <c r="CF48" s="16">
        <f>IF(ISNA(VLOOKUP(A48,'Données projet'!$A$113:$I$133,3,0)),0,VLOOKUP(A48,'Données projet'!$A$113:$I$133,3,0))</f>
        <v>3</v>
      </c>
      <c r="CG48" s="16">
        <f>IF(ISNA(VLOOKUP(A48,'Données projet'!$A$113:$I$133,4,0)),0,VLOOKUP(A48,'Données projet'!$A$113:$I$133,4,0))</f>
        <v>42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0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0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3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8.1999999999999993</v>
      </c>
      <c r="N49" s="14">
        <f>IF('Données projet'!$A$36&gt;35,N48+M49-V48,IF(A49&lt;'Données projet'!$A$36,$K$205^A49,IF(A49='Données projet'!$A$36,'Données projet'!$B$36,N48+M49-V48)))</f>
        <v>145.20000000000005</v>
      </c>
      <c r="O49" s="14">
        <f>N49*VLOOKUP('Données projet'!$B$9,Paramètres!$A$1:$I$89,3,0)*VLOOKUP('Données projet'!$B$9,Paramètres!$A$1:$I$89,5,0)</f>
        <v>147.23280000000005</v>
      </c>
      <c r="P49" s="14">
        <f t="shared" si="33"/>
        <v>37.949049623906205</v>
      </c>
      <c r="Q49" s="22">
        <f t="shared" si="53"/>
        <v>322.52505476163668</v>
      </c>
      <c r="R49" s="62">
        <f t="shared" si="0"/>
        <v>615.85838809497</v>
      </c>
      <c r="S49" s="62">
        <f ca="1">AVERAGE(OFFSET($R$3,0,0,'Données projet'!$E$9+1,1))-AVERAGE(OFFSET($H$3,0,0,'Données projet'!$E$9+1,1))</f>
        <v>476.25344680259701</v>
      </c>
      <c r="T49" s="62">
        <f t="shared" si="34"/>
        <v>254.25036207346591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6.0256410256410273</v>
      </c>
      <c r="AI49" s="14">
        <f>IF('Données projet'!$A$62&gt;35,AI48+AH49-AQ48,IF(A49&lt;'Données projet'!$A$62,$AF$205^A49,IF(A49='Données projet'!$A$62,'Données projet'!$B$62,AI48+AH49-AQ48)))</f>
        <v>179.10256410256406</v>
      </c>
      <c r="AJ49" s="14">
        <f>AI49*VLOOKUP('Données projet'!$B$10,Paramètres!$A$1:$I$89,3,0)*VLOOKUP('Données projet'!$B$10,Paramètres!$A$1:$I$89,5,0)</f>
        <v>187.19799999999998</v>
      </c>
      <c r="AK49" s="14">
        <f t="shared" si="35"/>
        <v>46.919935793880072</v>
      </c>
      <c r="AL49" s="22">
        <f t="shared" si="4"/>
        <v>407.75540484100776</v>
      </c>
      <c r="AM49" s="62">
        <f t="shared" si="5"/>
        <v>701.08873817434107</v>
      </c>
      <c r="AN49" s="62">
        <f ca="1">AVERAGE(OFFSET($AM$3,0,0,'Données projet'!$E$10+1,1))-AVERAGE(OFFSET($H$3,0,0,'Données projet'!$E$10+1,1))</f>
        <v>493.70175665335978</v>
      </c>
      <c r="AO49" s="62">
        <f t="shared" si="36"/>
        <v>325.12357781685949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>
        <f>BD49*VLOOKUP('Données projet'!$B$11,Paramètres!$A$1:$I$89,3,0)*VLOOKUP('Données projet'!$B$11,Paramètres!$A$1:$I$89,5,0)</f>
        <v>0</v>
      </c>
      <c r="BF49" s="14" t="e">
        <f t="shared" si="37"/>
        <v>#NUM!</v>
      </c>
      <c r="BG49" s="22" t="e">
        <f t="shared" si="7"/>
        <v>#NUM!</v>
      </c>
      <c r="BH49" s="62" t="e">
        <f t="shared" si="8"/>
        <v>#NUM!</v>
      </c>
      <c r="BI49" s="62">
        <f ca="1">AVERAGE(OFFSET($BH$3,0,0,'Données projet'!$E$11+1,1))-AVERAGE(OFFSET($H$3,0,0,'Données projet'!$E$11+1,1))</f>
        <v>245.09257882574383</v>
      </c>
      <c r="BJ49" s="62">
        <f t="shared" si="38"/>
        <v>342.30266518164211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0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8.1999999999999993</v>
      </c>
      <c r="BY49" s="13">
        <f>IF('Données projet'!$A$114&gt;35,BY48+BX49-CG48,IF(A49&lt;'Données projet'!$A$114,$BV$205^A49,IF(A49='Données projet'!$A$114,'Données projet'!$B$114,BY48+BX49-CG48)))</f>
        <v>145.20000000000005</v>
      </c>
      <c r="BZ49" s="14">
        <f>BY49*VLOOKUP('Données projet'!$B$12,Paramètres!$A$1:$I$89,3,0)*VLOOKUP('Données projet'!$B$12,Paramètres!$A$1:$I$89,5,0)</f>
        <v>131.37696000000003</v>
      </c>
      <c r="CA49" s="14">
        <f t="shared" si="39"/>
        <v>34.314338988223334</v>
      </c>
      <c r="CB49" s="22">
        <f t="shared" si="10"/>
        <v>288.57901240448905</v>
      </c>
      <c r="CC49" s="62">
        <f t="shared" si="11"/>
        <v>581.91234573782231</v>
      </c>
      <c r="CD49" s="62">
        <f ca="1">AVERAGE(OFFSET($CC$3,0,0,'Données projet'!$E$12+1,1))-AVERAGE(OFFSET($H$3,0,0,'Données projet'!$E$12+1,1))</f>
        <v>429.54141820799617</v>
      </c>
      <c r="CE49" s="62">
        <f t="shared" si="40"/>
        <v>231.36959598460686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0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0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3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8.1999999999999993</v>
      </c>
      <c r="N50" s="14">
        <f>IF('Données projet'!$A$36&gt;35,N49+M50-V49,IF(A50&lt;'Données projet'!$A$36,$K$205^A50,IF(A50='Données projet'!$A$36,'Données projet'!$B$36,N49+M50-V49)))</f>
        <v>153.40000000000003</v>
      </c>
      <c r="O50" s="14">
        <f>N50*VLOOKUP('Données projet'!$B$9,Paramètres!$A$1:$I$89,3,0)*VLOOKUP('Données projet'!$B$9,Paramètres!$A$1:$I$89,5,0)</f>
        <v>155.54760000000005</v>
      </c>
      <c r="P50" s="14">
        <f t="shared" si="33"/>
        <v>39.836620617816237</v>
      </c>
      <c r="Q50" s="22">
        <f t="shared" si="53"/>
        <v>340.29418424269664</v>
      </c>
      <c r="R50" s="62">
        <f t="shared" si="0"/>
        <v>633.62751757602996</v>
      </c>
      <c r="S50" s="62">
        <f ca="1">AVERAGE(OFFSET($R$3,0,0,'Données projet'!$E$9+1,1))-AVERAGE(OFFSET($H$3,0,0,'Données projet'!$E$9+1,1))</f>
        <v>476.25344680259701</v>
      </c>
      <c r="T50" s="62">
        <f t="shared" si="34"/>
        <v>254.25036207346591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6.0256410256410273</v>
      </c>
      <c r="AI50" s="14">
        <f>IF('Données projet'!$A$62&gt;35,AI49+AH50-AQ49,IF(A50&lt;'Données projet'!$A$62,$AF$205^A50,IF(A50='Données projet'!$A$62,'Données projet'!$B$62,AI49+AH50-AQ49)))</f>
        <v>185.12820512820508</v>
      </c>
      <c r="AJ50" s="14">
        <f>AI50*VLOOKUP('Données projet'!$B$10,Paramètres!$A$1:$I$89,3,0)*VLOOKUP('Données projet'!$B$10,Paramètres!$A$1:$I$89,5,0)</f>
        <v>193.49599999999998</v>
      </c>
      <c r="AK50" s="14">
        <f t="shared" si="35"/>
        <v>48.312046726948296</v>
      </c>
      <c r="AL50" s="22">
        <f t="shared" si="4"/>
        <v>421.14901471610159</v>
      </c>
      <c r="AM50" s="62">
        <f t="shared" si="5"/>
        <v>714.4823480494349</v>
      </c>
      <c r="AN50" s="62">
        <f ca="1">AVERAGE(OFFSET($AM$3,0,0,'Données projet'!$E$10+1,1))-AVERAGE(OFFSET($H$3,0,0,'Données projet'!$E$10+1,1))</f>
        <v>493.70175665335978</v>
      </c>
      <c r="AO50" s="62">
        <f t="shared" si="36"/>
        <v>325.12357781685949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>
        <f>BD50*VLOOKUP('Données projet'!$B$11,Paramètres!$A$1:$I$89,3,0)*VLOOKUP('Données projet'!$B$11,Paramètres!$A$1:$I$89,5,0)</f>
        <v>0</v>
      </c>
      <c r="BF50" s="14" t="e">
        <f t="shared" si="37"/>
        <v>#NUM!</v>
      </c>
      <c r="BG50" s="22" t="e">
        <f t="shared" si="7"/>
        <v>#NUM!</v>
      </c>
      <c r="BH50" s="62" t="e">
        <f t="shared" si="8"/>
        <v>#NUM!</v>
      </c>
      <c r="BI50" s="62">
        <f ca="1">AVERAGE(OFFSET($BH$3,0,0,'Données projet'!$E$11+1,1))-AVERAGE(OFFSET($H$3,0,0,'Données projet'!$E$11+1,1))</f>
        <v>245.09257882574383</v>
      </c>
      <c r="BJ50" s="62">
        <f t="shared" si="38"/>
        <v>342.30266518164211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0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8.1999999999999993</v>
      </c>
      <c r="BY50" s="13">
        <f>IF('Données projet'!$A$114&gt;35,BY49+BX50-CG49,IF(A50&lt;'Données projet'!$A$114,$BV$205^A50,IF(A50='Données projet'!$A$114,'Données projet'!$B$114,BY49+BX50-CG49)))</f>
        <v>153.40000000000003</v>
      </c>
      <c r="BZ50" s="14">
        <f>BY50*VLOOKUP('Données projet'!$B$12,Paramètres!$A$1:$I$89,3,0)*VLOOKUP('Données projet'!$B$12,Paramètres!$A$1:$I$89,5,0)</f>
        <v>138.79632000000001</v>
      </c>
      <c r="CA50" s="14">
        <f t="shared" si="39"/>
        <v>36.021120886354588</v>
      </c>
      <c r="CB50" s="22">
        <f t="shared" si="10"/>
        <v>304.47370954373423</v>
      </c>
      <c r="CC50" s="62">
        <f t="shared" si="11"/>
        <v>597.80704287706749</v>
      </c>
      <c r="CD50" s="62">
        <f ca="1">AVERAGE(OFFSET($CC$3,0,0,'Données projet'!$E$12+1,1))-AVERAGE(OFFSET($H$3,0,0,'Données projet'!$E$12+1,1))</f>
        <v>429.54141820799617</v>
      </c>
      <c r="CE50" s="62">
        <f t="shared" si="40"/>
        <v>231.36959598460686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0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0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3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8.1999999999999993</v>
      </c>
      <c r="N51" s="14">
        <f>IF('Données projet'!$A$36&gt;35,N50+M51-V50,IF(A51&lt;'Données projet'!$A$36,$K$205^A51,IF(A51='Données projet'!$A$36,'Données projet'!$B$36,N50+M51-V50)))</f>
        <v>161.60000000000002</v>
      </c>
      <c r="O51" s="14">
        <f>N51*VLOOKUP('Données projet'!$B$9,Paramètres!$A$1:$I$89,3,0)*VLOOKUP('Données projet'!$B$9,Paramètres!$A$1:$I$89,5,0)</f>
        <v>163.86240000000004</v>
      </c>
      <c r="P51" s="14">
        <f t="shared" si="33"/>
        <v>41.712477409029084</v>
      </c>
      <c r="Q51" s="22">
        <f t="shared" si="53"/>
        <v>358.0429114873923</v>
      </c>
      <c r="R51" s="62">
        <f t="shared" si="0"/>
        <v>651.37624482072556</v>
      </c>
      <c r="S51" s="62">
        <f ca="1">AVERAGE(OFFSET($R$3,0,0,'Données projet'!$E$9+1,1))-AVERAGE(OFFSET($H$3,0,0,'Données projet'!$E$9+1,1))</f>
        <v>476.25344680259701</v>
      </c>
      <c r="T51" s="62">
        <f t="shared" si="34"/>
        <v>254.25036207346591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6.0256410256410273</v>
      </c>
      <c r="AI51" s="14">
        <f>IF('Données projet'!$A$62&gt;35,AI50+AH51-AQ50,IF(A51&lt;'Données projet'!$A$62,$AF$205^A51,IF(A51='Données projet'!$A$62,'Données projet'!$B$62,AI50+AH51-AQ50)))</f>
        <v>191.1538461538461</v>
      </c>
      <c r="AJ51" s="14">
        <f>AI51*VLOOKUP('Données projet'!$B$10,Paramètres!$A$1:$I$89,3,0)*VLOOKUP('Données projet'!$B$10,Paramètres!$A$1:$I$89,5,0)</f>
        <v>199.79399999999995</v>
      </c>
      <c r="AK51" s="14">
        <f t="shared" si="35"/>
        <v>49.698892445432982</v>
      </c>
      <c r="AL51" s="22">
        <f t="shared" si="4"/>
        <v>434.53345434246239</v>
      </c>
      <c r="AM51" s="62">
        <f t="shared" si="5"/>
        <v>727.86678767579565</v>
      </c>
      <c r="AN51" s="62">
        <f ca="1">AVERAGE(OFFSET($AM$3,0,0,'Données projet'!$E$10+1,1))-AVERAGE(OFFSET($H$3,0,0,'Données projet'!$E$10+1,1))</f>
        <v>493.70175665335978</v>
      </c>
      <c r="AO51" s="62">
        <f t="shared" si="36"/>
        <v>325.12357781685949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>
        <f>BD51*VLOOKUP('Données projet'!$B$11,Paramètres!$A$1:$I$89,3,0)*VLOOKUP('Données projet'!$B$11,Paramètres!$A$1:$I$89,5,0)</f>
        <v>0</v>
      </c>
      <c r="BF51" s="14" t="e">
        <f t="shared" si="37"/>
        <v>#NUM!</v>
      </c>
      <c r="BG51" s="22" t="e">
        <f t="shared" si="7"/>
        <v>#NUM!</v>
      </c>
      <c r="BH51" s="62" t="e">
        <f t="shared" si="8"/>
        <v>#NUM!</v>
      </c>
      <c r="BI51" s="62">
        <f ca="1">AVERAGE(OFFSET($BH$3,0,0,'Données projet'!$E$11+1,1))-AVERAGE(OFFSET($H$3,0,0,'Données projet'!$E$11+1,1))</f>
        <v>245.09257882574383</v>
      </c>
      <c r="BJ51" s="62">
        <f t="shared" si="38"/>
        <v>342.30266518164211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0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8.1999999999999993</v>
      </c>
      <c r="BY51" s="13">
        <f>IF('Données projet'!$A$114&gt;35,BY50+BX51-CG50,IF(A51&lt;'Données projet'!$A$114,$BV$205^A51,IF(A51='Données projet'!$A$114,'Données projet'!$B$114,BY50+BX51-CG50)))</f>
        <v>161.60000000000002</v>
      </c>
      <c r="BZ51" s="14">
        <f>BY51*VLOOKUP('Données projet'!$B$12,Paramètres!$A$1:$I$89,3,0)*VLOOKUP('Données projet'!$B$12,Paramètres!$A$1:$I$89,5,0)</f>
        <v>146.21568000000002</v>
      </c>
      <c r="CA51" s="14">
        <f t="shared" si="39"/>
        <v>37.717310552893402</v>
      </c>
      <c r="CB51" s="22">
        <f t="shared" si="10"/>
        <v>320.34995854628937</v>
      </c>
      <c r="CC51" s="62">
        <f t="shared" si="11"/>
        <v>613.68329187962263</v>
      </c>
      <c r="CD51" s="62">
        <f ca="1">AVERAGE(OFFSET($CC$3,0,0,'Données projet'!$E$12+1,1))-AVERAGE(OFFSET($H$3,0,0,'Données projet'!$E$12+1,1))</f>
        <v>429.54141820799617</v>
      </c>
      <c r="CE51" s="62">
        <f t="shared" si="40"/>
        <v>231.36959598460686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0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0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3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8.1999999999999993</v>
      </c>
      <c r="N52" s="14">
        <f>IF('Données projet'!$A$36&gt;35,N51+M52-V51,IF(A52&lt;'Données projet'!$A$36,$K$205^A52,IF(A52='Données projet'!$A$36,'Données projet'!$B$36,N51+M52-V51)))</f>
        <v>169.8</v>
      </c>
      <c r="O52" s="14">
        <f>N52*VLOOKUP('Données projet'!$B$9,Paramètres!$A$1:$I$89,3,0)*VLOOKUP('Données projet'!$B$9,Paramètres!$A$1:$I$89,5,0)</f>
        <v>172.1772</v>
      </c>
      <c r="P52" s="14">
        <f t="shared" si="33"/>
        <v>43.577282221917017</v>
      </c>
      <c r="Q52" s="22">
        <f t="shared" si="53"/>
        <v>375.77238986983883</v>
      </c>
      <c r="R52" s="62">
        <f t="shared" si="0"/>
        <v>669.10572320317215</v>
      </c>
      <c r="S52" s="62">
        <f ca="1">AVERAGE(OFFSET($R$3,0,0,'Données projet'!$E$9+1,1))-AVERAGE(OFFSET($H$3,0,0,'Données projet'!$E$9+1,1))</f>
        <v>476.25344680259701</v>
      </c>
      <c r="T52" s="62">
        <f t="shared" si="34"/>
        <v>254.25036207346591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6.0256410256410273</v>
      </c>
      <c r="AI52" s="14">
        <f>IF('Données projet'!$A$62&gt;35,AI51+AH52-AQ51,IF(A52&lt;'Données projet'!$A$62,$AF$205^A52,IF(A52='Données projet'!$A$62,'Données projet'!$B$62,AI51+AH52-AQ51)))</f>
        <v>197.17948717948713</v>
      </c>
      <c r="AJ52" s="14">
        <f>AI52*VLOOKUP('Données projet'!$B$10,Paramètres!$A$1:$I$89,3,0)*VLOOKUP('Données projet'!$B$10,Paramètres!$A$1:$I$89,5,0)</f>
        <v>206.09199999999996</v>
      </c>
      <c r="AK52" s="14">
        <f t="shared" si="35"/>
        <v>51.080657963757403</v>
      </c>
      <c r="AL52" s="22">
        <f t="shared" si="4"/>
        <v>447.90904595354408</v>
      </c>
      <c r="AM52" s="62">
        <f t="shared" si="5"/>
        <v>741.24237928687739</v>
      </c>
      <c r="AN52" s="62">
        <f ca="1">AVERAGE(OFFSET($AM$3,0,0,'Données projet'!$E$10+1,1))-AVERAGE(OFFSET($H$3,0,0,'Données projet'!$E$10+1,1))</f>
        <v>493.70175665335978</v>
      </c>
      <c r="AO52" s="62">
        <f t="shared" si="36"/>
        <v>325.12357781685949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>
        <f>BD52*VLOOKUP('Données projet'!$B$11,Paramètres!$A$1:$I$89,3,0)*VLOOKUP('Données projet'!$B$11,Paramètres!$A$1:$I$89,5,0)</f>
        <v>0</v>
      </c>
      <c r="BF52" s="14" t="e">
        <f t="shared" si="37"/>
        <v>#NUM!</v>
      </c>
      <c r="BG52" s="22" t="e">
        <f t="shared" si="7"/>
        <v>#NUM!</v>
      </c>
      <c r="BH52" s="62" t="e">
        <f t="shared" si="8"/>
        <v>#NUM!</v>
      </c>
      <c r="BI52" s="62">
        <f ca="1">AVERAGE(OFFSET($BH$3,0,0,'Données projet'!$E$11+1,1))-AVERAGE(OFFSET($H$3,0,0,'Données projet'!$E$11+1,1))</f>
        <v>245.09257882574383</v>
      </c>
      <c r="BJ52" s="62">
        <f t="shared" si="38"/>
        <v>342.30266518164211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0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8.1999999999999993</v>
      </c>
      <c r="BY52" s="13">
        <f>IF('Données projet'!$A$114&gt;35,BY51+BX52-CG51,IF(A52&lt;'Données projet'!$A$114,$BV$205^A52,IF(A52='Données projet'!$A$114,'Données projet'!$B$114,BY51+BX52-CG51)))</f>
        <v>169.8</v>
      </c>
      <c r="BZ52" s="14">
        <f>BY52*VLOOKUP('Données projet'!$B$12,Paramètres!$A$1:$I$89,3,0)*VLOOKUP('Données projet'!$B$12,Paramètres!$A$1:$I$89,5,0)</f>
        <v>153.63504</v>
      </c>
      <c r="CA52" s="14">
        <f t="shared" si="39"/>
        <v>39.403506785222667</v>
      </c>
      <c r="CB52" s="22">
        <f t="shared" si="10"/>
        <v>336.20880231759617</v>
      </c>
      <c r="CC52" s="62">
        <f t="shared" si="11"/>
        <v>629.54213565092948</v>
      </c>
      <c r="CD52" s="62">
        <f ca="1">AVERAGE(OFFSET($CC$3,0,0,'Données projet'!$E$12+1,1))-AVERAGE(OFFSET($H$3,0,0,'Données projet'!$E$12+1,1))</f>
        <v>429.54141820799617</v>
      </c>
      <c r="CE52" s="62">
        <f t="shared" si="40"/>
        <v>231.36959598460686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0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0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3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178</v>
      </c>
      <c r="L53" s="13">
        <f>VLOOKUP(A53,'Données projet'!$A$35:$I$55,9,0)</f>
        <v>8.1999999999999993</v>
      </c>
      <c r="M53" s="13">
        <f t="array" ref="M53">INDEX(L:L,MIN(IF(ISNUMBER(L53:L249),ROW(L53:L249),"")))</f>
        <v>8.1999999999999993</v>
      </c>
      <c r="N53" s="14">
        <f>IF('Données projet'!$A$36&gt;35,N52+M53-V52,IF(A53&lt;'Données projet'!$A$36,$K$205^A53,IF(A53='Données projet'!$A$36,'Données projet'!$B$36,N52+M53-V52)))</f>
        <v>178</v>
      </c>
      <c r="O53" s="14">
        <f>N53*VLOOKUP('Données projet'!$B$9,Paramètres!$A$1:$I$89,3,0)*VLOOKUP('Données projet'!$B$9,Paramètres!$A$1:$I$89,5,0)</f>
        <v>180.49200000000002</v>
      </c>
      <c r="P53" s="14">
        <f t="shared" si="33"/>
        <v>45.431629706642653</v>
      </c>
      <c r="Q53" s="22">
        <f t="shared" si="53"/>
        <v>393.4836550724026</v>
      </c>
      <c r="R53" s="62">
        <f t="shared" si="0"/>
        <v>686.81698840573586</v>
      </c>
      <c r="S53" s="62">
        <f ca="1">AVERAGE(OFFSET($R$3,0,0,'Données projet'!$E$9+1,1))-AVERAGE(OFFSET($H$3,0,0,'Données projet'!$E$9+1,1))</f>
        <v>476.25344680259701</v>
      </c>
      <c r="T53" s="62">
        <f t="shared" si="34"/>
        <v>254.25036207346591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203.2051282051282</v>
      </c>
      <c r="AG53" s="13">
        <f>VLOOKUP(A53,'Données projet'!$A$61:$I$81,9,0)</f>
        <v>6.0256410256410273</v>
      </c>
      <c r="AH53" s="13">
        <f t="array" ref="AH53">INDEX(AG:AG,MIN(IF(ISNUMBER(AG53:AG249),ROW(AG53:AG249),"")))</f>
        <v>6.0256410256410273</v>
      </c>
      <c r="AI53" s="14">
        <f>IF('Données projet'!$A$62&gt;35,AI52+AH53-AQ52,IF(A53&lt;'Données projet'!$A$62,$AF$205^A53,IF(A53='Données projet'!$A$62,'Données projet'!$B$62,AI52+AH53-AQ52)))</f>
        <v>203.20512820512815</v>
      </c>
      <c r="AJ53" s="14">
        <f>AI53*VLOOKUP('Données projet'!$B$10,Paramètres!$A$1:$I$89,3,0)*VLOOKUP('Données projet'!$B$10,Paramètres!$A$1:$I$89,5,0)</f>
        <v>212.38999999999993</v>
      </c>
      <c r="AK53" s="14">
        <f t="shared" si="35"/>
        <v>52.457516346075991</v>
      </c>
      <c r="AL53" s="22">
        <f t="shared" si="4"/>
        <v>461.27609096941552</v>
      </c>
      <c r="AM53" s="62">
        <f t="shared" si="5"/>
        <v>754.60942430274883</v>
      </c>
      <c r="AN53" s="62">
        <f ca="1">AVERAGE(OFFSET($AM$3,0,0,'Données projet'!$E$10+1,1))-AVERAGE(OFFSET($H$3,0,0,'Données projet'!$E$10+1,1))</f>
        <v>493.70175665335978</v>
      </c>
      <c r="AO53" s="62">
        <f t="shared" si="36"/>
        <v>325.12357781685949</v>
      </c>
      <c r="AP53" s="16">
        <f>IF(ISNA(VLOOKUP(A53,'Données projet'!$A$61:$I$81,3,0)),0,VLOOKUP(A53,'Données projet'!$A$61:$I$81,3,0))</f>
        <v>3</v>
      </c>
      <c r="AQ53" s="16">
        <f>IF(ISNA(VLOOKUP(A53,'Données projet'!$A$61:$I$81,4,0)),0,VLOOKUP(A53,'Données projet'!$A$61:$I$81,4,0))</f>
        <v>24.358974358974358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>
        <f>BD53*VLOOKUP('Données projet'!$B$11,Paramètres!$A$1:$I$89,3,0)*VLOOKUP('Données projet'!$B$11,Paramètres!$A$1:$I$89,5,0)</f>
        <v>0</v>
      </c>
      <c r="BF53" s="14" t="e">
        <f t="shared" si="37"/>
        <v>#NUM!</v>
      </c>
      <c r="BG53" s="22" t="e">
        <f t="shared" si="7"/>
        <v>#NUM!</v>
      </c>
      <c r="BH53" s="62" t="e">
        <f t="shared" si="8"/>
        <v>#NUM!</v>
      </c>
      <c r="BI53" s="62">
        <f ca="1">AVERAGE(OFFSET($BH$3,0,0,'Données projet'!$E$11+1,1))-AVERAGE(OFFSET($H$3,0,0,'Données projet'!$E$11+1,1))</f>
        <v>245.09257882574383</v>
      </c>
      <c r="BJ53" s="62">
        <f t="shared" si="38"/>
        <v>342.30266518164211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0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178</v>
      </c>
      <c r="BW53" s="13">
        <f>VLOOKUP(A53,'Données projet'!$A$113:$I$133,9,0)</f>
        <v>8.1999999999999993</v>
      </c>
      <c r="BX53" s="13">
        <f t="array" ref="BX53">INDEX(BW:BW,MIN(IF(ISNUMBER(BW53:BW249),ROW(BW53:BW249),"")))</f>
        <v>8.1999999999999993</v>
      </c>
      <c r="BY53" s="13">
        <f>IF('Données projet'!$A$114&gt;35,BY52+BX53-CG52,IF(A53&lt;'Données projet'!$A$114,$BV$205^A53,IF(A53='Données projet'!$A$114,'Données projet'!$B$114,BY52+BX53-CG52)))</f>
        <v>178</v>
      </c>
      <c r="BZ53" s="14">
        <f>BY53*VLOOKUP('Données projet'!$B$12,Paramètres!$A$1:$I$89,3,0)*VLOOKUP('Données projet'!$B$12,Paramètres!$A$1:$I$89,5,0)</f>
        <v>161.05439999999999</v>
      </c>
      <c r="CA53" s="14">
        <f t="shared" si="39"/>
        <v>41.080247278685491</v>
      </c>
      <c r="CB53" s="22">
        <f t="shared" si="10"/>
        <v>352.05117734371055</v>
      </c>
      <c r="CC53" s="62">
        <f t="shared" si="11"/>
        <v>645.38451067704386</v>
      </c>
      <c r="CD53" s="62">
        <f ca="1">AVERAGE(OFFSET($CC$3,0,0,'Données projet'!$E$12+1,1))-AVERAGE(OFFSET($H$3,0,0,'Données projet'!$E$12+1,1))</f>
        <v>429.54141820799617</v>
      </c>
      <c r="CE53" s="62">
        <f t="shared" si="40"/>
        <v>231.36959598460686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0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0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3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8</v>
      </c>
      <c r="N54" s="14">
        <f>IF('Données projet'!$A$36&gt;35,N53+M54-V53,IF(A54&lt;'Données projet'!$A$36,$K$205^A54,IF(A54='Données projet'!$A$36,'Données projet'!$B$36,N53+M54-V53)))</f>
        <v>186</v>
      </c>
      <c r="O54" s="14">
        <f>N54*VLOOKUP('Données projet'!$B$9,Paramètres!$A$1:$I$89,3,0)*VLOOKUP('Données projet'!$B$9,Paramètres!$A$1:$I$89,5,0)</f>
        <v>188.60400000000001</v>
      </c>
      <c r="P54" s="14">
        <f t="shared" si="33"/>
        <v>47.231184731814224</v>
      </c>
      <c r="Q54" s="22">
        <f t="shared" si="53"/>
        <v>410.74628007457642</v>
      </c>
      <c r="R54" s="62">
        <f t="shared" si="0"/>
        <v>704.07961340790973</v>
      </c>
      <c r="S54" s="62">
        <f ca="1">AVERAGE(OFFSET($R$3,0,0,'Données projet'!$E$9+1,1))-AVERAGE(OFFSET($H$3,0,0,'Données projet'!$E$9+1,1))</f>
        <v>476.25344680259701</v>
      </c>
      <c r="T54" s="62">
        <f t="shared" si="34"/>
        <v>254.25036207346591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5.6410256410256405</v>
      </c>
      <c r="AI54" s="14">
        <f>IF('Données projet'!$A$62&gt;35,AI53+AH54-AQ53,IF(A54&lt;'Données projet'!$A$62,$AF$205^A54,IF(A54='Données projet'!$A$62,'Données projet'!$B$62,AI53+AH54-AQ53)))</f>
        <v>184.48717948717942</v>
      </c>
      <c r="AJ54" s="14">
        <f>AI54*VLOOKUP('Données projet'!$B$10,Paramètres!$A$1:$I$89,3,0)*VLOOKUP('Données projet'!$B$10,Paramètres!$A$1:$I$89,5,0)</f>
        <v>192.82599999999994</v>
      </c>
      <c r="AK54" s="14">
        <f t="shared" si="35"/>
        <v>48.164203450161025</v>
      </c>
      <c r="AL54" s="22">
        <f t="shared" si="4"/>
        <v>419.72460434236359</v>
      </c>
      <c r="AM54" s="62">
        <f t="shared" si="5"/>
        <v>713.05793767569685</v>
      </c>
      <c r="AN54" s="62">
        <f ca="1">AVERAGE(OFFSET($AM$3,0,0,'Données projet'!$E$10+1,1))-AVERAGE(OFFSET($H$3,0,0,'Données projet'!$E$10+1,1))</f>
        <v>493.70175665335978</v>
      </c>
      <c r="AO54" s="62">
        <f t="shared" si="36"/>
        <v>325.12357781685949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>
        <f>BD54*VLOOKUP('Données projet'!$B$11,Paramètres!$A$1:$I$89,3,0)*VLOOKUP('Données projet'!$B$11,Paramètres!$A$1:$I$89,5,0)</f>
        <v>0</v>
      </c>
      <c r="BF54" s="14" t="e">
        <f t="shared" si="37"/>
        <v>#NUM!</v>
      </c>
      <c r="BG54" s="22" t="e">
        <f t="shared" si="7"/>
        <v>#NUM!</v>
      </c>
      <c r="BH54" s="62" t="e">
        <f t="shared" si="8"/>
        <v>#NUM!</v>
      </c>
      <c r="BI54" s="62">
        <f ca="1">AVERAGE(OFFSET($BH$3,0,0,'Données projet'!$E$11+1,1))-AVERAGE(OFFSET($H$3,0,0,'Données projet'!$E$11+1,1))</f>
        <v>245.09257882574383</v>
      </c>
      <c r="BJ54" s="62">
        <f t="shared" si="38"/>
        <v>342.30266518164211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0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8</v>
      </c>
      <c r="BY54" s="13">
        <f>IF('Données projet'!$A$114&gt;35,BY53+BX54-CG53,IF(A54&lt;'Données projet'!$A$114,$BV$205^A54,IF(A54='Données projet'!$A$114,'Données projet'!$B$114,BY53+BX54-CG53)))</f>
        <v>186</v>
      </c>
      <c r="BZ54" s="14">
        <f>BY54*VLOOKUP('Données projet'!$B$12,Paramètres!$A$1:$I$89,3,0)*VLOOKUP('Données projet'!$B$12,Paramètres!$A$1:$I$89,5,0)</f>
        <v>168.2928</v>
      </c>
      <c r="CA54" s="14">
        <f t="shared" si="39"/>
        <v>42.707443263135104</v>
      </c>
      <c r="CB54" s="22">
        <f t="shared" si="10"/>
        <v>367.49209034996028</v>
      </c>
      <c r="CC54" s="62">
        <f t="shared" si="11"/>
        <v>660.82542368329359</v>
      </c>
      <c r="CD54" s="62">
        <f ca="1">AVERAGE(OFFSET($CC$3,0,0,'Données projet'!$E$12+1,1))-AVERAGE(OFFSET($H$3,0,0,'Données projet'!$E$12+1,1))</f>
        <v>429.54141820799617</v>
      </c>
      <c r="CE54" s="62">
        <f t="shared" si="40"/>
        <v>231.36959598460686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0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0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3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8</v>
      </c>
      <c r="N55" s="14">
        <f>IF('Données projet'!$A$36&gt;35,N54+M55-V54,IF(A55&lt;'Données projet'!$A$36,$K$205^A55,IF(A55='Données projet'!$A$36,'Données projet'!$B$36,N54+M55-V54)))</f>
        <v>194</v>
      </c>
      <c r="O55" s="14">
        <f>N55*VLOOKUP('Données projet'!$B$9,Paramètres!$A$1:$I$89,3,0)*VLOOKUP('Données projet'!$B$9,Paramètres!$A$1:$I$89,5,0)</f>
        <v>196.71600000000001</v>
      </c>
      <c r="P55" s="14">
        <f t="shared" si="33"/>
        <v>49.021749959730009</v>
      </c>
      <c r="Q55" s="22">
        <f t="shared" si="53"/>
        <v>427.99324784652981</v>
      </c>
      <c r="R55" s="62">
        <f t="shared" si="0"/>
        <v>721.32658117986307</v>
      </c>
      <c r="S55" s="62">
        <f ca="1">AVERAGE(OFFSET($R$3,0,0,'Données projet'!$E$9+1,1))-AVERAGE(OFFSET($H$3,0,0,'Données projet'!$E$9+1,1))</f>
        <v>476.25344680259701</v>
      </c>
      <c r="T55" s="62">
        <f t="shared" si="34"/>
        <v>254.25036207346591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5.6410256410256405</v>
      </c>
      <c r="AI55" s="14">
        <f>IF('Données projet'!$A$62&gt;35,AI54+AH55-AQ54,IF(A55&lt;'Données projet'!$A$62,$AF$205^A55,IF(A55='Données projet'!$A$62,'Données projet'!$B$62,AI54+AH55-AQ54)))</f>
        <v>190.12820512820505</v>
      </c>
      <c r="AJ55" s="14">
        <f>AI55*VLOOKUP('Données projet'!$B$10,Paramètres!$A$1:$I$89,3,0)*VLOOKUP('Données projet'!$B$10,Paramètres!$A$1:$I$89,5,0)</f>
        <v>198.72199999999992</v>
      </c>
      <c r="AK55" s="14">
        <f t="shared" si="35"/>
        <v>49.463197303970119</v>
      </c>
      <c r="AL55" s="22">
        <f t="shared" si="4"/>
        <v>432.25588530441445</v>
      </c>
      <c r="AM55" s="62">
        <f t="shared" si="5"/>
        <v>725.58921863774776</v>
      </c>
      <c r="AN55" s="62">
        <f ca="1">AVERAGE(OFFSET($AM$3,0,0,'Données projet'!$E$10+1,1))-AVERAGE(OFFSET($H$3,0,0,'Données projet'!$E$10+1,1))</f>
        <v>493.70175665335978</v>
      </c>
      <c r="AO55" s="62">
        <f t="shared" si="36"/>
        <v>325.12357781685949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>
        <f>BD55*VLOOKUP('Données projet'!$B$11,Paramètres!$A$1:$I$89,3,0)*VLOOKUP('Données projet'!$B$11,Paramètres!$A$1:$I$89,5,0)</f>
        <v>0</v>
      </c>
      <c r="BF55" s="14" t="e">
        <f t="shared" si="37"/>
        <v>#NUM!</v>
      </c>
      <c r="BG55" s="22" t="e">
        <f t="shared" si="7"/>
        <v>#NUM!</v>
      </c>
      <c r="BH55" s="62" t="e">
        <f t="shared" si="8"/>
        <v>#NUM!</v>
      </c>
      <c r="BI55" s="62">
        <f ca="1">AVERAGE(OFFSET($BH$3,0,0,'Données projet'!$E$11+1,1))-AVERAGE(OFFSET($H$3,0,0,'Données projet'!$E$11+1,1))</f>
        <v>245.09257882574383</v>
      </c>
      <c r="BJ55" s="62">
        <f t="shared" si="38"/>
        <v>342.30266518164211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0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8</v>
      </c>
      <c r="BY55" s="13">
        <f>IF('Données projet'!$A$114&gt;35,BY54+BX55-CG54,IF(A55&lt;'Données projet'!$A$114,$BV$205^A55,IF(A55='Données projet'!$A$114,'Données projet'!$B$114,BY54+BX55-CG54)))</f>
        <v>194</v>
      </c>
      <c r="BZ55" s="14">
        <f>BY55*VLOOKUP('Données projet'!$B$12,Paramètres!$A$1:$I$89,3,0)*VLOOKUP('Données projet'!$B$12,Paramètres!$A$1:$I$89,5,0)</f>
        <v>175.53120000000001</v>
      </c>
      <c r="CA55" s="14">
        <f t="shared" si="39"/>
        <v>44.326510481422488</v>
      </c>
      <c r="CB55" s="22">
        <f t="shared" si="10"/>
        <v>382.9188457551441</v>
      </c>
      <c r="CC55" s="62">
        <f t="shared" si="11"/>
        <v>676.25217908847742</v>
      </c>
      <c r="CD55" s="62">
        <f ca="1">AVERAGE(OFFSET($CC$3,0,0,'Données projet'!$E$12+1,1))-AVERAGE(OFFSET($H$3,0,0,'Données projet'!$E$12+1,1))</f>
        <v>429.54141820799617</v>
      </c>
      <c r="CE55" s="62">
        <f t="shared" si="40"/>
        <v>231.36959598460686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0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0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3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8</v>
      </c>
      <c r="N56" s="14">
        <f>IF('Données projet'!$A$36&gt;35,N55+M56-V55,IF(A56&lt;'Données projet'!$A$36,$K$205^A56,IF(A56='Données projet'!$A$36,'Données projet'!$B$36,N55+M56-V55)))</f>
        <v>202</v>
      </c>
      <c r="O56" s="14">
        <f>N56*VLOOKUP('Données projet'!$B$9,Paramètres!$A$1:$I$89,3,0)*VLOOKUP('Données projet'!$B$9,Paramètres!$A$1:$I$89,5,0)</f>
        <v>204.82800000000003</v>
      </c>
      <c r="P56" s="14">
        <f t="shared" si="33"/>
        <v>50.80373850176295</v>
      </c>
      <c r="Q56" s="22">
        <f t="shared" si="53"/>
        <v>445.22527789057045</v>
      </c>
      <c r="R56" s="62">
        <f t="shared" si="0"/>
        <v>738.55861122390377</v>
      </c>
      <c r="S56" s="62">
        <f ca="1">AVERAGE(OFFSET($R$3,0,0,'Données projet'!$E$9+1,1))-AVERAGE(OFFSET($H$3,0,0,'Données projet'!$E$9+1,1))</f>
        <v>476.25344680259701</v>
      </c>
      <c r="T56" s="62">
        <f t="shared" si="34"/>
        <v>254.25036207346591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5.6410256410256405</v>
      </c>
      <c r="AI56" s="14">
        <f>IF('Données projet'!$A$62&gt;35,AI55+AH56-AQ55,IF(A56&lt;'Données projet'!$A$62,$AF$205^A56,IF(A56='Données projet'!$A$62,'Données projet'!$B$62,AI55+AH56-AQ55)))</f>
        <v>195.76923076923069</v>
      </c>
      <c r="AJ56" s="14">
        <f>AI56*VLOOKUP('Données projet'!$B$10,Paramètres!$A$1:$I$89,3,0)*VLOOKUP('Données projet'!$B$10,Paramètres!$A$1:$I$89,5,0)</f>
        <v>204.61799999999994</v>
      </c>
      <c r="AK56" s="14">
        <f t="shared" si="35"/>
        <v>50.757712073649664</v>
      </c>
      <c r="AL56" s="22">
        <f t="shared" si="4"/>
        <v>444.77936519493966</v>
      </c>
      <c r="AM56" s="62">
        <f t="shared" si="5"/>
        <v>738.11269852827297</v>
      </c>
      <c r="AN56" s="62">
        <f ca="1">AVERAGE(OFFSET($AM$3,0,0,'Données projet'!$E$10+1,1))-AVERAGE(OFFSET($H$3,0,0,'Données projet'!$E$10+1,1))</f>
        <v>493.70175665335978</v>
      </c>
      <c r="AO56" s="62">
        <f t="shared" si="36"/>
        <v>325.12357781685949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>
        <f>BD56*VLOOKUP('Données projet'!$B$11,Paramètres!$A$1:$I$89,3,0)*VLOOKUP('Données projet'!$B$11,Paramètres!$A$1:$I$89,5,0)</f>
        <v>0</v>
      </c>
      <c r="BF56" s="14" t="e">
        <f t="shared" si="37"/>
        <v>#NUM!</v>
      </c>
      <c r="BG56" s="22" t="e">
        <f t="shared" si="7"/>
        <v>#NUM!</v>
      </c>
      <c r="BH56" s="62" t="e">
        <f t="shared" si="8"/>
        <v>#NUM!</v>
      </c>
      <c r="BI56" s="62">
        <f ca="1">AVERAGE(OFFSET($BH$3,0,0,'Données projet'!$E$11+1,1))-AVERAGE(OFFSET($H$3,0,0,'Données projet'!$E$11+1,1))</f>
        <v>245.09257882574383</v>
      </c>
      <c r="BJ56" s="62">
        <f t="shared" si="38"/>
        <v>342.30266518164211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0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8</v>
      </c>
      <c r="BY56" s="13">
        <f>IF('Données projet'!$A$114&gt;35,BY55+BX56-CG55,IF(A56&lt;'Données projet'!$A$114,$BV$205^A56,IF(A56='Données projet'!$A$114,'Données projet'!$B$114,BY55+BX56-CG55)))</f>
        <v>202</v>
      </c>
      <c r="BZ56" s="14">
        <f>BY56*VLOOKUP('Données projet'!$B$12,Paramètres!$A$1:$I$89,3,0)*VLOOKUP('Données projet'!$B$12,Paramètres!$A$1:$I$89,5,0)</f>
        <v>182.7696</v>
      </c>
      <c r="CA56" s="14">
        <f t="shared" si="39"/>
        <v>45.937822477650357</v>
      </c>
      <c r="CB56" s="22">
        <f t="shared" si="10"/>
        <v>398.33209414857441</v>
      </c>
      <c r="CC56" s="62">
        <f t="shared" si="11"/>
        <v>691.66542748190773</v>
      </c>
      <c r="CD56" s="62">
        <f ca="1">AVERAGE(OFFSET($CC$3,0,0,'Données projet'!$E$12+1,1))-AVERAGE(OFFSET($H$3,0,0,'Données projet'!$E$12+1,1))</f>
        <v>429.54141820799617</v>
      </c>
      <c r="CE56" s="62">
        <f t="shared" si="40"/>
        <v>231.36959598460686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0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0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3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8</v>
      </c>
      <c r="N57" s="14">
        <f>IF('Données projet'!$A$36&gt;35,N56+M57-V56,IF(A57&lt;'Données projet'!$A$36,$K$205^A57,IF(A57='Données projet'!$A$36,'Données projet'!$B$36,N56+M57-V56)))</f>
        <v>210</v>
      </c>
      <c r="O57" s="14">
        <f>N57*VLOOKUP('Données projet'!$B$9,Paramètres!$A$1:$I$89,3,0)*VLOOKUP('Données projet'!$B$9,Paramètres!$A$1:$I$89,5,0)</f>
        <v>212.94</v>
      </c>
      <c r="P57" s="14">
        <f t="shared" si="33"/>
        <v>52.577528895212865</v>
      </c>
      <c r="Q57" s="22">
        <f t="shared" si="53"/>
        <v>462.44302949249573</v>
      </c>
      <c r="R57" s="62">
        <f t="shared" si="0"/>
        <v>755.77636282582898</v>
      </c>
      <c r="S57" s="62">
        <f ca="1">AVERAGE(OFFSET($R$3,0,0,'Données projet'!$E$9+1,1))-AVERAGE(OFFSET($H$3,0,0,'Données projet'!$E$9+1,1))</f>
        <v>476.25344680259701</v>
      </c>
      <c r="T57" s="62">
        <f t="shared" si="34"/>
        <v>254.25036207346591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5.6410256410256405</v>
      </c>
      <c r="AI57" s="14">
        <f>IF('Données projet'!$A$62&gt;35,AI56+AH57-AQ56,IF(A57&lt;'Données projet'!$A$62,$AF$205^A57,IF(A57='Données projet'!$A$62,'Données projet'!$B$62,AI56+AH57-AQ56)))</f>
        <v>201.41025641025632</v>
      </c>
      <c r="AJ57" s="14">
        <f>AI57*VLOOKUP('Données projet'!$B$10,Paramètres!$A$1:$I$89,3,0)*VLOOKUP('Données projet'!$B$10,Paramètres!$A$1:$I$89,5,0)</f>
        <v>210.51399999999992</v>
      </c>
      <c r="AK57" s="14">
        <f t="shared" si="35"/>
        <v>52.047891644487855</v>
      </c>
      <c r="AL57" s="22">
        <f t="shared" si="4"/>
        <v>457.2952946141495</v>
      </c>
      <c r="AM57" s="62">
        <f t="shared" si="5"/>
        <v>750.62862794748276</v>
      </c>
      <c r="AN57" s="62">
        <f ca="1">AVERAGE(OFFSET($AM$3,0,0,'Données projet'!$E$10+1,1))-AVERAGE(OFFSET($H$3,0,0,'Données projet'!$E$10+1,1))</f>
        <v>493.70175665335978</v>
      </c>
      <c r="AO57" s="62">
        <f t="shared" si="36"/>
        <v>325.12357781685949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>
        <f>BD57*VLOOKUP('Données projet'!$B$11,Paramètres!$A$1:$I$89,3,0)*VLOOKUP('Données projet'!$B$11,Paramètres!$A$1:$I$89,5,0)</f>
        <v>0</v>
      </c>
      <c r="BF57" s="14" t="e">
        <f t="shared" si="37"/>
        <v>#NUM!</v>
      </c>
      <c r="BG57" s="22" t="e">
        <f t="shared" si="7"/>
        <v>#NUM!</v>
      </c>
      <c r="BH57" s="62" t="e">
        <f t="shared" si="8"/>
        <v>#NUM!</v>
      </c>
      <c r="BI57" s="62">
        <f ca="1">AVERAGE(OFFSET($BH$3,0,0,'Données projet'!$E$11+1,1))-AVERAGE(OFFSET($H$3,0,0,'Données projet'!$E$11+1,1))</f>
        <v>245.09257882574383</v>
      </c>
      <c r="BJ57" s="62">
        <f t="shared" si="38"/>
        <v>342.30266518164211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0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8</v>
      </c>
      <c r="BY57" s="13">
        <f>IF('Données projet'!$A$114&gt;35,BY56+BX57-CG56,IF(A57&lt;'Données projet'!$A$114,$BV$205^A57,IF(A57='Données projet'!$A$114,'Données projet'!$B$114,BY56+BX57-CG56)))</f>
        <v>210</v>
      </c>
      <c r="BZ57" s="14">
        <f>BY57*VLOOKUP('Données projet'!$B$12,Paramètres!$A$1:$I$89,3,0)*VLOOKUP('Données projet'!$B$12,Paramètres!$A$1:$I$89,5,0)</f>
        <v>190.00800000000001</v>
      </c>
      <c r="CA57" s="14">
        <f t="shared" si="39"/>
        <v>47.541721533308163</v>
      </c>
      <c r="CB57" s="22">
        <f t="shared" si="10"/>
        <v>413.73243167051174</v>
      </c>
      <c r="CC57" s="62">
        <f t="shared" si="11"/>
        <v>707.06576500384506</v>
      </c>
      <c r="CD57" s="62">
        <f ca="1">AVERAGE(OFFSET($CC$3,0,0,'Données projet'!$E$12+1,1))-AVERAGE(OFFSET($H$3,0,0,'Données projet'!$E$12+1,1))</f>
        <v>429.54141820799617</v>
      </c>
      <c r="CE57" s="62">
        <f t="shared" si="40"/>
        <v>231.36959598460686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0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0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3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218</v>
      </c>
      <c r="L58" s="13">
        <f>VLOOKUP(A58,'Données projet'!$A$35:$I$55,9,0)</f>
        <v>8</v>
      </c>
      <c r="M58" s="13">
        <f t="array" ref="M58">INDEX(L:L,MIN(IF(ISNUMBER(L58:L254),ROW(L58:L254),"")))</f>
        <v>8</v>
      </c>
      <c r="N58" s="14">
        <f>IF('Données projet'!$A$36&gt;35,N57+M58-V57,IF(A58&lt;'Données projet'!$A$36,$K$205^A58,IF(A58='Données projet'!$A$36,'Données projet'!$B$36,N57+M58-V57)))</f>
        <v>218</v>
      </c>
      <c r="O58" s="14">
        <f>N58*VLOOKUP('Données projet'!$B$9,Paramètres!$A$1:$I$89,3,0)*VLOOKUP('Données projet'!$B$9,Paramètres!$A$1:$I$89,5,0)</f>
        <v>221.05200000000002</v>
      </c>
      <c r="P58" s="14">
        <f t="shared" si="33"/>
        <v>54.343469202939254</v>
      </c>
      <c r="Q58" s="22">
        <f t="shared" si="53"/>
        <v>479.64710886178597</v>
      </c>
      <c r="R58" s="62">
        <f t="shared" si="0"/>
        <v>772.98044219511928</v>
      </c>
      <c r="S58" s="62">
        <f ca="1">AVERAGE(OFFSET($R$3,0,0,'Données projet'!$E$9+1,1))-AVERAGE(OFFSET($H$3,0,0,'Données projet'!$E$9+1,1))</f>
        <v>476.25344680259701</v>
      </c>
      <c r="T58" s="62">
        <f t="shared" si="34"/>
        <v>254.25036207346591</v>
      </c>
      <c r="U58" s="16">
        <f>IF(ISNA(VLOOKUP(A58,'Données projet'!$A$35:$I$55,3,0)),0,VLOOKUP(A58,'Données projet'!$A$35:$I$55,3,0))</f>
        <v>4</v>
      </c>
      <c r="V58" s="16">
        <f>IF(ISNA(VLOOKUP(A58,'Données projet'!$A$35:$I$55,4,0)),0,VLOOKUP(A58,'Données projet'!$A$35:$I$55,4,0))</f>
        <v>42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207.05128205128204</v>
      </c>
      <c r="AG58" s="13">
        <f>VLOOKUP(A58,'Données projet'!$A$61:$I$81,9,0)</f>
        <v>5.6410256410256405</v>
      </c>
      <c r="AH58" s="13">
        <f t="array" ref="AH58">INDEX(AG:AG,MIN(IF(ISNUMBER(AG58:AG254),ROW(AG58:AG254),"")))</f>
        <v>5.6410256410256405</v>
      </c>
      <c r="AI58" s="14">
        <f>IF('Données projet'!$A$62&gt;35,AI57+AH58-AQ57,IF(A58&lt;'Données projet'!$A$62,$AF$205^A58,IF(A58='Données projet'!$A$62,'Données projet'!$B$62,AI57+AH58-AQ57)))</f>
        <v>207.05128205128196</v>
      </c>
      <c r="AJ58" s="14">
        <f>AI58*VLOOKUP('Données projet'!$B$10,Paramètres!$A$1:$I$89,3,0)*VLOOKUP('Données projet'!$B$10,Paramètres!$A$1:$I$89,5,0)</f>
        <v>216.40999999999991</v>
      </c>
      <c r="AK58" s="14">
        <f t="shared" si="35"/>
        <v>53.333871383439472</v>
      </c>
      <c r="AL58" s="22">
        <f t="shared" si="4"/>
        <v>469.80390932615688</v>
      </c>
      <c r="AM58" s="62">
        <f t="shared" si="5"/>
        <v>763.1372426594902</v>
      </c>
      <c r="AN58" s="62">
        <f ca="1">AVERAGE(OFFSET($AM$3,0,0,'Données projet'!$E$10+1,1))-AVERAGE(OFFSET($H$3,0,0,'Données projet'!$E$10+1,1))</f>
        <v>493.70175665335978</v>
      </c>
      <c r="AO58" s="62">
        <f t="shared" si="36"/>
        <v>325.12357781685949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>
        <f>BD58*VLOOKUP('Données projet'!$B$11,Paramètres!$A$1:$I$89,3,0)*VLOOKUP('Données projet'!$B$11,Paramètres!$A$1:$I$89,5,0)</f>
        <v>0</v>
      </c>
      <c r="BF58" s="14" t="e">
        <f t="shared" si="37"/>
        <v>#NUM!</v>
      </c>
      <c r="BG58" s="22" t="e">
        <f t="shared" si="7"/>
        <v>#NUM!</v>
      </c>
      <c r="BH58" s="62" t="e">
        <f t="shared" si="8"/>
        <v>#NUM!</v>
      </c>
      <c r="BI58" s="62">
        <f ca="1">AVERAGE(OFFSET($BH$3,0,0,'Données projet'!$E$11+1,1))-AVERAGE(OFFSET($H$3,0,0,'Données projet'!$E$11+1,1))</f>
        <v>245.09257882574383</v>
      </c>
      <c r="BJ58" s="62">
        <f t="shared" si="38"/>
        <v>342.30266518164211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0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>
        <f>VLOOKUP(A58,'Données projet'!$A$113:$I$133,2,0)</f>
        <v>218</v>
      </c>
      <c r="BW58" s="13">
        <f>VLOOKUP(A58,'Données projet'!$A$113:$I$133,9,0)</f>
        <v>8</v>
      </c>
      <c r="BX58" s="13">
        <f t="array" ref="BX58">INDEX(BW:BW,MIN(IF(ISNUMBER(BW58:BW254),ROW(BW58:BW254),"")))</f>
        <v>8</v>
      </c>
      <c r="BY58" s="13">
        <f>IF('Données projet'!$A$114&gt;35,BY57+BX58-CG57,IF(A58&lt;'Données projet'!$A$114,$BV$205^A58,IF(A58='Données projet'!$A$114,'Données projet'!$B$114,BY57+BX58-CG57)))</f>
        <v>218</v>
      </c>
      <c r="BZ58" s="14">
        <f>BY58*VLOOKUP('Données projet'!$B$12,Paramètres!$A$1:$I$89,3,0)*VLOOKUP('Données projet'!$B$12,Paramètres!$A$1:$I$89,5,0)</f>
        <v>197.24639999999999</v>
      </c>
      <c r="CA58" s="14">
        <f t="shared" si="39"/>
        <v>49.138522374247202</v>
      </c>
      <c r="CB58" s="22">
        <f t="shared" si="10"/>
        <v>429.12040646848055</v>
      </c>
      <c r="CC58" s="62">
        <f t="shared" si="11"/>
        <v>722.45373980181387</v>
      </c>
      <c r="CD58" s="62">
        <f ca="1">AVERAGE(OFFSET($CC$3,0,0,'Données projet'!$E$12+1,1))-AVERAGE(OFFSET($H$3,0,0,'Données projet'!$E$12+1,1))</f>
        <v>429.54141820799617</v>
      </c>
      <c r="CE58" s="62">
        <f t="shared" si="40"/>
        <v>231.36959598460686</v>
      </c>
      <c r="CF58" s="16">
        <f>IF(ISNA(VLOOKUP(A58,'Données projet'!$A$113:$I$133,3,0)),0,VLOOKUP(A58,'Données projet'!$A$113:$I$133,3,0))</f>
        <v>4</v>
      </c>
      <c r="CG58" s="16">
        <f>IF(ISNA(VLOOKUP(A58,'Données projet'!$A$113:$I$133,4,0)),0,VLOOKUP(A58,'Données projet'!$A$113:$I$133,4,0))</f>
        <v>42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0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0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3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7.6</v>
      </c>
      <c r="N59" s="14">
        <f>IF('Données projet'!$A$36&gt;35,N58+M59-V58,IF(A59&lt;'Données projet'!$A$36,$K$205^A59,IF(A59='Données projet'!$A$36,'Données projet'!$B$36,N58+M59-V58)))</f>
        <v>183.6</v>
      </c>
      <c r="O59" s="14">
        <f>N59*VLOOKUP('Données projet'!$B$9,Paramètres!$A$1:$I$89,3,0)*VLOOKUP('Données projet'!$B$9,Paramètres!$A$1:$I$89,5,0)</f>
        <v>186.1704</v>
      </c>
      <c r="P59" s="14">
        <f t="shared" si="33"/>
        <v>46.692281933796018</v>
      </c>
      <c r="Q59" s="22">
        <f t="shared" si="53"/>
        <v>405.56917103469476</v>
      </c>
      <c r="R59" s="62">
        <f t="shared" si="0"/>
        <v>698.90250436802808</v>
      </c>
      <c r="S59" s="62">
        <f ca="1">AVERAGE(OFFSET($R$3,0,0,'Données projet'!$E$9+1,1))-AVERAGE(OFFSET($H$3,0,0,'Données projet'!$E$9+1,1))</f>
        <v>476.25344680259701</v>
      </c>
      <c r="T59" s="62">
        <f t="shared" si="34"/>
        <v>254.25036207346591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5.2564102564102537</v>
      </c>
      <c r="AI59" s="14">
        <f>IF('Données projet'!$A$62&gt;35,AI58+AH59-AQ58,IF(A59&lt;'Données projet'!$A$62,$AF$205^A59,IF(A59='Données projet'!$A$62,'Données projet'!$B$62,AI58+AH59-AQ58)))</f>
        <v>212.30769230769221</v>
      </c>
      <c r="AJ59" s="14">
        <f>AI59*VLOOKUP('Données projet'!$B$10,Paramètres!$A$1:$I$89,3,0)*VLOOKUP('Données projet'!$B$10,Paramètres!$A$1:$I$89,5,0)</f>
        <v>221.90399999999991</v>
      </c>
      <c r="AK59" s="14">
        <f t="shared" si="35"/>
        <v>54.528502940168273</v>
      </c>
      <c r="AL59" s="22">
        <f t="shared" si="4"/>
        <v>481.45327595412624</v>
      </c>
      <c r="AM59" s="62">
        <f t="shared" si="5"/>
        <v>774.78660928745956</v>
      </c>
      <c r="AN59" s="62">
        <f ca="1">AVERAGE(OFFSET($AM$3,0,0,'Données projet'!$E$10+1,1))-AVERAGE(OFFSET($H$3,0,0,'Données projet'!$E$10+1,1))</f>
        <v>493.70175665335978</v>
      </c>
      <c r="AO59" s="62">
        <f t="shared" si="36"/>
        <v>325.12357781685949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>
        <f>BD59*VLOOKUP('Données projet'!$B$11,Paramètres!$A$1:$I$89,3,0)*VLOOKUP('Données projet'!$B$11,Paramètres!$A$1:$I$89,5,0)</f>
        <v>0</v>
      </c>
      <c r="BF59" s="14" t="e">
        <f t="shared" si="37"/>
        <v>#NUM!</v>
      </c>
      <c r="BG59" s="22" t="e">
        <f t="shared" si="7"/>
        <v>#NUM!</v>
      </c>
      <c r="BH59" s="62" t="e">
        <f t="shared" si="8"/>
        <v>#NUM!</v>
      </c>
      <c r="BI59" s="62">
        <f ca="1">AVERAGE(OFFSET($BH$3,0,0,'Données projet'!$E$11+1,1))-AVERAGE(OFFSET($H$3,0,0,'Données projet'!$E$11+1,1))</f>
        <v>245.09257882574383</v>
      </c>
      <c r="BJ59" s="62">
        <f t="shared" si="38"/>
        <v>342.30266518164211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0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7.6</v>
      </c>
      <c r="BY59" s="13">
        <f>IF('Données projet'!$A$114&gt;35,BY58+BX59-CG58,IF(A59&lt;'Données projet'!$A$114,$BV$205^A59,IF(A59='Données projet'!$A$114,'Données projet'!$B$114,BY58+BX59-CG58)))</f>
        <v>183.6</v>
      </c>
      <c r="BZ59" s="14">
        <f>BY59*VLOOKUP('Données projet'!$B$12,Paramètres!$A$1:$I$89,3,0)*VLOOKUP('Données projet'!$B$12,Paramètres!$A$1:$I$89,5,0)</f>
        <v>166.12127999999998</v>
      </c>
      <c r="CA59" s="14">
        <f t="shared" si="39"/>
        <v>42.220155874487318</v>
      </c>
      <c r="CB59" s="22">
        <f t="shared" si="10"/>
        <v>362.8613341480654</v>
      </c>
      <c r="CC59" s="62">
        <f t="shared" si="11"/>
        <v>656.19466748139871</v>
      </c>
      <c r="CD59" s="62">
        <f ca="1">AVERAGE(OFFSET($CC$3,0,0,'Données projet'!$E$12+1,1))-AVERAGE(OFFSET($H$3,0,0,'Données projet'!$E$12+1,1))</f>
        <v>429.54141820799617</v>
      </c>
      <c r="CE59" s="62">
        <f t="shared" si="40"/>
        <v>231.36959598460686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0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0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3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7.6</v>
      </c>
      <c r="N60" s="14">
        <f>IF('Données projet'!$A$36&gt;35,N59+M60-V59,IF(A60&lt;'Données projet'!$A$36,$K$205^A60,IF(A60='Données projet'!$A$36,'Données projet'!$B$36,N59+M60-V59)))</f>
        <v>191.2</v>
      </c>
      <c r="O60" s="14">
        <f>N60*VLOOKUP('Données projet'!$B$9,Paramètres!$A$1:$I$89,3,0)*VLOOKUP('Données projet'!$B$9,Paramètres!$A$1:$I$89,5,0)</f>
        <v>193.8768</v>
      </c>
      <c r="P60" s="14">
        <f t="shared" si="33"/>
        <v>48.396048099527611</v>
      </c>
      <c r="Q60" s="22">
        <f t="shared" si="53"/>
        <v>421.95854377334393</v>
      </c>
      <c r="R60" s="62">
        <f t="shared" si="0"/>
        <v>715.29187710667725</v>
      </c>
      <c r="S60" s="62">
        <f ca="1">AVERAGE(OFFSET($R$3,0,0,'Données projet'!$E$9+1,1))-AVERAGE(OFFSET($H$3,0,0,'Données projet'!$E$9+1,1))</f>
        <v>476.25344680259701</v>
      </c>
      <c r="T60" s="62">
        <f t="shared" si="34"/>
        <v>254.25036207346591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5.2564102564102537</v>
      </c>
      <c r="AI60" s="14">
        <f>IF('Données projet'!$A$62&gt;35,AI59+AH60-AQ59,IF(A60&lt;'Données projet'!$A$62,$AF$205^A60,IF(A60='Données projet'!$A$62,'Données projet'!$B$62,AI59+AH60-AQ59)))</f>
        <v>217.56410256410246</v>
      </c>
      <c r="AJ60" s="14">
        <f>AI60*VLOOKUP('Données projet'!$B$10,Paramètres!$A$1:$I$89,3,0)*VLOOKUP('Données projet'!$B$10,Paramètres!$A$1:$I$89,5,0)</f>
        <v>227.39799999999991</v>
      </c>
      <c r="AK60" s="14">
        <f t="shared" si="35"/>
        <v>55.719696292134515</v>
      </c>
      <c r="AL60" s="22">
        <f t="shared" si="4"/>
        <v>493.09665437546749</v>
      </c>
      <c r="AM60" s="62">
        <f t="shared" si="5"/>
        <v>786.42998770880081</v>
      </c>
      <c r="AN60" s="62">
        <f ca="1">AVERAGE(OFFSET($AM$3,0,0,'Données projet'!$E$10+1,1))-AVERAGE(OFFSET($H$3,0,0,'Données projet'!$E$10+1,1))</f>
        <v>493.70175665335978</v>
      </c>
      <c r="AO60" s="62">
        <f t="shared" si="36"/>
        <v>325.12357781685949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>
        <f>BD60*VLOOKUP('Données projet'!$B$11,Paramètres!$A$1:$I$89,3,0)*VLOOKUP('Données projet'!$B$11,Paramètres!$A$1:$I$89,5,0)</f>
        <v>0</v>
      </c>
      <c r="BF60" s="14" t="e">
        <f t="shared" si="37"/>
        <v>#NUM!</v>
      </c>
      <c r="BG60" s="22" t="e">
        <f t="shared" si="7"/>
        <v>#NUM!</v>
      </c>
      <c r="BH60" s="62" t="e">
        <f t="shared" si="8"/>
        <v>#NUM!</v>
      </c>
      <c r="BI60" s="62">
        <f ca="1">AVERAGE(OFFSET($BH$3,0,0,'Données projet'!$E$11+1,1))-AVERAGE(OFFSET($H$3,0,0,'Données projet'!$E$11+1,1))</f>
        <v>245.09257882574383</v>
      </c>
      <c r="BJ60" s="62">
        <f t="shared" si="38"/>
        <v>342.30266518164211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0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7.6</v>
      </c>
      <c r="BY60" s="13">
        <f>IF('Données projet'!$A$114&gt;35,BY59+BX60-CG59,IF(A60&lt;'Données projet'!$A$114,$BV$205^A60,IF(A60='Données projet'!$A$114,'Données projet'!$B$114,BY59+BX60-CG59)))</f>
        <v>191.2</v>
      </c>
      <c r="BZ60" s="14">
        <f>BY60*VLOOKUP('Données projet'!$B$12,Paramètres!$A$1:$I$89,3,0)*VLOOKUP('Données projet'!$B$12,Paramètres!$A$1:$I$89,5,0)</f>
        <v>172.99775999999997</v>
      </c>
      <c r="CA60" s="14">
        <f t="shared" si="39"/>
        <v>43.760737531919609</v>
      </c>
      <c r="CB60" s="22">
        <f t="shared" si="10"/>
        <v>377.52104986809326</v>
      </c>
      <c r="CC60" s="62">
        <f t="shared" si="11"/>
        <v>670.85438320142657</v>
      </c>
      <c r="CD60" s="62">
        <f ca="1">AVERAGE(OFFSET($CC$3,0,0,'Données projet'!$E$12+1,1))-AVERAGE(OFFSET($H$3,0,0,'Données projet'!$E$12+1,1))</f>
        <v>429.54141820799617</v>
      </c>
      <c r="CE60" s="62">
        <f t="shared" si="40"/>
        <v>231.36959598460686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0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0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3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7.6</v>
      </c>
      <c r="N61" s="14">
        <f>IF('Données projet'!$A$36&gt;35,N60+M61-V60,IF(A61&lt;'Données projet'!$A$36,$K$205^A61,IF(A61='Données projet'!$A$36,'Données projet'!$B$36,N60+M61-V60)))</f>
        <v>198.79999999999998</v>
      </c>
      <c r="O61" s="14">
        <f>N61*VLOOKUP('Données projet'!$B$9,Paramètres!$A$1:$I$89,3,0)*VLOOKUP('Données projet'!$B$9,Paramètres!$A$1:$I$89,5,0)</f>
        <v>201.58320000000001</v>
      </c>
      <c r="P61" s="14">
        <f t="shared" si="33"/>
        <v>50.091947337331924</v>
      </c>
      <c r="Q61" s="22">
        <f t="shared" si="53"/>
        <v>438.33421494585309</v>
      </c>
      <c r="R61" s="62">
        <f t="shared" si="0"/>
        <v>731.66754827918635</v>
      </c>
      <c r="S61" s="62">
        <f ca="1">AVERAGE(OFFSET($R$3,0,0,'Données projet'!$E$9+1,1))-AVERAGE(OFFSET($H$3,0,0,'Données projet'!$E$9+1,1))</f>
        <v>476.25344680259701</v>
      </c>
      <c r="T61" s="62">
        <f t="shared" si="34"/>
        <v>254.25036207346591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5.2564102564102537</v>
      </c>
      <c r="AI61" s="14">
        <f>IF('Données projet'!$A$62&gt;35,AI60+AH61-AQ60,IF(A61&lt;'Données projet'!$A$62,$AF$205^A61,IF(A61='Données projet'!$A$62,'Données projet'!$B$62,AI60+AH61-AQ60)))</f>
        <v>222.8205128205127</v>
      </c>
      <c r="AJ61" s="14">
        <f>AI61*VLOOKUP('Données projet'!$B$10,Paramètres!$A$1:$I$89,3,0)*VLOOKUP('Données projet'!$B$10,Paramètres!$A$1:$I$89,5,0)</f>
        <v>232.89199999999991</v>
      </c>
      <c r="AK61" s="14">
        <f t="shared" si="35"/>
        <v>56.907544064397435</v>
      </c>
      <c r="AL61" s="22">
        <f t="shared" si="4"/>
        <v>504.73420591215864</v>
      </c>
      <c r="AM61" s="62">
        <f t="shared" si="5"/>
        <v>798.06753924549196</v>
      </c>
      <c r="AN61" s="62">
        <f ca="1">AVERAGE(OFFSET($AM$3,0,0,'Données projet'!$E$10+1,1))-AVERAGE(OFFSET($H$3,0,0,'Données projet'!$E$10+1,1))</f>
        <v>493.70175665335978</v>
      </c>
      <c r="AO61" s="62">
        <f t="shared" si="36"/>
        <v>325.12357781685949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>
        <f>BD61*VLOOKUP('Données projet'!$B$11,Paramètres!$A$1:$I$89,3,0)*VLOOKUP('Données projet'!$B$11,Paramètres!$A$1:$I$89,5,0)</f>
        <v>0</v>
      </c>
      <c r="BF61" s="14" t="e">
        <f t="shared" si="37"/>
        <v>#NUM!</v>
      </c>
      <c r="BG61" s="22" t="e">
        <f t="shared" si="7"/>
        <v>#NUM!</v>
      </c>
      <c r="BH61" s="62" t="e">
        <f t="shared" si="8"/>
        <v>#NUM!</v>
      </c>
      <c r="BI61" s="62">
        <f ca="1">AVERAGE(OFFSET($BH$3,0,0,'Données projet'!$E$11+1,1))-AVERAGE(OFFSET($H$3,0,0,'Données projet'!$E$11+1,1))</f>
        <v>245.09257882574383</v>
      </c>
      <c r="BJ61" s="62">
        <f t="shared" si="38"/>
        <v>342.30266518164211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0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7.6</v>
      </c>
      <c r="BY61" s="13">
        <f>IF('Données projet'!$A$114&gt;35,BY60+BX61-CG60,IF(A61&lt;'Données projet'!$A$114,$BV$205^A61,IF(A61='Données projet'!$A$114,'Données projet'!$B$114,BY60+BX61-CG60)))</f>
        <v>198.79999999999998</v>
      </c>
      <c r="BZ61" s="14">
        <f>BY61*VLOOKUP('Données projet'!$B$12,Paramètres!$A$1:$I$89,3,0)*VLOOKUP('Données projet'!$B$12,Paramètres!$A$1:$I$89,5,0)</f>
        <v>179.87423999999999</v>
      </c>
      <c r="CA61" s="14">
        <f t="shared" si="39"/>
        <v>45.294205745553846</v>
      </c>
      <c r="CB61" s="22">
        <f t="shared" si="10"/>
        <v>392.16837634017293</v>
      </c>
      <c r="CC61" s="62">
        <f t="shared" si="11"/>
        <v>685.50170967350618</v>
      </c>
      <c r="CD61" s="62">
        <f ca="1">AVERAGE(OFFSET($CC$3,0,0,'Données projet'!$E$12+1,1))-AVERAGE(OFFSET($H$3,0,0,'Données projet'!$E$12+1,1))</f>
        <v>429.54141820799617</v>
      </c>
      <c r="CE61" s="62">
        <f t="shared" si="40"/>
        <v>231.36959598460686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0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0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3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7.6</v>
      </c>
      <c r="N62" s="14">
        <f>IF('Données projet'!$A$36&gt;35,N61+M62-V61,IF(A62&lt;'Données projet'!$A$36,$K$205^A62,IF(A62='Données projet'!$A$36,'Données projet'!$B$36,N61+M62-V61)))</f>
        <v>206.39999999999998</v>
      </c>
      <c r="O62" s="14">
        <f>N62*VLOOKUP('Données projet'!$B$9,Paramètres!$A$1:$I$89,3,0)*VLOOKUP('Données projet'!$B$9,Paramètres!$A$1:$I$89,5,0)</f>
        <v>209.28960000000001</v>
      </c>
      <c r="P62" s="14">
        <f t="shared" si="33"/>
        <v>51.780314822292169</v>
      </c>
      <c r="Q62" s="22">
        <f t="shared" si="53"/>
        <v>454.69676831549214</v>
      </c>
      <c r="R62" s="62">
        <f t="shared" si="0"/>
        <v>748.03010164882539</v>
      </c>
      <c r="S62" s="62">
        <f ca="1">AVERAGE(OFFSET($R$3,0,0,'Données projet'!$E$9+1,1))-AVERAGE(OFFSET($H$3,0,0,'Données projet'!$E$9+1,1))</f>
        <v>476.25344680259701</v>
      </c>
      <c r="T62" s="62">
        <f t="shared" si="34"/>
        <v>254.25036207346591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5.2564102564102537</v>
      </c>
      <c r="AI62" s="14">
        <f>IF('Données projet'!$A$62&gt;35,AI61+AH62-AQ61,IF(A62&lt;'Données projet'!$A$62,$AF$205^A62,IF(A62='Données projet'!$A$62,'Données projet'!$B$62,AI61+AH62-AQ61)))</f>
        <v>228.07692307692295</v>
      </c>
      <c r="AJ62" s="14">
        <f>AI62*VLOOKUP('Données projet'!$B$10,Paramètres!$A$1:$I$89,3,0)*VLOOKUP('Données projet'!$B$10,Paramètres!$A$1:$I$89,5,0)</f>
        <v>238.38599999999991</v>
      </c>
      <c r="AK62" s="14">
        <f t="shared" si="35"/>
        <v>58.092134262616966</v>
      </c>
      <c r="AL62" s="22">
        <f t="shared" si="4"/>
        <v>516.3660838407244</v>
      </c>
      <c r="AM62" s="62">
        <f t="shared" si="5"/>
        <v>809.69941717405777</v>
      </c>
      <c r="AN62" s="62">
        <f ca="1">AVERAGE(OFFSET($AM$3,0,0,'Données projet'!$E$10+1,1))-AVERAGE(OFFSET($H$3,0,0,'Données projet'!$E$10+1,1))</f>
        <v>493.70175665335978</v>
      </c>
      <c r="AO62" s="62">
        <f t="shared" si="36"/>
        <v>325.12357781685949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>
        <f>BD62*VLOOKUP('Données projet'!$B$11,Paramètres!$A$1:$I$89,3,0)*VLOOKUP('Données projet'!$B$11,Paramètres!$A$1:$I$89,5,0)</f>
        <v>0</v>
      </c>
      <c r="BF62" s="14" t="e">
        <f t="shared" si="37"/>
        <v>#NUM!</v>
      </c>
      <c r="BG62" s="22" t="e">
        <f t="shared" si="7"/>
        <v>#NUM!</v>
      </c>
      <c r="BH62" s="62" t="e">
        <f t="shared" si="8"/>
        <v>#NUM!</v>
      </c>
      <c r="BI62" s="62">
        <f ca="1">AVERAGE(OFFSET($BH$3,0,0,'Données projet'!$E$11+1,1))-AVERAGE(OFFSET($H$3,0,0,'Données projet'!$E$11+1,1))</f>
        <v>245.09257882574383</v>
      </c>
      <c r="BJ62" s="62">
        <f t="shared" si="38"/>
        <v>342.30266518164211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0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7.6</v>
      </c>
      <c r="BY62" s="13">
        <f>IF('Données projet'!$A$114&gt;35,BY61+BX62-CG61,IF(A62&lt;'Données projet'!$A$114,$BV$205^A62,IF(A62='Données projet'!$A$114,'Données projet'!$B$114,BY61+BX62-CG61)))</f>
        <v>206.39999999999998</v>
      </c>
      <c r="BZ62" s="14">
        <f>BY62*VLOOKUP('Données projet'!$B$12,Paramètres!$A$1:$I$89,3,0)*VLOOKUP('Données projet'!$B$12,Paramètres!$A$1:$I$89,5,0)</f>
        <v>186.75071999999997</v>
      </c>
      <c r="CA62" s="14">
        <f t="shared" si="39"/>
        <v>46.820863587839391</v>
      </c>
      <c r="CB62" s="22">
        <f t="shared" si="10"/>
        <v>406.80384141548689</v>
      </c>
      <c r="CC62" s="62">
        <f t="shared" si="11"/>
        <v>700.13717474882014</v>
      </c>
      <c r="CD62" s="62">
        <f ca="1">AVERAGE(OFFSET($CC$3,0,0,'Données projet'!$E$12+1,1))-AVERAGE(OFFSET($H$3,0,0,'Données projet'!$E$12+1,1))</f>
        <v>429.54141820799617</v>
      </c>
      <c r="CE62" s="62">
        <f t="shared" si="40"/>
        <v>231.36959598460686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0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0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3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214</v>
      </c>
      <c r="L63" s="13">
        <f>VLOOKUP(A63,'Données projet'!$A$35:$I$55,9,0)</f>
        <v>7.6</v>
      </c>
      <c r="M63" s="13">
        <f t="array" ref="M63">INDEX(L:L,MIN(IF(ISNUMBER(L63:L259),ROW(L63:L259),"")))</f>
        <v>7.6</v>
      </c>
      <c r="N63" s="14">
        <f>IF('Données projet'!$A$36&gt;35,N62+M63-V62,IF(A63&lt;'Données projet'!$A$36,$K$205^A63,IF(A63='Données projet'!$A$36,'Données projet'!$B$36,N62+M63-V62)))</f>
        <v>213.99999999999997</v>
      </c>
      <c r="O63" s="14">
        <f>N63*VLOOKUP('Données projet'!$B$9,Paramètres!$A$1:$I$89,3,0)*VLOOKUP('Données projet'!$B$9,Paramètres!$A$1:$I$89,5,0)</f>
        <v>216.99600000000001</v>
      </c>
      <c r="P63" s="14">
        <f t="shared" si="33"/>
        <v>53.461459647386917</v>
      </c>
      <c r="Q63" s="22">
        <f t="shared" si="53"/>
        <v>471.04674221919896</v>
      </c>
      <c r="R63" s="62">
        <f t="shared" si="0"/>
        <v>764.38007555253228</v>
      </c>
      <c r="S63" s="62">
        <f ca="1">AVERAGE(OFFSET($R$3,0,0,'Données projet'!$E$9+1,1))-AVERAGE(OFFSET($H$3,0,0,'Données projet'!$E$9+1,1))</f>
        <v>476.25344680259701</v>
      </c>
      <c r="T63" s="62">
        <f t="shared" si="34"/>
        <v>254.25036207346591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233.33333333333331</v>
      </c>
      <c r="AG63" s="13">
        <f>VLOOKUP(A63,'Données projet'!$A$61:$I$81,9,0)</f>
        <v>5.2564102564102537</v>
      </c>
      <c r="AH63" s="13">
        <f t="array" ref="AH63">INDEX(AG:AG,MIN(IF(ISNUMBER(AG63:AG259),ROW(AG63:AG259),"")))</f>
        <v>5.2564102564102537</v>
      </c>
      <c r="AI63" s="14">
        <f>IF('Données projet'!$A$62&gt;35,AI62+AH63-AQ62,IF(A63&lt;'Données projet'!$A$62,$AF$205^A63,IF(A63='Données projet'!$A$62,'Données projet'!$B$62,AI62+AH63-AQ62)))</f>
        <v>233.3333333333332</v>
      </c>
      <c r="AJ63" s="14">
        <f>AI63*VLOOKUP('Données projet'!$B$10,Paramètres!$A$1:$I$89,3,0)*VLOOKUP('Données projet'!$B$10,Paramètres!$A$1:$I$89,5,0)</f>
        <v>243.87999999999988</v>
      </c>
      <c r="AK63" s="14">
        <f t="shared" si="35"/>
        <v>59.2735506045045</v>
      </c>
      <c r="AL63" s="22">
        <f t="shared" si="4"/>
        <v>527.99243396951181</v>
      </c>
      <c r="AM63" s="62">
        <f t="shared" si="5"/>
        <v>821.32576730284518</v>
      </c>
      <c r="AN63" s="62">
        <f ca="1">AVERAGE(OFFSET($AM$3,0,0,'Données projet'!$E$10+1,1))-AVERAGE(OFFSET($H$3,0,0,'Données projet'!$E$10+1,1))</f>
        <v>493.70175665335978</v>
      </c>
      <c r="AO63" s="62">
        <f t="shared" si="36"/>
        <v>325.12357781685949</v>
      </c>
      <c r="AP63" s="16">
        <f>IF(ISNA(VLOOKUP(A63,'Données projet'!$A$61:$I$81,3,0)),0,VLOOKUP(A63,'Données projet'!$A$61:$I$81,3,0))</f>
        <v>4</v>
      </c>
      <c r="AQ63" s="16">
        <f>IF(ISNA(VLOOKUP(A63,'Données projet'!$A$61:$I$81,4,0)),0,VLOOKUP(A63,'Données projet'!$A$61:$I$81,4,0))</f>
        <v>24.358974358974358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>
        <f>BD63*VLOOKUP('Données projet'!$B$11,Paramètres!$A$1:$I$89,3,0)*VLOOKUP('Données projet'!$B$11,Paramètres!$A$1:$I$89,5,0)</f>
        <v>0</v>
      </c>
      <c r="BF63" s="14" t="e">
        <f t="shared" si="37"/>
        <v>#NUM!</v>
      </c>
      <c r="BG63" s="22" t="e">
        <f t="shared" si="7"/>
        <v>#NUM!</v>
      </c>
      <c r="BH63" s="62" t="e">
        <f t="shared" si="8"/>
        <v>#NUM!</v>
      </c>
      <c r="BI63" s="62">
        <f ca="1">AVERAGE(OFFSET($BH$3,0,0,'Données projet'!$E$11+1,1))-AVERAGE(OFFSET($H$3,0,0,'Données projet'!$E$11+1,1))</f>
        <v>245.09257882574383</v>
      </c>
      <c r="BJ63" s="62">
        <f t="shared" si="38"/>
        <v>342.30266518164211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0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214</v>
      </c>
      <c r="BW63" s="13">
        <f>VLOOKUP(A63,'Données projet'!$A$113:$I$133,9,0)</f>
        <v>7.6</v>
      </c>
      <c r="BX63" s="13">
        <f t="array" ref="BX63">INDEX(BW:BW,MIN(IF(ISNUMBER(BW63:BW259),ROW(BW63:BW259),"")))</f>
        <v>7.6</v>
      </c>
      <c r="BY63" s="13">
        <f>IF('Données projet'!$A$114&gt;35,BY62+BX63-CG62,IF(A63&lt;'Données projet'!$A$114,$BV$205^A63,IF(A63='Données projet'!$A$114,'Données projet'!$B$114,BY62+BX63-CG62)))</f>
        <v>213.99999999999997</v>
      </c>
      <c r="BZ63" s="14">
        <f>BY63*VLOOKUP('Données projet'!$B$12,Paramètres!$A$1:$I$89,3,0)*VLOOKUP('Données projet'!$B$12,Paramètres!$A$1:$I$89,5,0)</f>
        <v>193.62719999999996</v>
      </c>
      <c r="CA63" s="14">
        <f t="shared" si="39"/>
        <v>48.340990547231193</v>
      </c>
      <c r="CB63" s="22">
        <f t="shared" si="10"/>
        <v>421.42793186976087</v>
      </c>
      <c r="CC63" s="62">
        <f t="shared" si="11"/>
        <v>714.76126520309413</v>
      </c>
      <c r="CD63" s="62">
        <f ca="1">AVERAGE(OFFSET($CC$3,0,0,'Données projet'!$E$12+1,1))-AVERAGE(OFFSET($H$3,0,0,'Données projet'!$E$12+1,1))</f>
        <v>429.54141820799617</v>
      </c>
      <c r="CE63" s="62">
        <f t="shared" si="40"/>
        <v>231.36959598460686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0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0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3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7.2</v>
      </c>
      <c r="N64" s="14">
        <f>IF('Données projet'!$A$36&gt;35,N63+M64-V63,IF(A64&lt;'Données projet'!$A$36,$K$205^A64,IF(A64='Données projet'!$A$36,'Données projet'!$B$36,N63+M64-V63)))</f>
        <v>221.19999999999996</v>
      </c>
      <c r="O64" s="14">
        <f>N64*VLOOKUP('Données projet'!$B$9,Paramètres!$A$1:$I$89,3,0)*VLOOKUP('Données projet'!$B$9,Paramètres!$A$1:$I$89,5,0)</f>
        <v>224.29679999999996</v>
      </c>
      <c r="P64" s="14">
        <f t="shared" si="33"/>
        <v>55.047720057866165</v>
      </c>
      <c r="Q64" s="22">
        <f t="shared" si="53"/>
        <v>486.52503910078349</v>
      </c>
      <c r="R64" s="62">
        <f t="shared" si="0"/>
        <v>779.85837243411675</v>
      </c>
      <c r="S64" s="62">
        <f ca="1">AVERAGE(OFFSET($R$3,0,0,'Données projet'!$E$9+1,1))-AVERAGE(OFFSET($H$3,0,0,'Données projet'!$E$9+1,1))</f>
        <v>476.25344680259701</v>
      </c>
      <c r="T64" s="62">
        <f t="shared" si="34"/>
        <v>254.25036207346591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5.0000000000000053</v>
      </c>
      <c r="AI64" s="14">
        <f>IF('Données projet'!$A$62&gt;35,AI63+AH64-AQ63,IF(A64&lt;'Données projet'!$A$62,$AF$205^A64,IF(A64='Données projet'!$A$62,'Données projet'!$B$62,AI63+AH64-AQ63)))</f>
        <v>213.97435897435884</v>
      </c>
      <c r="AJ64" s="14">
        <f>AI64*VLOOKUP('Données projet'!$B$10,Paramètres!$A$1:$I$89,3,0)*VLOOKUP('Données projet'!$B$10,Paramètres!$A$1:$I$89,5,0)</f>
        <v>223.64599999999987</v>
      </c>
      <c r="AK64" s="14">
        <f t="shared" si="35"/>
        <v>54.906566144961104</v>
      </c>
      <c r="AL64" s="22">
        <f t="shared" si="4"/>
        <v>485.14571936914029</v>
      </c>
      <c r="AM64" s="62">
        <f t="shared" si="5"/>
        <v>778.47905270247361</v>
      </c>
      <c r="AN64" s="62">
        <f ca="1">AVERAGE(OFFSET($AM$3,0,0,'Données projet'!$E$10+1,1))-AVERAGE(OFFSET($H$3,0,0,'Données projet'!$E$10+1,1))</f>
        <v>493.70175665335978</v>
      </c>
      <c r="AO64" s="62">
        <f t="shared" si="36"/>
        <v>325.12357781685949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>
        <f>BD64*VLOOKUP('Données projet'!$B$11,Paramètres!$A$1:$I$89,3,0)*VLOOKUP('Données projet'!$B$11,Paramètres!$A$1:$I$89,5,0)</f>
        <v>0</v>
      </c>
      <c r="BF64" s="14" t="e">
        <f t="shared" si="37"/>
        <v>#NUM!</v>
      </c>
      <c r="BG64" s="22" t="e">
        <f t="shared" si="7"/>
        <v>#NUM!</v>
      </c>
      <c r="BH64" s="62" t="e">
        <f t="shared" si="8"/>
        <v>#NUM!</v>
      </c>
      <c r="BI64" s="62">
        <f ca="1">AVERAGE(OFFSET($BH$3,0,0,'Données projet'!$E$11+1,1))-AVERAGE(OFFSET($H$3,0,0,'Données projet'!$E$11+1,1))</f>
        <v>245.09257882574383</v>
      </c>
      <c r="BJ64" s="62">
        <f t="shared" si="38"/>
        <v>342.30266518164211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0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7.2</v>
      </c>
      <c r="BY64" s="13">
        <f>IF('Données projet'!$A$114&gt;35,BY63+BX64-CG63,IF(A64&lt;'Données projet'!$A$114,$BV$205^A64,IF(A64='Données projet'!$A$114,'Données projet'!$B$114,BY63+BX64-CG63)))</f>
        <v>221.19999999999996</v>
      </c>
      <c r="BZ64" s="14">
        <f>BY64*VLOOKUP('Données projet'!$B$12,Paramètres!$A$1:$I$89,3,0)*VLOOKUP('Données projet'!$B$12,Paramètres!$A$1:$I$89,5,0)</f>
        <v>200.14175999999995</v>
      </c>
      <c r="CA64" s="14">
        <f t="shared" si="39"/>
        <v>49.775320997880847</v>
      </c>
      <c r="CB64" s="22">
        <f t="shared" si="10"/>
        <v>435.27224940464231</v>
      </c>
      <c r="CC64" s="62">
        <f t="shared" si="11"/>
        <v>728.60558273797562</v>
      </c>
      <c r="CD64" s="62">
        <f ca="1">AVERAGE(OFFSET($CC$3,0,0,'Données projet'!$E$12+1,1))-AVERAGE(OFFSET($H$3,0,0,'Données projet'!$E$12+1,1))</f>
        <v>429.54141820799617</v>
      </c>
      <c r="CE64" s="62">
        <f t="shared" si="40"/>
        <v>231.36959598460686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0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0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3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7.2</v>
      </c>
      <c r="N65" s="14">
        <f>IF('Données projet'!$A$36&gt;35,N64+M65-V64,IF(A65&lt;'Données projet'!$A$36,$K$205^A65,IF(A65='Données projet'!$A$36,'Données projet'!$B$36,N64+M65-V64)))</f>
        <v>228.39999999999995</v>
      </c>
      <c r="O65" s="14">
        <f>N65*VLOOKUP('Données projet'!$B$9,Paramètres!$A$1:$I$89,3,0)*VLOOKUP('Données projet'!$B$9,Paramètres!$A$1:$I$89,5,0)</f>
        <v>231.59759999999997</v>
      </c>
      <c r="P65" s="14">
        <f t="shared" si="33"/>
        <v>56.627980714948151</v>
      </c>
      <c r="Q65" s="22">
        <f t="shared" si="53"/>
        <v>501.99288641186791</v>
      </c>
      <c r="R65" s="62">
        <f t="shared" si="0"/>
        <v>795.32621974520123</v>
      </c>
      <c r="S65" s="62">
        <f ca="1">AVERAGE(OFFSET($R$3,0,0,'Données projet'!$E$9+1,1))-AVERAGE(OFFSET($H$3,0,0,'Données projet'!$E$9+1,1))</f>
        <v>476.25344680259701</v>
      </c>
      <c r="T65" s="62">
        <f t="shared" si="34"/>
        <v>254.25036207346591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5.0000000000000053</v>
      </c>
      <c r="AI65" s="14">
        <f>IF('Données projet'!$A$62&gt;35,AI64+AH65-AQ64,IF(A65&lt;'Données projet'!$A$62,$AF$205^A65,IF(A65='Données projet'!$A$62,'Données projet'!$B$62,AI64+AH65-AQ64)))</f>
        <v>218.97435897435884</v>
      </c>
      <c r="AJ65" s="14">
        <f>AI65*VLOOKUP('Données projet'!$B$10,Paramètres!$A$1:$I$89,3,0)*VLOOKUP('Données projet'!$B$10,Paramètres!$A$1:$I$89,5,0)</f>
        <v>228.87199999999987</v>
      </c>
      <c r="AK65" s="14">
        <f t="shared" si="35"/>
        <v>56.038711813998113</v>
      </c>
      <c r="AL65" s="22">
        <f t="shared" si="4"/>
        <v>496.21948974271317</v>
      </c>
      <c r="AM65" s="62">
        <f t="shared" si="5"/>
        <v>789.55282307604648</v>
      </c>
      <c r="AN65" s="62">
        <f ca="1">AVERAGE(OFFSET($AM$3,0,0,'Données projet'!$E$10+1,1))-AVERAGE(OFFSET($H$3,0,0,'Données projet'!$E$10+1,1))</f>
        <v>493.70175665335978</v>
      </c>
      <c r="AO65" s="62">
        <f t="shared" si="36"/>
        <v>325.12357781685949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>
        <f>BD65*VLOOKUP('Données projet'!$B$11,Paramètres!$A$1:$I$89,3,0)*VLOOKUP('Données projet'!$B$11,Paramètres!$A$1:$I$89,5,0)</f>
        <v>0</v>
      </c>
      <c r="BF65" s="14" t="e">
        <f t="shared" si="37"/>
        <v>#NUM!</v>
      </c>
      <c r="BG65" s="22" t="e">
        <f t="shared" si="7"/>
        <v>#NUM!</v>
      </c>
      <c r="BH65" s="62" t="e">
        <f t="shared" si="8"/>
        <v>#NUM!</v>
      </c>
      <c r="BI65" s="62">
        <f ca="1">AVERAGE(OFFSET($BH$3,0,0,'Données projet'!$E$11+1,1))-AVERAGE(OFFSET($H$3,0,0,'Données projet'!$E$11+1,1))</f>
        <v>245.09257882574383</v>
      </c>
      <c r="BJ65" s="62">
        <f t="shared" si="38"/>
        <v>342.30266518164211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0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7.2</v>
      </c>
      <c r="BY65" s="13">
        <f>IF('Données projet'!$A$114&gt;35,BY64+BX65-CG64,IF(A65&lt;'Données projet'!$A$114,$BV$205^A65,IF(A65='Données projet'!$A$114,'Données projet'!$B$114,BY64+BX65-CG64)))</f>
        <v>228.39999999999995</v>
      </c>
      <c r="BZ65" s="14">
        <f>BY65*VLOOKUP('Données projet'!$B$12,Paramètres!$A$1:$I$89,3,0)*VLOOKUP('Données projet'!$B$12,Paramètres!$A$1:$I$89,5,0)</f>
        <v>206.65631999999994</v>
      </c>
      <c r="CA65" s="14">
        <f t="shared" si="39"/>
        <v>51.20422634371338</v>
      </c>
      <c r="CB65" s="22">
        <f t="shared" si="10"/>
        <v>449.10711821530072</v>
      </c>
      <c r="CC65" s="62">
        <f t="shared" si="11"/>
        <v>742.44045154863397</v>
      </c>
      <c r="CD65" s="62">
        <f ca="1">AVERAGE(OFFSET($CC$3,0,0,'Données projet'!$E$12+1,1))-AVERAGE(OFFSET($H$3,0,0,'Données projet'!$E$12+1,1))</f>
        <v>429.54141820799617</v>
      </c>
      <c r="CE65" s="62">
        <f t="shared" si="40"/>
        <v>231.36959598460686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0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0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3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7.2</v>
      </c>
      <c r="N66" s="14">
        <f>IF('Données projet'!$A$36&gt;35,N65+M66-V65,IF(A66&lt;'Données projet'!$A$36,$K$205^A66,IF(A66='Données projet'!$A$36,'Données projet'!$B$36,N65+M66-V65)))</f>
        <v>235.59999999999994</v>
      </c>
      <c r="O66" s="14">
        <f>N66*VLOOKUP('Données projet'!$B$9,Paramètres!$A$1:$I$89,3,0)*VLOOKUP('Données projet'!$B$9,Paramètres!$A$1:$I$89,5,0)</f>
        <v>238.89839999999995</v>
      </c>
      <c r="P66" s="14">
        <f t="shared" si="33"/>
        <v>58.202452451868851</v>
      </c>
      <c r="Q66" s="22">
        <f t="shared" si="53"/>
        <v>517.45065135367156</v>
      </c>
      <c r="R66" s="62">
        <f t="shared" si="0"/>
        <v>810.78398468700493</v>
      </c>
      <c r="S66" s="62">
        <f ca="1">AVERAGE(OFFSET($R$3,0,0,'Données projet'!$E$9+1,1))-AVERAGE(OFFSET($H$3,0,0,'Données projet'!$E$9+1,1))</f>
        <v>476.25344680259701</v>
      </c>
      <c r="T66" s="62">
        <f t="shared" si="34"/>
        <v>254.25036207346591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5.0000000000000053</v>
      </c>
      <c r="AI66" s="14">
        <f>IF('Données projet'!$A$62&gt;35,AI65+AH66-AQ65,IF(A66&lt;'Données projet'!$A$62,$AF$205^A66,IF(A66='Données projet'!$A$62,'Données projet'!$B$62,AI65+AH66-AQ65)))</f>
        <v>223.97435897435884</v>
      </c>
      <c r="AJ66" s="14">
        <f>AI66*VLOOKUP('Données projet'!$B$10,Paramètres!$A$1:$I$89,3,0)*VLOOKUP('Données projet'!$B$10,Paramètres!$A$1:$I$89,5,0)</f>
        <v>234.09799999999987</v>
      </c>
      <c r="AK66" s="14">
        <f t="shared" si="35"/>
        <v>57.167852134096286</v>
      </c>
      <c r="AL66" s="22">
        <f t="shared" si="4"/>
        <v>507.28802580021755</v>
      </c>
      <c r="AM66" s="62">
        <f t="shared" si="5"/>
        <v>800.62135913355087</v>
      </c>
      <c r="AN66" s="62">
        <f ca="1">AVERAGE(OFFSET($AM$3,0,0,'Données projet'!$E$10+1,1))-AVERAGE(OFFSET($H$3,0,0,'Données projet'!$E$10+1,1))</f>
        <v>493.70175665335978</v>
      </c>
      <c r="AO66" s="62">
        <f t="shared" si="36"/>
        <v>325.12357781685949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>
        <f>BD66*VLOOKUP('Données projet'!$B$11,Paramètres!$A$1:$I$89,3,0)*VLOOKUP('Données projet'!$B$11,Paramètres!$A$1:$I$89,5,0)</f>
        <v>0</v>
      </c>
      <c r="BF66" s="14" t="e">
        <f t="shared" si="37"/>
        <v>#NUM!</v>
      </c>
      <c r="BG66" s="22" t="e">
        <f t="shared" si="7"/>
        <v>#NUM!</v>
      </c>
      <c r="BH66" s="62" t="e">
        <f t="shared" si="8"/>
        <v>#NUM!</v>
      </c>
      <c r="BI66" s="62">
        <f ca="1">AVERAGE(OFFSET($BH$3,0,0,'Données projet'!$E$11+1,1))-AVERAGE(OFFSET($H$3,0,0,'Données projet'!$E$11+1,1))</f>
        <v>245.09257882574383</v>
      </c>
      <c r="BJ66" s="62">
        <f t="shared" si="38"/>
        <v>342.30266518164211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0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7.2</v>
      </c>
      <c r="BY66" s="13">
        <f>IF('Données projet'!$A$114&gt;35,BY65+BX66-CG65,IF(A66&lt;'Données projet'!$A$114,$BV$205^A66,IF(A66='Données projet'!$A$114,'Données projet'!$B$114,BY65+BX66-CG65)))</f>
        <v>235.59999999999994</v>
      </c>
      <c r="BZ66" s="14">
        <f>BY66*VLOOKUP('Données projet'!$B$12,Paramètres!$A$1:$I$89,3,0)*VLOOKUP('Données projet'!$B$12,Paramètres!$A$1:$I$89,5,0)</f>
        <v>213.17087999999995</v>
      </c>
      <c r="CA66" s="14">
        <f t="shared" si="39"/>
        <v>52.627897224631596</v>
      </c>
      <c r="CB66" s="22">
        <f t="shared" si="10"/>
        <v>462.93287033289988</v>
      </c>
      <c r="CC66" s="62">
        <f t="shared" si="11"/>
        <v>756.2662036662332</v>
      </c>
      <c r="CD66" s="62">
        <f ca="1">AVERAGE(OFFSET($CC$3,0,0,'Données projet'!$E$12+1,1))-AVERAGE(OFFSET($H$3,0,0,'Données projet'!$E$12+1,1))</f>
        <v>429.54141820799617</v>
      </c>
      <c r="CE66" s="62">
        <f t="shared" si="40"/>
        <v>231.36959598460686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0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0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3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7.2</v>
      </c>
      <c r="N67" s="14">
        <f>IF('Données projet'!$A$36&gt;35,N66+M67-V66,IF(A67&lt;'Données projet'!$A$36,$K$205^A67,IF(A67='Données projet'!$A$36,'Données projet'!$B$36,N66+M67-V66)))</f>
        <v>242.79999999999993</v>
      </c>
      <c r="O67" s="14">
        <f>N67*VLOOKUP('Données projet'!$B$9,Paramètres!$A$1:$I$89,3,0)*VLOOKUP('Données projet'!$B$9,Paramètres!$A$1:$I$89,5,0)</f>
        <v>246.19919999999996</v>
      </c>
      <c r="P67" s="14">
        <f t="shared" si="33"/>
        <v>59.77133248344078</v>
      </c>
      <c r="Q67" s="22">
        <f t="shared" ref="Q67:Q98" si="54">(O67+P67)*0.475*44/12</f>
        <v>532.8986774086593</v>
      </c>
      <c r="R67" s="62">
        <f t="shared" ref="R67:R130" si="55">Q67+(I67+J67)*44/12</f>
        <v>826.23201074199255</v>
      </c>
      <c r="S67" s="62">
        <f ca="1">AVERAGE(OFFSET($R$3,0,0,'Données projet'!$E$9+1,1))-AVERAGE(OFFSET($H$3,0,0,'Données projet'!$E$9+1,1))</f>
        <v>476.25344680259701</v>
      </c>
      <c r="T67" s="62">
        <f t="shared" si="34"/>
        <v>254.25036207346591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5.0000000000000053</v>
      </c>
      <c r="AI67" s="14">
        <f>IF('Données projet'!$A$62&gt;35,AI66+AH67-AQ66,IF(A67&lt;'Données projet'!$A$62,$AF$205^A67,IF(A67='Données projet'!$A$62,'Données projet'!$B$62,AI66+AH67-AQ66)))</f>
        <v>228.97435897435884</v>
      </c>
      <c r="AJ67" s="14">
        <f>AI67*VLOOKUP('Données projet'!$B$10,Paramètres!$A$1:$I$89,3,0)*VLOOKUP('Données projet'!$B$10,Paramètres!$A$1:$I$89,5,0)</f>
        <v>239.32399999999987</v>
      </c>
      <c r="AK67" s="14">
        <f t="shared" si="35"/>
        <v>58.294061921376255</v>
      </c>
      <c r="AL67" s="22">
        <f t="shared" si="4"/>
        <v>518.35145784639667</v>
      </c>
      <c r="AM67" s="62">
        <f t="shared" si="5"/>
        <v>811.68479117972993</v>
      </c>
      <c r="AN67" s="62">
        <f ca="1">AVERAGE(OFFSET($AM$3,0,0,'Données projet'!$E$10+1,1))-AVERAGE(OFFSET($H$3,0,0,'Données projet'!$E$10+1,1))</f>
        <v>493.70175665335978</v>
      </c>
      <c r="AO67" s="62">
        <f t="shared" si="36"/>
        <v>325.12357781685949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>
        <f>BD67*VLOOKUP('Données projet'!$B$11,Paramètres!$A$1:$I$89,3,0)*VLOOKUP('Données projet'!$B$11,Paramètres!$A$1:$I$89,5,0)</f>
        <v>0</v>
      </c>
      <c r="BF67" s="14" t="e">
        <f t="shared" si="37"/>
        <v>#NUM!</v>
      </c>
      <c r="BG67" s="22" t="e">
        <f t="shared" si="7"/>
        <v>#NUM!</v>
      </c>
      <c r="BH67" s="62" t="e">
        <f t="shared" si="8"/>
        <v>#NUM!</v>
      </c>
      <c r="BI67" s="62">
        <f ca="1">AVERAGE(OFFSET($BH$3,0,0,'Données projet'!$E$11+1,1))-AVERAGE(OFFSET($H$3,0,0,'Données projet'!$E$11+1,1))</f>
        <v>245.09257882574383</v>
      </c>
      <c r="BJ67" s="62">
        <f t="shared" si="38"/>
        <v>342.30266518164211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0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7.2</v>
      </c>
      <c r="BY67" s="13">
        <f>IF('Données projet'!$A$114&gt;35,BY66+BX67-CG66,IF(A67&lt;'Données projet'!$A$114,$BV$205^A67,IF(A67='Données projet'!$A$114,'Données projet'!$B$114,BY66+BX67-CG66)))</f>
        <v>242.79999999999993</v>
      </c>
      <c r="BZ67" s="14">
        <f>BY67*VLOOKUP('Données projet'!$B$12,Paramètres!$A$1:$I$89,3,0)*VLOOKUP('Données projet'!$B$12,Paramètres!$A$1:$I$89,5,0)</f>
        <v>219.68543999999994</v>
      </c>
      <c r="CA67" s="14">
        <f t="shared" si="39"/>
        <v>54.046511966469559</v>
      </c>
      <c r="CB67" s="22">
        <f t="shared" si="10"/>
        <v>476.74981634160105</v>
      </c>
      <c r="CC67" s="62">
        <f t="shared" si="11"/>
        <v>770.08314967493436</v>
      </c>
      <c r="CD67" s="62">
        <f ca="1">AVERAGE(OFFSET($CC$3,0,0,'Données projet'!$E$12+1,1))-AVERAGE(OFFSET($H$3,0,0,'Données projet'!$E$12+1,1))</f>
        <v>429.54141820799617</v>
      </c>
      <c r="CE67" s="62">
        <f t="shared" si="40"/>
        <v>231.36959598460686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0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0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3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250</v>
      </c>
      <c r="L68" s="13">
        <f>VLOOKUP(A68,'Données projet'!$A$35:$I$55,9,0)</f>
        <v>7.2</v>
      </c>
      <c r="M68" s="13">
        <f t="array" ref="M68">INDEX(L:L,MIN(IF(ISNUMBER(L68:L264),ROW(L68:L264),"")))</f>
        <v>7.2</v>
      </c>
      <c r="N68" s="14">
        <f>IF('Données projet'!$A$36&gt;35,N67+M68-V67,IF(A68&lt;'Données projet'!$A$36,$K$205^A68,IF(A68='Données projet'!$A$36,'Données projet'!$B$36,N67+M68-V67)))</f>
        <v>249.99999999999991</v>
      </c>
      <c r="O68" s="14">
        <f>N68*VLOOKUP('Données projet'!$B$9,Paramètres!$A$1:$I$89,3,0)*VLOOKUP('Données projet'!$B$9,Paramètres!$A$1:$I$89,5,0)</f>
        <v>253.49999999999991</v>
      </c>
      <c r="P68" s="14">
        <f t="shared" si="33"/>
        <v>61.334805663162498</v>
      </c>
      <c r="Q68" s="22">
        <f t="shared" si="54"/>
        <v>548.33728653000776</v>
      </c>
      <c r="R68" s="62">
        <f t="shared" si="55"/>
        <v>841.67061986334102</v>
      </c>
      <c r="S68" s="62">
        <f ca="1">AVERAGE(OFFSET($R$3,0,0,'Données projet'!$E$9+1,1))-AVERAGE(OFFSET($H$3,0,0,'Données projet'!$E$9+1,1))</f>
        <v>476.25344680259701</v>
      </c>
      <c r="T68" s="62">
        <f t="shared" si="34"/>
        <v>254.25036207346591</v>
      </c>
      <c r="U68" s="16">
        <f>IF(ISNA(VLOOKUP(A68,'Données projet'!$A$35:$I$55,3,0)),0,VLOOKUP(A68,'Données projet'!$A$35:$I$55,3,0))</f>
        <v>5</v>
      </c>
      <c r="V68" s="16">
        <f>IF(ISNA(VLOOKUP(A68,'Données projet'!$A$35:$I$55,4,0)),0,VLOOKUP(A68,'Données projet'!$A$35:$I$55,4,0))</f>
        <v>42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233.97435897435898</v>
      </c>
      <c r="AG68" s="13">
        <f>VLOOKUP(A68,'Données projet'!$A$61:$I$81,9,0)</f>
        <v>5.0000000000000053</v>
      </c>
      <c r="AH68" s="13">
        <f t="array" ref="AH68">INDEX(AG:AG,MIN(IF(ISNUMBER(AG68:AG264),ROW(AG68:AG264),"")))</f>
        <v>5.0000000000000053</v>
      </c>
      <c r="AI68" s="14">
        <f>IF('Données projet'!$A$62&gt;35,AI67+AH68-AQ67,IF(A68&lt;'Données projet'!$A$62,$AF$205^A68,IF(A68='Données projet'!$A$62,'Données projet'!$B$62,AI67+AH68-AQ67)))</f>
        <v>233.97435897435884</v>
      </c>
      <c r="AJ68" s="14">
        <f>AI68*VLOOKUP('Données projet'!$B$10,Paramètres!$A$1:$I$89,3,0)*VLOOKUP('Données projet'!$B$10,Paramètres!$A$1:$I$89,5,0)</f>
        <v>244.5499999999999</v>
      </c>
      <c r="AK68" s="14">
        <f t="shared" si="35"/>
        <v>59.417412537913442</v>
      </c>
      <c r="AL68" s="22">
        <f t="shared" ref="AL68:AL131" si="58">(AJ68+AK68)*0.475*44/12</f>
        <v>529.40991017019905</v>
      </c>
      <c r="AM68" s="62">
        <f t="shared" ref="AM68:AM131" si="59">AL68+(AD68+AE68)*44/12</f>
        <v>822.74324350353231</v>
      </c>
      <c r="AN68" s="62">
        <f ca="1">AVERAGE(OFFSET($AM$3,0,0,'Données projet'!$E$10+1,1))-AVERAGE(OFFSET($H$3,0,0,'Données projet'!$E$10+1,1))</f>
        <v>493.70175665335978</v>
      </c>
      <c r="AO68" s="62">
        <f t="shared" si="36"/>
        <v>325.12357781685949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>
        <f>BD68*VLOOKUP('Données projet'!$B$11,Paramètres!$A$1:$I$89,3,0)*VLOOKUP('Données projet'!$B$11,Paramètres!$A$1:$I$89,5,0)</f>
        <v>0</v>
      </c>
      <c r="BF68" s="14" t="e">
        <f t="shared" si="37"/>
        <v>#NUM!</v>
      </c>
      <c r="BG68" s="22" t="e">
        <f t="shared" ref="BG68:BG131" si="61">(BE68+BF68)*0.475*44/12</f>
        <v>#NUM!</v>
      </c>
      <c r="BH68" s="62" t="e">
        <f t="shared" ref="BH68:BH131" si="62">BG68+(AY68+AZ68)*44/12</f>
        <v>#NUM!</v>
      </c>
      <c r="BI68" s="62">
        <f ca="1">AVERAGE(OFFSET($BH$3,0,0,'Données projet'!$E$11+1,1))-AVERAGE(OFFSET($H$3,0,0,'Données projet'!$E$11+1,1))</f>
        <v>245.09257882574383</v>
      </c>
      <c r="BJ68" s="62">
        <f t="shared" si="38"/>
        <v>342.30266518164211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0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>
        <f>VLOOKUP(A68,'Données projet'!$A$113:$I$133,2,0)</f>
        <v>250</v>
      </c>
      <c r="BW68" s="13">
        <f>VLOOKUP(A68,'Données projet'!$A$113:$I$133,9,0)</f>
        <v>7.2</v>
      </c>
      <c r="BX68" s="13">
        <f t="array" ref="BX68">INDEX(BW:BW,MIN(IF(ISNUMBER(BW68:BW264),ROW(BW68:BW264),"")))</f>
        <v>7.2</v>
      </c>
      <c r="BY68" s="13">
        <f>IF('Données projet'!$A$114&gt;35,BY67+BX68-CG67,IF(A68&lt;'Données projet'!$A$114,$BV$205^A68,IF(A68='Données projet'!$A$114,'Données projet'!$B$114,BY67+BX68-CG67)))</f>
        <v>249.99999999999991</v>
      </c>
      <c r="BZ68" s="14">
        <f>BY68*VLOOKUP('Données projet'!$B$12,Paramètres!$A$1:$I$89,3,0)*VLOOKUP('Données projet'!$B$12,Paramètres!$A$1:$I$89,5,0)</f>
        <v>226.19999999999993</v>
      </c>
      <c r="CA68" s="14">
        <f t="shared" si="39"/>
        <v>55.460237717698107</v>
      </c>
      <c r="CB68" s="22">
        <f t="shared" ref="CB68:CB131" si="64">(BZ68+CA68)*0.475*44/12</f>
        <v>490.55824735832402</v>
      </c>
      <c r="CC68" s="62">
        <f t="shared" ref="CC68:CC131" si="65">CB68+(BT68+BU68)*44/12</f>
        <v>783.89158069165728</v>
      </c>
      <c r="CD68" s="62">
        <f ca="1">AVERAGE(OFFSET($CC$3,0,0,'Données projet'!$E$12+1,1))-AVERAGE(OFFSET($H$3,0,0,'Données projet'!$E$12+1,1))</f>
        <v>429.54141820799617</v>
      </c>
      <c r="CE68" s="62">
        <f t="shared" si="40"/>
        <v>231.36959598460686</v>
      </c>
      <c r="CF68" s="16">
        <f>IF(ISNA(VLOOKUP(A68,'Données projet'!$A$113:$I$133,3,0)),0,VLOOKUP(A68,'Données projet'!$A$113:$I$133,3,0))</f>
        <v>5</v>
      </c>
      <c r="CG68" s="16">
        <f>IF(ISNA(VLOOKUP(A68,'Données projet'!$A$113:$I$133,4,0)),0,VLOOKUP(A68,'Données projet'!$A$113:$I$133,4,0))</f>
        <v>42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0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0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3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6.8</v>
      </c>
      <c r="N69" s="14">
        <f>IF('Données projet'!$A$36&gt;35,N68+M69-V68,IF(A69&lt;'Données projet'!$A$36,$K$205^A69,IF(A69='Données projet'!$A$36,'Données projet'!$B$36,N68+M69-V68)))</f>
        <v>214.7999999999999</v>
      </c>
      <c r="O69" s="14">
        <f>N69*VLOOKUP('Données projet'!$B$9,Paramètres!$A$1:$I$89,3,0)*VLOOKUP('Données projet'!$B$9,Paramètres!$A$1:$I$89,5,0)</f>
        <v>217.80719999999994</v>
      </c>
      <c r="P69" s="14">
        <f t="shared" ref="P69:P132" si="87">EXP(-1.0587+0.8836*LN(O69)+0.284)</f>
        <v>53.638013973813976</v>
      </c>
      <c r="Q69" s="22">
        <f t="shared" si="54"/>
        <v>472.76708100439259</v>
      </c>
      <c r="R69" s="62">
        <f t="shared" si="55"/>
        <v>766.10041433772585</v>
      </c>
      <c r="S69" s="62">
        <f ca="1">AVERAGE(OFFSET($R$3,0,0,'Données projet'!$E$9+1,1))-AVERAGE(OFFSET($H$3,0,0,'Données projet'!$E$9+1,1))</f>
        <v>476.25344680259701</v>
      </c>
      <c r="T69" s="62">
        <f t="shared" ref="T69:T132" si="88">$T$3</f>
        <v>254.25036207346591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4.8717948717948669</v>
      </c>
      <c r="AI69" s="14">
        <f>IF('Données projet'!$A$62&gt;35,AI68+AH69-AQ68,IF(A69&lt;'Données projet'!$A$62,$AF$205^A69,IF(A69='Données projet'!$A$62,'Données projet'!$B$62,AI68+AH69-AQ68)))</f>
        <v>238.8461538461537</v>
      </c>
      <c r="AJ69" s="14">
        <f>AI69*VLOOKUP('Données projet'!$B$10,Paramètres!$A$1:$I$89,3,0)*VLOOKUP('Données projet'!$B$10,Paramètres!$A$1:$I$89,5,0)</f>
        <v>249.64199999999988</v>
      </c>
      <c r="AK69" s="14">
        <f t="shared" ref="AK69:AK132" si="89">EXP(-1.0587+0.8836*LN(AJ69)+0.284)</f>
        <v>60.509274148016289</v>
      </c>
      <c r="AL69" s="22">
        <f t="shared" si="58"/>
        <v>540.18013580779473</v>
      </c>
      <c r="AM69" s="62">
        <f t="shared" si="59"/>
        <v>833.5134691411281</v>
      </c>
      <c r="AN69" s="62">
        <f ca="1">AVERAGE(OFFSET($AM$3,0,0,'Données projet'!$E$10+1,1))-AVERAGE(OFFSET($H$3,0,0,'Données projet'!$E$10+1,1))</f>
        <v>493.70175665335978</v>
      </c>
      <c r="AO69" s="62">
        <f t="shared" ref="AO69:AO132" si="90">$AO$3</f>
        <v>325.12357781685949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>
        <f>BD69*VLOOKUP('Données projet'!$B$11,Paramètres!$A$1:$I$89,3,0)*VLOOKUP('Données projet'!$B$11,Paramètres!$A$1:$I$89,5,0)</f>
        <v>0</v>
      </c>
      <c r="BF69" s="14" t="e">
        <f t="shared" ref="BF69:BF132" si="91">EXP(-1.0587+0.8836*LN(BE69)+0.284)</f>
        <v>#NUM!</v>
      </c>
      <c r="BG69" s="22" t="e">
        <f t="shared" si="61"/>
        <v>#NUM!</v>
      </c>
      <c r="BH69" s="62" t="e">
        <f t="shared" si="62"/>
        <v>#NUM!</v>
      </c>
      <c r="BI69" s="62">
        <f ca="1">AVERAGE(OFFSET($BH$3,0,0,'Données projet'!$E$11+1,1))-AVERAGE(OFFSET($H$3,0,0,'Données projet'!$E$11+1,1))</f>
        <v>245.09257882574383</v>
      </c>
      <c r="BJ69" s="62">
        <f t="shared" ref="BJ69:BJ132" si="92">$BJ$3</f>
        <v>342.30266518164211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0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6.8</v>
      </c>
      <c r="BY69" s="13">
        <f>IF('Données projet'!$A$114&gt;35,BY68+BX69-CG68,IF(A69&lt;'Données projet'!$A$114,$BV$205^A69,IF(A69='Données projet'!$A$114,'Données projet'!$B$114,BY68+BX69-CG68)))</f>
        <v>214.7999999999999</v>
      </c>
      <c r="BZ69" s="14">
        <f>BY69*VLOOKUP('Données projet'!$B$12,Paramètres!$A$1:$I$89,3,0)*VLOOKUP('Données projet'!$B$12,Paramètres!$A$1:$I$89,5,0)</f>
        <v>194.3510399999999</v>
      </c>
      <c r="CA69" s="14">
        <f t="shared" ref="CA69:CA132" si="93">EXP(-1.0587+0.8836*LN(BZ69)+0.284)</f>
        <v>48.500634729810116</v>
      </c>
      <c r="CB69" s="22">
        <f t="shared" si="64"/>
        <v>422.96666682108577</v>
      </c>
      <c r="CC69" s="62">
        <f t="shared" si="65"/>
        <v>716.30000015441908</v>
      </c>
      <c r="CD69" s="62">
        <f ca="1">AVERAGE(OFFSET($CC$3,0,0,'Données projet'!$E$12+1,1))-AVERAGE(OFFSET($H$3,0,0,'Données projet'!$E$12+1,1))</f>
        <v>429.54141820799617</v>
      </c>
      <c r="CE69" s="62">
        <f t="shared" ref="CE69:CE132" si="94">$CE$3</f>
        <v>231.36959598460686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0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0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3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6.8</v>
      </c>
      <c r="N70" s="14">
        <f>IF('Données projet'!$A$36&gt;35,N69+M70-V69,IF(A70&lt;'Données projet'!$A$36,$K$205^A70,IF(A70='Données projet'!$A$36,'Données projet'!$B$36,N69+M70-V69)))</f>
        <v>221.59999999999991</v>
      </c>
      <c r="O70" s="14">
        <f>N70*VLOOKUP('Données projet'!$B$9,Paramètres!$A$1:$I$89,3,0)*VLOOKUP('Données projet'!$B$9,Paramètres!$A$1:$I$89,5,0)</f>
        <v>224.7023999999999</v>
      </c>
      <c r="P70" s="14">
        <f t="shared" si="87"/>
        <v>55.135667706678262</v>
      </c>
      <c r="Q70" s="22">
        <f t="shared" si="54"/>
        <v>487.38463458913111</v>
      </c>
      <c r="R70" s="62">
        <f t="shared" si="55"/>
        <v>780.71796792246437</v>
      </c>
      <c r="S70" s="62">
        <f ca="1">AVERAGE(OFFSET($R$3,0,0,'Données projet'!$E$9+1,1))-AVERAGE(OFFSET($H$3,0,0,'Données projet'!$E$9+1,1))</f>
        <v>476.25344680259701</v>
      </c>
      <c r="T70" s="62">
        <f t="shared" si="88"/>
        <v>254.25036207346591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4.8717948717948669</v>
      </c>
      <c r="AI70" s="14">
        <f>IF('Données projet'!$A$62&gt;35,AI69+AH70-AQ69,IF(A70&lt;'Données projet'!$A$62,$AF$205^A70,IF(A70='Données projet'!$A$62,'Données projet'!$B$62,AI69+AH70-AQ69)))</f>
        <v>243.71794871794856</v>
      </c>
      <c r="AJ70" s="14">
        <f>AI70*VLOOKUP('Données projet'!$B$10,Paramètres!$A$1:$I$89,3,0)*VLOOKUP('Données projet'!$B$10,Paramètres!$A$1:$I$89,5,0)</f>
        <v>254.73399999999987</v>
      </c>
      <c r="AK70" s="14">
        <f t="shared" si="89"/>
        <v>61.598546307129801</v>
      </c>
      <c r="AL70" s="22">
        <f t="shared" si="58"/>
        <v>550.94585148491763</v>
      </c>
      <c r="AM70" s="62">
        <f t="shared" si="59"/>
        <v>844.279184818251</v>
      </c>
      <c r="AN70" s="62">
        <f ca="1">AVERAGE(OFFSET($AM$3,0,0,'Données projet'!$E$10+1,1))-AVERAGE(OFFSET($H$3,0,0,'Données projet'!$E$10+1,1))</f>
        <v>493.70175665335978</v>
      </c>
      <c r="AO70" s="62">
        <f t="shared" si="90"/>
        <v>325.12357781685949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>
        <f>BD70*VLOOKUP('Données projet'!$B$11,Paramètres!$A$1:$I$89,3,0)*VLOOKUP('Données projet'!$B$11,Paramètres!$A$1:$I$89,5,0)</f>
        <v>0</v>
      </c>
      <c r="BF70" s="14" t="e">
        <f t="shared" si="91"/>
        <v>#NUM!</v>
      </c>
      <c r="BG70" s="22" t="e">
        <f t="shared" si="61"/>
        <v>#NUM!</v>
      </c>
      <c r="BH70" s="62" t="e">
        <f t="shared" si="62"/>
        <v>#NUM!</v>
      </c>
      <c r="BI70" s="62">
        <f ca="1">AVERAGE(OFFSET($BH$3,0,0,'Données projet'!$E$11+1,1))-AVERAGE(OFFSET($H$3,0,0,'Données projet'!$E$11+1,1))</f>
        <v>245.09257882574383</v>
      </c>
      <c r="BJ70" s="62">
        <f t="shared" si="92"/>
        <v>342.30266518164211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0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6.8</v>
      </c>
      <c r="BY70" s="13">
        <f>IF('Données projet'!$A$114&gt;35,BY69+BX70-CG69,IF(A70&lt;'Données projet'!$A$114,$BV$205^A70,IF(A70='Données projet'!$A$114,'Données projet'!$B$114,BY69+BX70-CG69)))</f>
        <v>221.59999999999991</v>
      </c>
      <c r="BZ70" s="14">
        <f>BY70*VLOOKUP('Données projet'!$B$12,Paramètres!$A$1:$I$89,3,0)*VLOOKUP('Données projet'!$B$12,Paramètres!$A$1:$I$89,5,0)</f>
        <v>200.50367999999992</v>
      </c>
      <c r="CA70" s="14">
        <f t="shared" si="93"/>
        <v>49.854845135229887</v>
      </c>
      <c r="CB70" s="22">
        <f t="shared" si="64"/>
        <v>436.04109794385857</v>
      </c>
      <c r="CC70" s="62">
        <f t="shared" si="65"/>
        <v>729.37443127719189</v>
      </c>
      <c r="CD70" s="62">
        <f ca="1">AVERAGE(OFFSET($CC$3,0,0,'Données projet'!$E$12+1,1))-AVERAGE(OFFSET($H$3,0,0,'Données projet'!$E$12+1,1))</f>
        <v>429.54141820799617</v>
      </c>
      <c r="CE70" s="62">
        <f t="shared" si="94"/>
        <v>231.36959598460686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0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0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3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6.8</v>
      </c>
      <c r="N71" s="14">
        <f>IF('Données projet'!$A$36&gt;35,N70+M71-V70,IF(A71&lt;'Données projet'!$A$36,$K$205^A71,IF(A71='Données projet'!$A$36,'Données projet'!$B$36,N70+M71-V70)))</f>
        <v>228.39999999999992</v>
      </c>
      <c r="O71" s="14">
        <f>N71*VLOOKUP('Données projet'!$B$9,Paramètres!$A$1:$I$89,3,0)*VLOOKUP('Données projet'!$B$9,Paramètres!$A$1:$I$89,5,0)</f>
        <v>231.59759999999994</v>
      </c>
      <c r="P71" s="14">
        <f t="shared" si="87"/>
        <v>56.627980714948151</v>
      </c>
      <c r="Q71" s="22">
        <f t="shared" si="54"/>
        <v>501.99288641186786</v>
      </c>
      <c r="R71" s="62">
        <f t="shared" si="55"/>
        <v>795.32621974520112</v>
      </c>
      <c r="S71" s="62">
        <f ca="1">AVERAGE(OFFSET($R$3,0,0,'Données projet'!$E$9+1,1))-AVERAGE(OFFSET($H$3,0,0,'Données projet'!$E$9+1,1))</f>
        <v>476.25344680259701</v>
      </c>
      <c r="T71" s="62">
        <f t="shared" si="88"/>
        <v>254.25036207346591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4.8717948717948669</v>
      </c>
      <c r="AI71" s="14">
        <f>IF('Données projet'!$A$62&gt;35,AI70+AH71-AQ70,IF(A71&lt;'Données projet'!$A$62,$AF$205^A71,IF(A71='Données projet'!$A$62,'Données projet'!$B$62,AI70+AH71-AQ70)))</f>
        <v>248.58974358974342</v>
      </c>
      <c r="AJ71" s="14">
        <f>AI71*VLOOKUP('Données projet'!$B$10,Paramètres!$A$1:$I$89,3,0)*VLOOKUP('Données projet'!$B$10,Paramètres!$A$1:$I$89,5,0)</f>
        <v>259.82599999999985</v>
      </c>
      <c r="AK71" s="14">
        <f t="shared" si="89"/>
        <v>62.685286742684056</v>
      </c>
      <c r="AL71" s="22">
        <f t="shared" si="58"/>
        <v>561.70715774350776</v>
      </c>
      <c r="AM71" s="62">
        <f t="shared" si="59"/>
        <v>855.04049107684114</v>
      </c>
      <c r="AN71" s="62">
        <f ca="1">AVERAGE(OFFSET($AM$3,0,0,'Données projet'!$E$10+1,1))-AVERAGE(OFFSET($H$3,0,0,'Données projet'!$E$10+1,1))</f>
        <v>493.70175665335978</v>
      </c>
      <c r="AO71" s="62">
        <f t="shared" si="90"/>
        <v>325.12357781685949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>
        <f>BD71*VLOOKUP('Données projet'!$B$11,Paramètres!$A$1:$I$89,3,0)*VLOOKUP('Données projet'!$B$11,Paramètres!$A$1:$I$89,5,0)</f>
        <v>0</v>
      </c>
      <c r="BF71" s="14" t="e">
        <f t="shared" si="91"/>
        <v>#NUM!</v>
      </c>
      <c r="BG71" s="22" t="e">
        <f t="shared" si="61"/>
        <v>#NUM!</v>
      </c>
      <c r="BH71" s="62" t="e">
        <f t="shared" si="62"/>
        <v>#NUM!</v>
      </c>
      <c r="BI71" s="62">
        <f ca="1">AVERAGE(OFFSET($BH$3,0,0,'Données projet'!$E$11+1,1))-AVERAGE(OFFSET($H$3,0,0,'Données projet'!$E$11+1,1))</f>
        <v>245.09257882574383</v>
      </c>
      <c r="BJ71" s="62">
        <f t="shared" si="92"/>
        <v>342.30266518164211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0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6.8</v>
      </c>
      <c r="BY71" s="13">
        <f>IF('Données projet'!$A$114&gt;35,BY70+BX71-CG70,IF(A71&lt;'Données projet'!$A$114,$BV$205^A71,IF(A71='Données projet'!$A$114,'Données projet'!$B$114,BY70+BX71-CG70)))</f>
        <v>228.39999999999992</v>
      </c>
      <c r="BZ71" s="14">
        <f>BY71*VLOOKUP('Données projet'!$B$12,Paramètres!$A$1:$I$89,3,0)*VLOOKUP('Données projet'!$B$12,Paramètres!$A$1:$I$89,5,0)</f>
        <v>206.65631999999994</v>
      </c>
      <c r="CA71" s="14">
        <f t="shared" si="93"/>
        <v>51.20422634371338</v>
      </c>
      <c r="CB71" s="22">
        <f t="shared" si="64"/>
        <v>449.10711821530072</v>
      </c>
      <c r="CC71" s="62">
        <f t="shared" si="65"/>
        <v>742.44045154863397</v>
      </c>
      <c r="CD71" s="62">
        <f ca="1">AVERAGE(OFFSET($CC$3,0,0,'Données projet'!$E$12+1,1))-AVERAGE(OFFSET($H$3,0,0,'Données projet'!$E$12+1,1))</f>
        <v>429.54141820799617</v>
      </c>
      <c r="CE71" s="62">
        <f t="shared" si="94"/>
        <v>231.36959598460686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0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0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3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6.8</v>
      </c>
      <c r="N72" s="14">
        <f>IF('Données projet'!$A$36&gt;35,N71+M72-V71,IF(A72&lt;'Données projet'!$A$36,$K$205^A72,IF(A72='Données projet'!$A$36,'Données projet'!$B$36,N71+M72-V71)))</f>
        <v>235.19999999999993</v>
      </c>
      <c r="O72" s="14">
        <f>N72*VLOOKUP('Données projet'!$B$9,Paramètres!$A$1:$I$89,3,0)*VLOOKUP('Données projet'!$B$9,Paramètres!$A$1:$I$89,5,0)</f>
        <v>238.49279999999996</v>
      </c>
      <c r="P72" s="14">
        <f t="shared" si="87"/>
        <v>58.115130258576542</v>
      </c>
      <c r="Q72" s="22">
        <f t="shared" si="54"/>
        <v>516.59214520035414</v>
      </c>
      <c r="R72" s="62">
        <f t="shared" si="55"/>
        <v>809.92547853368751</v>
      </c>
      <c r="S72" s="62">
        <f ca="1">AVERAGE(OFFSET($R$3,0,0,'Données projet'!$E$9+1,1))-AVERAGE(OFFSET($H$3,0,0,'Données projet'!$E$9+1,1))</f>
        <v>476.25344680259701</v>
      </c>
      <c r="T72" s="62">
        <f t="shared" si="88"/>
        <v>254.25036207346591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4.8717948717948669</v>
      </c>
      <c r="AI72" s="14">
        <f>IF('Données projet'!$A$62&gt;35,AI71+AH72-AQ71,IF(A72&lt;'Données projet'!$A$62,$AF$205^A72,IF(A72='Données projet'!$A$62,'Données projet'!$B$62,AI71+AH72-AQ71)))</f>
        <v>253.46153846153828</v>
      </c>
      <c r="AJ72" s="14">
        <f>AI72*VLOOKUP('Données projet'!$B$10,Paramètres!$A$1:$I$89,3,0)*VLOOKUP('Données projet'!$B$10,Paramètres!$A$1:$I$89,5,0)</f>
        <v>264.91799999999984</v>
      </c>
      <c r="AK72" s="14">
        <f t="shared" si="89"/>
        <v>63.769550790039318</v>
      </c>
      <c r="AL72" s="22">
        <f t="shared" si="58"/>
        <v>572.4641509593182</v>
      </c>
      <c r="AM72" s="62">
        <f t="shared" si="59"/>
        <v>865.79748429265146</v>
      </c>
      <c r="AN72" s="62">
        <f ca="1">AVERAGE(OFFSET($AM$3,0,0,'Données projet'!$E$10+1,1))-AVERAGE(OFFSET($H$3,0,0,'Données projet'!$E$10+1,1))</f>
        <v>493.70175665335978</v>
      </c>
      <c r="AO72" s="62">
        <f t="shared" si="90"/>
        <v>325.12357781685949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>
        <f>BD72*VLOOKUP('Données projet'!$B$11,Paramètres!$A$1:$I$89,3,0)*VLOOKUP('Données projet'!$B$11,Paramètres!$A$1:$I$89,5,0)</f>
        <v>0</v>
      </c>
      <c r="BF72" s="14" t="e">
        <f t="shared" si="91"/>
        <v>#NUM!</v>
      </c>
      <c r="BG72" s="22" t="e">
        <f t="shared" si="61"/>
        <v>#NUM!</v>
      </c>
      <c r="BH72" s="62" t="e">
        <f t="shared" si="62"/>
        <v>#NUM!</v>
      </c>
      <c r="BI72" s="62">
        <f ca="1">AVERAGE(OFFSET($BH$3,0,0,'Données projet'!$E$11+1,1))-AVERAGE(OFFSET($H$3,0,0,'Données projet'!$E$11+1,1))</f>
        <v>245.09257882574383</v>
      </c>
      <c r="BJ72" s="62">
        <f t="shared" si="92"/>
        <v>342.30266518164211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0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6.8</v>
      </c>
      <c r="BY72" s="13">
        <f>IF('Données projet'!$A$114&gt;35,BY71+BX72-CG71,IF(A72&lt;'Données projet'!$A$114,$BV$205^A72,IF(A72='Données projet'!$A$114,'Données projet'!$B$114,BY71+BX72-CG71)))</f>
        <v>235.19999999999993</v>
      </c>
      <c r="BZ72" s="14">
        <f>BY72*VLOOKUP('Données projet'!$B$12,Paramètres!$A$1:$I$89,3,0)*VLOOKUP('Données projet'!$B$12,Paramètres!$A$1:$I$89,5,0)</f>
        <v>212.8089599999999</v>
      </c>
      <c r="CA72" s="14">
        <f t="shared" si="93"/>
        <v>52.548938637485847</v>
      </c>
      <c r="CB72" s="22">
        <f t="shared" si="64"/>
        <v>462.16500679362093</v>
      </c>
      <c r="CC72" s="62">
        <f t="shared" si="65"/>
        <v>755.49834012695419</v>
      </c>
      <c r="CD72" s="62">
        <f ca="1">AVERAGE(OFFSET($CC$3,0,0,'Données projet'!$E$12+1,1))-AVERAGE(OFFSET($H$3,0,0,'Données projet'!$E$12+1,1))</f>
        <v>429.54141820799617</v>
      </c>
      <c r="CE72" s="62">
        <f t="shared" si="94"/>
        <v>231.36959598460686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0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0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3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242</v>
      </c>
      <c r="L73" s="13">
        <f>VLOOKUP(A73,'Données projet'!$A$35:$I$55,9,0)</f>
        <v>6.8</v>
      </c>
      <c r="M73" s="13">
        <f t="array" ref="M73">INDEX(L:L,MIN(IF(ISNUMBER(L73:L269),ROW(L73:L269),"")))</f>
        <v>6.8</v>
      </c>
      <c r="N73" s="14">
        <f>IF('Données projet'!$A$36&gt;35,N72+M73-V72,IF(A73&lt;'Données projet'!$A$36,$K$205^A73,IF(A73='Données projet'!$A$36,'Données projet'!$B$36,N72+M73-V72)))</f>
        <v>241.99999999999994</v>
      </c>
      <c r="O73" s="14">
        <f>N73*VLOOKUP('Données projet'!$B$9,Paramètres!$A$1:$I$89,3,0)*VLOOKUP('Données projet'!$B$9,Paramètres!$A$1:$I$89,5,0)</f>
        <v>245.38799999999995</v>
      </c>
      <c r="P73" s="14">
        <f t="shared" si="87"/>
        <v>59.597282764919569</v>
      </c>
      <c r="Q73" s="22">
        <f t="shared" si="54"/>
        <v>531.18270081556818</v>
      </c>
      <c r="R73" s="62">
        <f t="shared" si="55"/>
        <v>824.51603414890155</v>
      </c>
      <c r="S73" s="62">
        <f ca="1">AVERAGE(OFFSET($R$3,0,0,'Données projet'!$E$9+1,1))-AVERAGE(OFFSET($H$3,0,0,'Données projet'!$E$9+1,1))</f>
        <v>476.25344680259701</v>
      </c>
      <c r="T73" s="62">
        <f t="shared" si="88"/>
        <v>254.25036207346591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258.33333333333331</v>
      </c>
      <c r="AG73" s="13">
        <f>VLOOKUP(A73,'Données projet'!$A$61:$I$81,9,0)</f>
        <v>4.8717948717948669</v>
      </c>
      <c r="AH73" s="13">
        <f t="array" ref="AH73">INDEX(AG:AG,MIN(IF(ISNUMBER(AG73:AG269),ROW(AG73:AG269),"")))</f>
        <v>4.8717948717948669</v>
      </c>
      <c r="AI73" s="14">
        <f>IF('Données projet'!$A$62&gt;35,AI72+AH73-AQ72,IF(A73&lt;'Données projet'!$A$62,$AF$205^A73,IF(A73='Données projet'!$A$62,'Données projet'!$B$62,AI72+AH73-AQ72)))</f>
        <v>258.33333333333314</v>
      </c>
      <c r="AJ73" s="14">
        <f>AI73*VLOOKUP('Données projet'!$B$10,Paramètres!$A$1:$I$89,3,0)*VLOOKUP('Données projet'!$B$10,Paramètres!$A$1:$I$89,5,0)</f>
        <v>270.00999999999982</v>
      </c>
      <c r="AK73" s="14">
        <f t="shared" si="89"/>
        <v>64.851391535647195</v>
      </c>
      <c r="AL73" s="22">
        <f t="shared" si="58"/>
        <v>583.21692359125188</v>
      </c>
      <c r="AM73" s="62">
        <f t="shared" si="59"/>
        <v>876.55025692458526</v>
      </c>
      <c r="AN73" s="62">
        <f ca="1">AVERAGE(OFFSET($AM$3,0,0,'Données projet'!$E$10+1,1))-AVERAGE(OFFSET($H$3,0,0,'Données projet'!$E$10+1,1))</f>
        <v>493.70175665335978</v>
      </c>
      <c r="AO73" s="62">
        <f t="shared" si="90"/>
        <v>325.12357781685949</v>
      </c>
      <c r="AP73" s="16">
        <f>IF(ISNA(VLOOKUP(A73,'Données projet'!$A$61:$I$81,3,0)),0,VLOOKUP(A73,'Données projet'!$A$61:$I$81,3,0))</f>
        <v>5</v>
      </c>
      <c r="AQ73" s="16">
        <f>IF(ISNA(VLOOKUP(A73,'Données projet'!$A$61:$I$81,4,0)),0,VLOOKUP(A73,'Données projet'!$A$61:$I$81,4,0))</f>
        <v>23.076923076923077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>
        <f>BD73*VLOOKUP('Données projet'!$B$11,Paramètres!$A$1:$I$89,3,0)*VLOOKUP('Données projet'!$B$11,Paramètres!$A$1:$I$89,5,0)</f>
        <v>0</v>
      </c>
      <c r="BF73" s="14" t="e">
        <f t="shared" si="91"/>
        <v>#NUM!</v>
      </c>
      <c r="BG73" s="22" t="e">
        <f t="shared" si="61"/>
        <v>#NUM!</v>
      </c>
      <c r="BH73" s="62" t="e">
        <f t="shared" si="62"/>
        <v>#NUM!</v>
      </c>
      <c r="BI73" s="62">
        <f ca="1">AVERAGE(OFFSET($BH$3,0,0,'Données projet'!$E$11+1,1))-AVERAGE(OFFSET($H$3,0,0,'Données projet'!$E$11+1,1))</f>
        <v>245.09257882574383</v>
      </c>
      <c r="BJ73" s="62">
        <f t="shared" si="92"/>
        <v>342.30266518164211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0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>
        <f>VLOOKUP(A73,'Données projet'!$A$113:$I$133,2,0)</f>
        <v>242</v>
      </c>
      <c r="BW73" s="13">
        <f>VLOOKUP(A73,'Données projet'!$A$113:$I$133,9,0)</f>
        <v>6.8</v>
      </c>
      <c r="BX73" s="13">
        <f t="array" ref="BX73">INDEX(BW:BW,MIN(IF(ISNUMBER(BW73:BW269),ROW(BW73:BW269),"")))</f>
        <v>6.8</v>
      </c>
      <c r="BY73" s="13">
        <f>IF('Données projet'!$A$114&gt;35,BY72+BX73-CG72,IF(A73&lt;'Données projet'!$A$114,$BV$205^A73,IF(A73='Données projet'!$A$114,'Données projet'!$B$114,BY72+BX73-CG72)))</f>
        <v>241.99999999999994</v>
      </c>
      <c r="BZ73" s="14">
        <f>BY73*VLOOKUP('Données projet'!$B$12,Paramètres!$A$1:$I$89,3,0)*VLOOKUP('Données projet'!$B$12,Paramètres!$A$1:$I$89,5,0)</f>
        <v>218.96159999999995</v>
      </c>
      <c r="CA73" s="14">
        <f t="shared" si="93"/>
        <v>53.88913250370743</v>
      </c>
      <c r="CB73" s="22">
        <f t="shared" si="64"/>
        <v>475.21502577729035</v>
      </c>
      <c r="CC73" s="62">
        <f t="shared" si="65"/>
        <v>768.54835911062366</v>
      </c>
      <c r="CD73" s="62">
        <f ca="1">AVERAGE(OFFSET($CC$3,0,0,'Données projet'!$E$12+1,1))-AVERAGE(OFFSET($H$3,0,0,'Données projet'!$E$12+1,1))</f>
        <v>429.54141820799617</v>
      </c>
      <c r="CE73" s="62">
        <f t="shared" si="94"/>
        <v>231.36959598460686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0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0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3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6.2</v>
      </c>
      <c r="N74" s="14">
        <f>IF('Données projet'!$A$36&gt;35,N73+M74-V73,IF(A74&lt;'Données projet'!$A$36,$K$205^A74,IF(A74='Données projet'!$A$36,'Données projet'!$B$36,N73+M74-V73)))</f>
        <v>248.19999999999993</v>
      </c>
      <c r="O74" s="14">
        <f>N74*VLOOKUP('Données projet'!$B$9,Paramètres!$A$1:$I$89,3,0)*VLOOKUP('Données projet'!$B$9,Paramètres!$A$1:$I$89,5,0)</f>
        <v>251.67479999999995</v>
      </c>
      <c r="P74" s="14">
        <f t="shared" si="87"/>
        <v>60.944434584138449</v>
      </c>
      <c r="Q74" s="22">
        <f t="shared" si="54"/>
        <v>544.47850023404101</v>
      </c>
      <c r="R74" s="62">
        <f t="shared" si="55"/>
        <v>837.81183356737438</v>
      </c>
      <c r="S74" s="62">
        <f ca="1">AVERAGE(OFFSET($R$3,0,0,'Données projet'!$E$9+1,1))-AVERAGE(OFFSET($H$3,0,0,'Données projet'!$E$9+1,1))</f>
        <v>476.25344680259701</v>
      </c>
      <c r="T74" s="62">
        <f t="shared" si="88"/>
        <v>254.25036207346591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4.4871794871794863</v>
      </c>
      <c r="AI74" s="14">
        <f>IF('Données projet'!$A$62&gt;35,AI73+AH74-AQ73,IF(A74&lt;'Données projet'!$A$62,$AF$205^A74,IF(A74='Données projet'!$A$62,'Données projet'!$B$62,AI73+AH74-AQ73)))</f>
        <v>239.74358974358958</v>
      </c>
      <c r="AJ74" s="14">
        <f>AI74*VLOOKUP('Données projet'!$B$10,Paramètres!$A$1:$I$89,3,0)*VLOOKUP('Données projet'!$B$10,Paramètres!$A$1:$I$89,5,0)</f>
        <v>250.57999999999984</v>
      </c>
      <c r="AK74" s="14">
        <f t="shared" si="89"/>
        <v>60.710122367679979</v>
      </c>
      <c r="AL74" s="22">
        <f t="shared" si="58"/>
        <v>542.16362979037569</v>
      </c>
      <c r="AM74" s="62">
        <f t="shared" si="59"/>
        <v>835.49696312370907</v>
      </c>
      <c r="AN74" s="62">
        <f ca="1">AVERAGE(OFFSET($AM$3,0,0,'Données projet'!$E$10+1,1))-AVERAGE(OFFSET($H$3,0,0,'Données projet'!$E$10+1,1))</f>
        <v>493.70175665335978</v>
      </c>
      <c r="AO74" s="62">
        <f t="shared" si="90"/>
        <v>325.12357781685949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>
        <f>BD74*VLOOKUP('Données projet'!$B$11,Paramètres!$A$1:$I$89,3,0)*VLOOKUP('Données projet'!$B$11,Paramètres!$A$1:$I$89,5,0)</f>
        <v>0</v>
      </c>
      <c r="BF74" s="14" t="e">
        <f t="shared" si="91"/>
        <v>#NUM!</v>
      </c>
      <c r="BG74" s="22" t="e">
        <f t="shared" si="61"/>
        <v>#NUM!</v>
      </c>
      <c r="BH74" s="62" t="e">
        <f t="shared" si="62"/>
        <v>#NUM!</v>
      </c>
      <c r="BI74" s="62">
        <f ca="1">AVERAGE(OFFSET($BH$3,0,0,'Données projet'!$E$11+1,1))-AVERAGE(OFFSET($H$3,0,0,'Données projet'!$E$11+1,1))</f>
        <v>245.09257882574383</v>
      </c>
      <c r="BJ74" s="62">
        <f t="shared" si="92"/>
        <v>342.30266518164211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0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6.2</v>
      </c>
      <c r="BY74" s="13">
        <f>IF('Données projet'!$A$114&gt;35,BY73+BX74-CG73,IF(A74&lt;'Données projet'!$A$114,$BV$205^A74,IF(A74='Données projet'!$A$114,'Données projet'!$B$114,BY73+BX74-CG73)))</f>
        <v>248.19999999999993</v>
      </c>
      <c r="BZ74" s="14">
        <f>BY74*VLOOKUP('Données projet'!$B$12,Paramètres!$A$1:$I$89,3,0)*VLOOKUP('Données projet'!$B$12,Paramètres!$A$1:$I$89,5,0)</f>
        <v>224.57135999999994</v>
      </c>
      <c r="CA74" s="14">
        <f t="shared" si="93"/>
        <v>55.107255873104265</v>
      </c>
      <c r="CB74" s="22">
        <f t="shared" si="64"/>
        <v>487.10692264565643</v>
      </c>
      <c r="CC74" s="62">
        <f t="shared" si="65"/>
        <v>780.44025597898974</v>
      </c>
      <c r="CD74" s="62">
        <f ca="1">AVERAGE(OFFSET($CC$3,0,0,'Données projet'!$E$12+1,1))-AVERAGE(OFFSET($H$3,0,0,'Données projet'!$E$12+1,1))</f>
        <v>429.54141820799617</v>
      </c>
      <c r="CE74" s="62">
        <f t="shared" si="94"/>
        <v>231.36959598460686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0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0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3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6.2</v>
      </c>
      <c r="N75" s="14">
        <f>IF('Données projet'!$A$36&gt;35,N74+M75-V74,IF(A75&lt;'Données projet'!$A$36,$K$205^A75,IF(A75='Données projet'!$A$36,'Données projet'!$B$36,N74+M75-V74)))</f>
        <v>254.39999999999992</v>
      </c>
      <c r="O75" s="14">
        <f>N75*VLOOKUP('Données projet'!$B$9,Paramètres!$A$1:$I$89,3,0)*VLOOKUP('Données projet'!$B$9,Paramètres!$A$1:$I$89,5,0)</f>
        <v>257.96159999999992</v>
      </c>
      <c r="P75" s="14">
        <f t="shared" si="87"/>
        <v>62.287674609742481</v>
      </c>
      <c r="Q75" s="22">
        <f t="shared" si="54"/>
        <v>557.76748661196802</v>
      </c>
      <c r="R75" s="62">
        <f t="shared" si="55"/>
        <v>851.10081994530128</v>
      </c>
      <c r="S75" s="62">
        <f ca="1">AVERAGE(OFFSET($R$3,0,0,'Données projet'!$E$9+1,1))-AVERAGE(OFFSET($H$3,0,0,'Données projet'!$E$9+1,1))</f>
        <v>476.25344680259701</v>
      </c>
      <c r="T75" s="62">
        <f t="shared" si="88"/>
        <v>254.25036207346591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4.4871794871794863</v>
      </c>
      <c r="AI75" s="14">
        <f>IF('Données projet'!$A$62&gt;35,AI74+AH75-AQ74,IF(A75&lt;'Données projet'!$A$62,$AF$205^A75,IF(A75='Données projet'!$A$62,'Données projet'!$B$62,AI74+AH75-AQ74)))</f>
        <v>244.23076923076906</v>
      </c>
      <c r="AJ75" s="14">
        <f>AI75*VLOOKUP('Données projet'!$B$10,Paramètres!$A$1:$I$89,3,0)*VLOOKUP('Données projet'!$B$10,Paramètres!$A$1:$I$89,5,0)</f>
        <v>255.26999999999984</v>
      </c>
      <c r="AK75" s="14">
        <f t="shared" si="89"/>
        <v>61.713058280444663</v>
      </c>
      <c r="AL75" s="22">
        <f t="shared" si="58"/>
        <v>552.07882650510749</v>
      </c>
      <c r="AM75" s="62">
        <f t="shared" si="59"/>
        <v>845.41215983844086</v>
      </c>
      <c r="AN75" s="62">
        <f ca="1">AVERAGE(OFFSET($AM$3,0,0,'Données projet'!$E$10+1,1))-AVERAGE(OFFSET($H$3,0,0,'Données projet'!$E$10+1,1))</f>
        <v>493.70175665335978</v>
      </c>
      <c r="AO75" s="62">
        <f t="shared" si="90"/>
        <v>325.12357781685949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>
        <f>BD75*VLOOKUP('Données projet'!$B$11,Paramètres!$A$1:$I$89,3,0)*VLOOKUP('Données projet'!$B$11,Paramètres!$A$1:$I$89,5,0)</f>
        <v>0</v>
      </c>
      <c r="BF75" s="14" t="e">
        <f t="shared" si="91"/>
        <v>#NUM!</v>
      </c>
      <c r="BG75" s="22" t="e">
        <f t="shared" si="61"/>
        <v>#NUM!</v>
      </c>
      <c r="BH75" s="62" t="e">
        <f t="shared" si="62"/>
        <v>#NUM!</v>
      </c>
      <c r="BI75" s="62">
        <f ca="1">AVERAGE(OFFSET($BH$3,0,0,'Données projet'!$E$11+1,1))-AVERAGE(OFFSET($H$3,0,0,'Données projet'!$E$11+1,1))</f>
        <v>245.09257882574383</v>
      </c>
      <c r="BJ75" s="62">
        <f t="shared" si="92"/>
        <v>342.30266518164211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0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6.2</v>
      </c>
      <c r="BY75" s="13">
        <f>IF('Données projet'!$A$114&gt;35,BY74+BX75-CG74,IF(A75&lt;'Données projet'!$A$114,$BV$205^A75,IF(A75='Données projet'!$A$114,'Données projet'!$B$114,BY74+BX75-CG74)))</f>
        <v>254.39999999999992</v>
      </c>
      <c r="BZ75" s="14">
        <f>BY75*VLOOKUP('Données projet'!$B$12,Paramètres!$A$1:$I$89,3,0)*VLOOKUP('Données projet'!$B$12,Paramètres!$A$1:$I$89,5,0)</f>
        <v>230.18111999999991</v>
      </c>
      <c r="CA75" s="14">
        <f t="shared" si="93"/>
        <v>56.321842115392933</v>
      </c>
      <c r="CB75" s="22">
        <f t="shared" si="64"/>
        <v>498.99265901764255</v>
      </c>
      <c r="CC75" s="62">
        <f t="shared" si="65"/>
        <v>792.32599235097587</v>
      </c>
      <c r="CD75" s="62">
        <f ca="1">AVERAGE(OFFSET($CC$3,0,0,'Données projet'!$E$12+1,1))-AVERAGE(OFFSET($H$3,0,0,'Données projet'!$E$12+1,1))</f>
        <v>429.54141820799617</v>
      </c>
      <c r="CE75" s="62">
        <f t="shared" si="94"/>
        <v>231.36959598460686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0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0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3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6.2</v>
      </c>
      <c r="N76" s="14">
        <f>IF('Données projet'!$A$36&gt;35,N75+M76-V75,IF(A76&lt;'Données projet'!$A$36,$K$205^A76,IF(A76='Données projet'!$A$36,'Données projet'!$B$36,N75+M76-V75)))</f>
        <v>260.59999999999991</v>
      </c>
      <c r="O76" s="14">
        <f>N76*VLOOKUP('Données projet'!$B$9,Paramètres!$A$1:$I$89,3,0)*VLOOKUP('Données projet'!$B$9,Paramètres!$A$1:$I$89,5,0)</f>
        <v>264.24839999999995</v>
      </c>
      <c r="P76" s="14">
        <f t="shared" si="87"/>
        <v>63.627109143733414</v>
      </c>
      <c r="Q76" s="22">
        <f t="shared" si="54"/>
        <v>571.04984509200233</v>
      </c>
      <c r="R76" s="62">
        <f t="shared" si="55"/>
        <v>864.3831784253357</v>
      </c>
      <c r="S76" s="62">
        <f ca="1">AVERAGE(OFFSET($R$3,0,0,'Données projet'!$E$9+1,1))-AVERAGE(OFFSET($H$3,0,0,'Données projet'!$E$9+1,1))</f>
        <v>476.25344680259701</v>
      </c>
      <c r="T76" s="62">
        <f t="shared" si="88"/>
        <v>254.25036207346591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4.4871794871794863</v>
      </c>
      <c r="AI76" s="14">
        <f>IF('Données projet'!$A$62&gt;35,AI75+AH76-AQ75,IF(A76&lt;'Données projet'!$A$62,$AF$205^A76,IF(A76='Données projet'!$A$62,'Données projet'!$B$62,AI75+AH76-AQ75)))</f>
        <v>248.71794871794853</v>
      </c>
      <c r="AJ76" s="14">
        <f>AI76*VLOOKUP('Données projet'!$B$10,Paramètres!$A$1:$I$89,3,0)*VLOOKUP('Données projet'!$B$10,Paramètres!$A$1:$I$89,5,0)</f>
        <v>259.95999999999981</v>
      </c>
      <c r="AK76" s="14">
        <f t="shared" si="89"/>
        <v>62.713851496250946</v>
      </c>
      <c r="AL76" s="22">
        <f t="shared" si="58"/>
        <v>561.99029135597004</v>
      </c>
      <c r="AM76" s="62">
        <f t="shared" si="59"/>
        <v>855.32362468930341</v>
      </c>
      <c r="AN76" s="62">
        <f ca="1">AVERAGE(OFFSET($AM$3,0,0,'Données projet'!$E$10+1,1))-AVERAGE(OFFSET($H$3,0,0,'Données projet'!$E$10+1,1))</f>
        <v>493.70175665335978</v>
      </c>
      <c r="AO76" s="62">
        <f t="shared" si="90"/>
        <v>325.12357781685949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>
        <f>BD76*VLOOKUP('Données projet'!$B$11,Paramètres!$A$1:$I$89,3,0)*VLOOKUP('Données projet'!$B$11,Paramètres!$A$1:$I$89,5,0)</f>
        <v>0</v>
      </c>
      <c r="BF76" s="14" t="e">
        <f t="shared" si="91"/>
        <v>#NUM!</v>
      </c>
      <c r="BG76" s="22" t="e">
        <f t="shared" si="61"/>
        <v>#NUM!</v>
      </c>
      <c r="BH76" s="62" t="e">
        <f t="shared" si="62"/>
        <v>#NUM!</v>
      </c>
      <c r="BI76" s="62">
        <f ca="1">AVERAGE(OFFSET($BH$3,0,0,'Données projet'!$E$11+1,1))-AVERAGE(OFFSET($H$3,0,0,'Données projet'!$E$11+1,1))</f>
        <v>245.09257882574383</v>
      </c>
      <c r="BJ76" s="62">
        <f t="shared" si="92"/>
        <v>342.30266518164211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0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6.2</v>
      </c>
      <c r="BY76" s="13">
        <f>IF('Données projet'!$A$114&gt;35,BY75+BX76-CG75,IF(A76&lt;'Données projet'!$A$114,$BV$205^A76,IF(A76='Données projet'!$A$114,'Données projet'!$B$114,BY75+BX76-CG75)))</f>
        <v>260.59999999999991</v>
      </c>
      <c r="BZ76" s="14">
        <f>BY76*VLOOKUP('Données projet'!$B$12,Paramètres!$A$1:$I$89,3,0)*VLOOKUP('Données projet'!$B$12,Paramètres!$A$1:$I$89,5,0)</f>
        <v>235.7908799999999</v>
      </c>
      <c r="CA76" s="14">
        <f t="shared" si="93"/>
        <v>57.532987351107714</v>
      </c>
      <c r="CB76" s="22">
        <f t="shared" si="64"/>
        <v>510.87240230317911</v>
      </c>
      <c r="CC76" s="62">
        <f t="shared" si="65"/>
        <v>804.20573563651237</v>
      </c>
      <c r="CD76" s="62">
        <f ca="1">AVERAGE(OFFSET($CC$3,0,0,'Données projet'!$E$12+1,1))-AVERAGE(OFFSET($H$3,0,0,'Données projet'!$E$12+1,1))</f>
        <v>429.54141820799617</v>
      </c>
      <c r="CE76" s="62">
        <f t="shared" si="94"/>
        <v>231.36959598460686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0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0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3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6.2</v>
      </c>
      <c r="N77" s="14">
        <f>IF('Données projet'!$A$36&gt;35,N76+M77-V76,IF(A77&lt;'Données projet'!$A$36,$K$205^A77,IF(A77='Données projet'!$A$36,'Données projet'!$B$36,N76+M77-V76)))</f>
        <v>266.7999999999999</v>
      </c>
      <c r="O77" s="14">
        <f>N77*VLOOKUP('Données projet'!$B$9,Paramètres!$A$1:$I$89,3,0)*VLOOKUP('Données projet'!$B$9,Paramètres!$A$1:$I$89,5,0)</f>
        <v>270.53519999999992</v>
      </c>
      <c r="P77" s="14">
        <f t="shared" si="87"/>
        <v>64.962839141501405</v>
      </c>
      <c r="Q77" s="22">
        <f t="shared" si="54"/>
        <v>584.32575150478135</v>
      </c>
      <c r="R77" s="62">
        <f t="shared" si="55"/>
        <v>877.65908483811472</v>
      </c>
      <c r="S77" s="62">
        <f ca="1">AVERAGE(OFFSET($R$3,0,0,'Données projet'!$E$9+1,1))-AVERAGE(OFFSET($H$3,0,0,'Données projet'!$E$9+1,1))</f>
        <v>476.25344680259701</v>
      </c>
      <c r="T77" s="62">
        <f t="shared" si="88"/>
        <v>254.25036207346591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4.4871794871794863</v>
      </c>
      <c r="AI77" s="14">
        <f>IF('Données projet'!$A$62&gt;35,AI76+AH77-AQ76,IF(A77&lt;'Données projet'!$A$62,$AF$205^A77,IF(A77='Données projet'!$A$62,'Données projet'!$B$62,AI76+AH77-AQ76)))</f>
        <v>253.20512820512801</v>
      </c>
      <c r="AJ77" s="14">
        <f>AI77*VLOOKUP('Données projet'!$B$10,Paramètres!$A$1:$I$89,3,0)*VLOOKUP('Données projet'!$B$10,Paramètres!$A$1:$I$89,5,0)</f>
        <v>264.64999999999981</v>
      </c>
      <c r="AK77" s="14">
        <f t="shared" si="89"/>
        <v>63.712545131099922</v>
      </c>
      <c r="AL77" s="22">
        <f t="shared" si="58"/>
        <v>571.89809943666535</v>
      </c>
      <c r="AM77" s="62">
        <f t="shared" si="59"/>
        <v>865.23143276999872</v>
      </c>
      <c r="AN77" s="62">
        <f ca="1">AVERAGE(OFFSET($AM$3,0,0,'Données projet'!$E$10+1,1))-AVERAGE(OFFSET($H$3,0,0,'Données projet'!$E$10+1,1))</f>
        <v>493.70175665335978</v>
      </c>
      <c r="AO77" s="62">
        <f t="shared" si="90"/>
        <v>325.12357781685949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>
        <f>BD77*VLOOKUP('Données projet'!$B$11,Paramètres!$A$1:$I$89,3,0)*VLOOKUP('Données projet'!$B$11,Paramètres!$A$1:$I$89,5,0)</f>
        <v>0</v>
      </c>
      <c r="BF77" s="14" t="e">
        <f t="shared" si="91"/>
        <v>#NUM!</v>
      </c>
      <c r="BG77" s="22" t="e">
        <f t="shared" si="61"/>
        <v>#NUM!</v>
      </c>
      <c r="BH77" s="62" t="e">
        <f t="shared" si="62"/>
        <v>#NUM!</v>
      </c>
      <c r="BI77" s="62">
        <f ca="1">AVERAGE(OFFSET($BH$3,0,0,'Données projet'!$E$11+1,1))-AVERAGE(OFFSET($H$3,0,0,'Données projet'!$E$11+1,1))</f>
        <v>245.09257882574383</v>
      </c>
      <c r="BJ77" s="62">
        <f t="shared" si="92"/>
        <v>342.30266518164211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0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6.2</v>
      </c>
      <c r="BY77" s="13">
        <f>IF('Données projet'!$A$114&gt;35,BY76+BX77-CG76,IF(A77&lt;'Données projet'!$A$114,$BV$205^A77,IF(A77='Données projet'!$A$114,'Données projet'!$B$114,BY76+BX77-CG76)))</f>
        <v>266.7999999999999</v>
      </c>
      <c r="BZ77" s="14">
        <f>BY77*VLOOKUP('Données projet'!$B$12,Paramètres!$A$1:$I$89,3,0)*VLOOKUP('Données projet'!$B$12,Paramètres!$A$1:$I$89,5,0)</f>
        <v>241.40063999999992</v>
      </c>
      <c r="CA77" s="14">
        <f t="shared" si="93"/>
        <v>58.740782866262698</v>
      </c>
      <c r="CB77" s="22">
        <f t="shared" si="64"/>
        <v>522.74631149207403</v>
      </c>
      <c r="CC77" s="62">
        <f t="shared" si="65"/>
        <v>816.07964482540729</v>
      </c>
      <c r="CD77" s="62">
        <f ca="1">AVERAGE(OFFSET($CC$3,0,0,'Données projet'!$E$12+1,1))-AVERAGE(OFFSET($H$3,0,0,'Données projet'!$E$12+1,1))</f>
        <v>429.54141820799617</v>
      </c>
      <c r="CE77" s="62">
        <f t="shared" si="94"/>
        <v>231.36959598460686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0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0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3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273</v>
      </c>
      <c r="L78" s="13">
        <f>VLOOKUP(A78,'Données projet'!$A$35:$I$55,9,0)</f>
        <v>6.2</v>
      </c>
      <c r="M78" s="13">
        <f t="array" ref="M78">INDEX(L:L,MIN(IF(ISNUMBER(L78:L274),ROW(L78:L274),"")))</f>
        <v>6.2</v>
      </c>
      <c r="N78" s="14">
        <f>IF('Données projet'!$A$36&gt;35,N77+M78-V77,IF(A78&lt;'Données projet'!$A$36,$K$205^A78,IF(A78='Données projet'!$A$36,'Données projet'!$B$36,N77+M78-V77)))</f>
        <v>272.99999999999989</v>
      </c>
      <c r="O78" s="14">
        <f>N78*VLOOKUP('Données projet'!$B$9,Paramètres!$A$1:$I$89,3,0)*VLOOKUP('Données projet'!$B$9,Paramètres!$A$1:$I$89,5,0)</f>
        <v>276.82199999999989</v>
      </c>
      <c r="P78" s="14">
        <f t="shared" si="87"/>
        <v>66.29496059864374</v>
      </c>
      <c r="Q78" s="22">
        <f t="shared" si="54"/>
        <v>597.59537304263756</v>
      </c>
      <c r="R78" s="62">
        <f t="shared" si="55"/>
        <v>890.92870637597093</v>
      </c>
      <c r="S78" s="62">
        <f ca="1">AVERAGE(OFFSET($R$3,0,0,'Données projet'!$E$9+1,1))-AVERAGE(OFFSET($H$3,0,0,'Données projet'!$E$9+1,1))</f>
        <v>476.25344680259701</v>
      </c>
      <c r="T78" s="62">
        <f t="shared" si="88"/>
        <v>254.25036207346591</v>
      </c>
      <c r="U78" s="16">
        <f>IF(ISNA(VLOOKUP(A78,'Données projet'!$A$35:$I$55,3,0)),0,VLOOKUP(A78,'Données projet'!$A$35:$I$55,3,0))</f>
        <v>6</v>
      </c>
      <c r="V78" s="16">
        <f>IF(ISNA(VLOOKUP(A78,'Données projet'!$A$35:$I$55,4,0)),0,VLOOKUP(A78,'Données projet'!$A$35:$I$55,4,0))</f>
        <v>42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257.69230769230768</v>
      </c>
      <c r="AG78" s="13">
        <f>VLOOKUP(A78,'Données projet'!$A$61:$I$81,9,0)</f>
        <v>4.4871794871794863</v>
      </c>
      <c r="AH78" s="13">
        <f t="array" ref="AH78">INDEX(AG:AG,MIN(IF(ISNUMBER(AG78:AG274),ROW(AG78:AG274),"")))</f>
        <v>4.4871794871794863</v>
      </c>
      <c r="AI78" s="14">
        <f>IF('Données projet'!$A$62&gt;35,AI77+AH78-AQ77,IF(A78&lt;'Données projet'!$A$62,$AF$205^A78,IF(A78='Données projet'!$A$62,'Données projet'!$B$62,AI77+AH78-AQ77)))</f>
        <v>257.69230769230751</v>
      </c>
      <c r="AJ78" s="14">
        <f>AI78*VLOOKUP('Données projet'!$B$10,Paramètres!$A$1:$I$89,3,0)*VLOOKUP('Données projet'!$B$10,Paramètres!$A$1:$I$89,5,0)</f>
        <v>269.33999999999986</v>
      </c>
      <c r="AK78" s="14">
        <f t="shared" si="89"/>
        <v>64.709180685305114</v>
      </c>
      <c r="AL78" s="22">
        <f t="shared" si="58"/>
        <v>581.80232302690615</v>
      </c>
      <c r="AM78" s="62">
        <f t="shared" si="59"/>
        <v>875.13565636023941</v>
      </c>
      <c r="AN78" s="62">
        <f ca="1">AVERAGE(OFFSET($AM$3,0,0,'Données projet'!$E$10+1,1))-AVERAGE(OFFSET($H$3,0,0,'Données projet'!$E$10+1,1))</f>
        <v>493.70175665335978</v>
      </c>
      <c r="AO78" s="62">
        <f t="shared" si="90"/>
        <v>325.12357781685949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>
        <f>BD78*VLOOKUP('Données projet'!$B$11,Paramètres!$A$1:$I$89,3,0)*VLOOKUP('Données projet'!$B$11,Paramètres!$A$1:$I$89,5,0)</f>
        <v>0</v>
      </c>
      <c r="BF78" s="14" t="e">
        <f t="shared" si="91"/>
        <v>#NUM!</v>
      </c>
      <c r="BG78" s="22" t="e">
        <f t="shared" si="61"/>
        <v>#NUM!</v>
      </c>
      <c r="BH78" s="62" t="e">
        <f t="shared" si="62"/>
        <v>#NUM!</v>
      </c>
      <c r="BI78" s="62">
        <f ca="1">AVERAGE(OFFSET($BH$3,0,0,'Données projet'!$E$11+1,1))-AVERAGE(OFFSET($H$3,0,0,'Données projet'!$E$11+1,1))</f>
        <v>245.09257882574383</v>
      </c>
      <c r="BJ78" s="62">
        <f t="shared" si="92"/>
        <v>342.30266518164211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0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>
        <f>VLOOKUP(A78,'Données projet'!$A$113:$I$133,2,0)</f>
        <v>273</v>
      </c>
      <c r="BW78" s="13">
        <f>VLOOKUP(A78,'Données projet'!$A$113:$I$133,9,0)</f>
        <v>6.2</v>
      </c>
      <c r="BX78" s="13">
        <f t="array" ref="BX78">INDEX(BW:BW,MIN(IF(ISNUMBER(BW78:BW274),ROW(BW78:BW274),"")))</f>
        <v>6.2</v>
      </c>
      <c r="BY78" s="13">
        <f>IF('Données projet'!$A$114&gt;35,BY77+BX78-CG77,IF(A78&lt;'Données projet'!$A$114,$BV$205^A78,IF(A78='Données projet'!$A$114,'Données projet'!$B$114,BY77+BX78-CG77)))</f>
        <v>272.99999999999989</v>
      </c>
      <c r="BZ78" s="14">
        <f>BY78*VLOOKUP('Données projet'!$B$12,Paramètres!$A$1:$I$89,3,0)*VLOOKUP('Données projet'!$B$12,Paramètres!$A$1:$I$89,5,0)</f>
        <v>247.01039999999989</v>
      </c>
      <c r="CA78" s="14">
        <f t="shared" si="93"/>
        <v>59.945315462121812</v>
      </c>
      <c r="CB78" s="22">
        <f t="shared" si="64"/>
        <v>534.61453776319524</v>
      </c>
      <c r="CC78" s="62">
        <f t="shared" si="65"/>
        <v>827.94787109652862</v>
      </c>
      <c r="CD78" s="62">
        <f ca="1">AVERAGE(OFFSET($CC$3,0,0,'Données projet'!$E$12+1,1))-AVERAGE(OFFSET($H$3,0,0,'Données projet'!$E$12+1,1))</f>
        <v>429.54141820799617</v>
      </c>
      <c r="CE78" s="62">
        <f t="shared" si="94"/>
        <v>231.36959598460686</v>
      </c>
      <c r="CF78" s="16">
        <f>IF(ISNA(VLOOKUP(A78,'Données projet'!$A$113:$I$133,3,0)),0,VLOOKUP(A78,'Données projet'!$A$113:$I$133,3,0))</f>
        <v>6</v>
      </c>
      <c r="CG78" s="16">
        <f>IF(ISNA(VLOOKUP(A78,'Données projet'!$A$113:$I$133,4,0)),0,VLOOKUP(A78,'Données projet'!$A$113:$I$133,4,0))</f>
        <v>42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0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0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3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6</v>
      </c>
      <c r="N79" s="14">
        <f>IF('Données projet'!$A$36&gt;35,N78+M79-V78,IF(A79&lt;'Données projet'!$A$36,$K$205^A79,IF(A79='Données projet'!$A$36,'Données projet'!$B$36,N78+M79-V78)))</f>
        <v>236.99999999999989</v>
      </c>
      <c r="O79" s="14">
        <f>N79*VLOOKUP('Données projet'!$B$9,Paramètres!$A$1:$I$89,3,0)*VLOOKUP('Données projet'!$B$9,Paramètres!$A$1:$I$89,5,0)</f>
        <v>240.3179999999999</v>
      </c>
      <c r="P79" s="14">
        <f t="shared" si="87"/>
        <v>58.507944457766484</v>
      </c>
      <c r="Q79" s="22">
        <f t="shared" si="54"/>
        <v>520.45518659727634</v>
      </c>
      <c r="R79" s="62">
        <f t="shared" si="55"/>
        <v>813.78851993060971</v>
      </c>
      <c r="S79" s="62">
        <f ca="1">AVERAGE(OFFSET($R$3,0,0,'Données projet'!$E$9+1,1))-AVERAGE(OFFSET($H$3,0,0,'Données projet'!$E$9+1,1))</f>
        <v>476.25344680259701</v>
      </c>
      <c r="T79" s="62">
        <f t="shared" si="88"/>
        <v>254.25036207346591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4.3589743589743648</v>
      </c>
      <c r="AI79" s="14">
        <f>IF('Données projet'!$A$62&gt;35,AI78+AH79-AQ78,IF(A79&lt;'Données projet'!$A$62,$AF$205^A79,IF(A79='Données projet'!$A$62,'Données projet'!$B$62,AI78+AH79-AQ78)))</f>
        <v>262.05128205128187</v>
      </c>
      <c r="AJ79" s="14">
        <f>AI79*VLOOKUP('Données projet'!$B$10,Paramètres!$A$1:$I$89,3,0)*VLOOKUP('Données projet'!$B$10,Paramètres!$A$1:$I$89,5,0)</f>
        <v>273.89599999999984</v>
      </c>
      <c r="AK79" s="14">
        <f t="shared" si="89"/>
        <v>65.675408141572404</v>
      </c>
      <c r="AL79" s="22">
        <f t="shared" si="58"/>
        <v>591.42020251323834</v>
      </c>
      <c r="AM79" s="62">
        <f t="shared" si="59"/>
        <v>884.75353584657159</v>
      </c>
      <c r="AN79" s="62">
        <f ca="1">AVERAGE(OFFSET($AM$3,0,0,'Données projet'!$E$10+1,1))-AVERAGE(OFFSET($H$3,0,0,'Données projet'!$E$10+1,1))</f>
        <v>493.70175665335978</v>
      </c>
      <c r="AO79" s="62">
        <f t="shared" si="90"/>
        <v>325.12357781685949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>
        <f>BD79*VLOOKUP('Données projet'!$B$11,Paramètres!$A$1:$I$89,3,0)*VLOOKUP('Données projet'!$B$11,Paramètres!$A$1:$I$89,5,0)</f>
        <v>0</v>
      </c>
      <c r="BF79" s="14" t="e">
        <f t="shared" si="91"/>
        <v>#NUM!</v>
      </c>
      <c r="BG79" s="22" t="e">
        <f t="shared" si="61"/>
        <v>#NUM!</v>
      </c>
      <c r="BH79" s="62" t="e">
        <f t="shared" si="62"/>
        <v>#NUM!</v>
      </c>
      <c r="BI79" s="62">
        <f ca="1">AVERAGE(OFFSET($BH$3,0,0,'Données projet'!$E$11+1,1))-AVERAGE(OFFSET($H$3,0,0,'Données projet'!$E$11+1,1))</f>
        <v>245.09257882574383</v>
      </c>
      <c r="BJ79" s="62">
        <f t="shared" si="92"/>
        <v>342.30266518164211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0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6</v>
      </c>
      <c r="BY79" s="13">
        <f>IF('Données projet'!$A$114&gt;35,BY78+BX79-CG78,IF(A79&lt;'Données projet'!$A$114,$BV$205^A79,IF(A79='Données projet'!$A$114,'Données projet'!$B$114,BY78+BX79-CG78)))</f>
        <v>236.99999999999989</v>
      </c>
      <c r="BZ79" s="14">
        <f>BY79*VLOOKUP('Données projet'!$B$12,Paramètres!$A$1:$I$89,3,0)*VLOOKUP('Données projet'!$B$12,Paramètres!$A$1:$I$89,5,0)</f>
        <v>214.43759999999989</v>
      </c>
      <c r="CA79" s="14">
        <f t="shared" si="93"/>
        <v>52.904129603372375</v>
      </c>
      <c r="CB79" s="22">
        <f t="shared" si="64"/>
        <v>465.62017905920658</v>
      </c>
      <c r="CC79" s="62">
        <f t="shared" si="65"/>
        <v>758.95351239253989</v>
      </c>
      <c r="CD79" s="62">
        <f ca="1">AVERAGE(OFFSET($CC$3,0,0,'Données projet'!$E$12+1,1))-AVERAGE(OFFSET($H$3,0,0,'Données projet'!$E$12+1,1))</f>
        <v>429.54141820799617</v>
      </c>
      <c r="CE79" s="62">
        <f t="shared" si="94"/>
        <v>231.36959598460686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0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0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3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6</v>
      </c>
      <c r="N80" s="14">
        <f>IF('Données projet'!$A$36&gt;35,N79+M80-V79,IF(A80&lt;'Données projet'!$A$36,$K$205^A80,IF(A80='Données projet'!$A$36,'Données projet'!$B$36,N79+M80-V79)))</f>
        <v>242.99999999999989</v>
      </c>
      <c r="O80" s="14">
        <f>N80*VLOOKUP('Données projet'!$B$9,Paramètres!$A$1:$I$89,3,0)*VLOOKUP('Données projet'!$B$9,Paramètres!$A$1:$I$89,5,0)</f>
        <v>246.4019999999999</v>
      </c>
      <c r="P80" s="14">
        <f t="shared" si="87"/>
        <v>59.814834475385474</v>
      </c>
      <c r="Q80" s="22">
        <f t="shared" si="54"/>
        <v>533.32765337796286</v>
      </c>
      <c r="R80" s="62">
        <f t="shared" si="55"/>
        <v>826.66098671129612</v>
      </c>
      <c r="S80" s="62">
        <f ca="1">AVERAGE(OFFSET($R$3,0,0,'Données projet'!$E$9+1,1))-AVERAGE(OFFSET($H$3,0,0,'Données projet'!$E$9+1,1))</f>
        <v>476.25344680259701</v>
      </c>
      <c r="T80" s="62">
        <f t="shared" si="88"/>
        <v>254.25036207346591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4.3589743589743648</v>
      </c>
      <c r="AI80" s="14">
        <f>IF('Données projet'!$A$62&gt;35,AI79+AH80-AQ79,IF(A80&lt;'Données projet'!$A$62,$AF$205^A80,IF(A80='Données projet'!$A$62,'Données projet'!$B$62,AI79+AH80-AQ79)))</f>
        <v>266.41025641025624</v>
      </c>
      <c r="AJ80" s="14">
        <f>AI80*VLOOKUP('Données projet'!$B$10,Paramètres!$A$1:$I$89,3,0)*VLOOKUP('Données projet'!$B$10,Paramètres!$A$1:$I$89,5,0)</f>
        <v>278.45199999999988</v>
      </c>
      <c r="AK80" s="14">
        <f t="shared" si="89"/>
        <v>66.639766503676199</v>
      </c>
      <c r="AL80" s="22">
        <f t="shared" si="58"/>
        <v>601.03482666056914</v>
      </c>
      <c r="AM80" s="62">
        <f t="shared" si="59"/>
        <v>894.36815999390251</v>
      </c>
      <c r="AN80" s="62">
        <f ca="1">AVERAGE(OFFSET($AM$3,0,0,'Données projet'!$E$10+1,1))-AVERAGE(OFFSET($H$3,0,0,'Données projet'!$E$10+1,1))</f>
        <v>493.70175665335978</v>
      </c>
      <c r="AO80" s="62">
        <f t="shared" si="90"/>
        <v>325.12357781685949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>
        <f>BD80*VLOOKUP('Données projet'!$B$11,Paramètres!$A$1:$I$89,3,0)*VLOOKUP('Données projet'!$B$11,Paramètres!$A$1:$I$89,5,0)</f>
        <v>0</v>
      </c>
      <c r="BF80" s="14" t="e">
        <f t="shared" si="91"/>
        <v>#NUM!</v>
      </c>
      <c r="BG80" s="22" t="e">
        <f t="shared" si="61"/>
        <v>#NUM!</v>
      </c>
      <c r="BH80" s="62" t="e">
        <f t="shared" si="62"/>
        <v>#NUM!</v>
      </c>
      <c r="BI80" s="62">
        <f ca="1">AVERAGE(OFFSET($BH$3,0,0,'Données projet'!$E$11+1,1))-AVERAGE(OFFSET($H$3,0,0,'Données projet'!$E$11+1,1))</f>
        <v>245.09257882574383</v>
      </c>
      <c r="BJ80" s="62">
        <f t="shared" si="92"/>
        <v>342.30266518164211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0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6</v>
      </c>
      <c r="BY80" s="13">
        <f>IF('Données projet'!$A$114&gt;35,BY79+BX80-CG79,IF(A80&lt;'Données projet'!$A$114,$BV$205^A80,IF(A80='Données projet'!$A$114,'Données projet'!$B$114,BY79+BX80-CG79)))</f>
        <v>242.99999999999989</v>
      </c>
      <c r="BZ80" s="14">
        <f>BY80*VLOOKUP('Données projet'!$B$12,Paramètres!$A$1:$I$89,3,0)*VLOOKUP('Données projet'!$B$12,Paramètres!$A$1:$I$89,5,0)</f>
        <v>219.86639999999989</v>
      </c>
      <c r="CA80" s="14">
        <f t="shared" si="93"/>
        <v>54.085847394182416</v>
      </c>
      <c r="CB80" s="22">
        <f t="shared" si="64"/>
        <v>477.13349754486745</v>
      </c>
      <c r="CC80" s="62">
        <f t="shared" si="65"/>
        <v>770.46683087820077</v>
      </c>
      <c r="CD80" s="62">
        <f ca="1">AVERAGE(OFFSET($CC$3,0,0,'Données projet'!$E$12+1,1))-AVERAGE(OFFSET($H$3,0,0,'Données projet'!$E$12+1,1))</f>
        <v>429.54141820799617</v>
      </c>
      <c r="CE80" s="62">
        <f t="shared" si="94"/>
        <v>231.36959598460686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0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0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3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6</v>
      </c>
      <c r="N81" s="14">
        <f>IF('Données projet'!$A$36&gt;35,N80+M81-V80,IF(A81&lt;'Données projet'!$A$36,$K$205^A81,IF(A81='Données projet'!$A$36,'Données projet'!$B$36,N80+M81-V80)))</f>
        <v>248.99999999999989</v>
      </c>
      <c r="O81" s="14">
        <f>N81*VLOOKUP('Données projet'!$B$9,Paramètres!$A$1:$I$89,3,0)*VLOOKUP('Données projet'!$B$9,Paramètres!$A$1:$I$89,5,0)</f>
        <v>252.4859999999999</v>
      </c>
      <c r="P81" s="14">
        <f t="shared" si="87"/>
        <v>61.117973383957384</v>
      </c>
      <c r="Q81" s="22">
        <f t="shared" si="54"/>
        <v>546.193586977059</v>
      </c>
      <c r="R81" s="62">
        <f t="shared" si="55"/>
        <v>839.52692031039237</v>
      </c>
      <c r="S81" s="62">
        <f ca="1">AVERAGE(OFFSET($R$3,0,0,'Données projet'!$E$9+1,1))-AVERAGE(OFFSET($H$3,0,0,'Données projet'!$E$9+1,1))</f>
        <v>476.25344680259701</v>
      </c>
      <c r="T81" s="62">
        <f t="shared" si="88"/>
        <v>254.25036207346591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4.3589743589743648</v>
      </c>
      <c r="AI81" s="14">
        <f>IF('Données projet'!$A$62&gt;35,AI80+AH81-AQ80,IF(A81&lt;'Données projet'!$A$62,$AF$205^A81,IF(A81='Données projet'!$A$62,'Données projet'!$B$62,AI80+AH81-AQ80)))</f>
        <v>270.7692307692306</v>
      </c>
      <c r="AJ81" s="14">
        <f>AI81*VLOOKUP('Données projet'!$B$10,Paramètres!$A$1:$I$89,3,0)*VLOOKUP('Données projet'!$B$10,Paramètres!$A$1:$I$89,5,0)</f>
        <v>283.00799999999987</v>
      </c>
      <c r="AK81" s="14">
        <f t="shared" si="89"/>
        <v>67.602289883832427</v>
      </c>
      <c r="AL81" s="22">
        <f t="shared" si="58"/>
        <v>610.64625488100796</v>
      </c>
      <c r="AM81" s="62">
        <f t="shared" si="59"/>
        <v>903.97958821434122</v>
      </c>
      <c r="AN81" s="62">
        <f ca="1">AVERAGE(OFFSET($AM$3,0,0,'Données projet'!$E$10+1,1))-AVERAGE(OFFSET($H$3,0,0,'Données projet'!$E$10+1,1))</f>
        <v>493.70175665335978</v>
      </c>
      <c r="AO81" s="62">
        <f t="shared" si="90"/>
        <v>325.12357781685949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>
        <f>BD81*VLOOKUP('Données projet'!$B$11,Paramètres!$A$1:$I$89,3,0)*VLOOKUP('Données projet'!$B$11,Paramètres!$A$1:$I$89,5,0)</f>
        <v>0</v>
      </c>
      <c r="BF81" s="14" t="e">
        <f t="shared" si="91"/>
        <v>#NUM!</v>
      </c>
      <c r="BG81" s="22" t="e">
        <f t="shared" si="61"/>
        <v>#NUM!</v>
      </c>
      <c r="BH81" s="62" t="e">
        <f t="shared" si="62"/>
        <v>#NUM!</v>
      </c>
      <c r="BI81" s="62">
        <f ca="1">AVERAGE(OFFSET($BH$3,0,0,'Données projet'!$E$11+1,1))-AVERAGE(OFFSET($H$3,0,0,'Données projet'!$E$11+1,1))</f>
        <v>245.09257882574383</v>
      </c>
      <c r="BJ81" s="62">
        <f t="shared" si="92"/>
        <v>342.30266518164211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0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6</v>
      </c>
      <c r="BY81" s="13">
        <f>IF('Données projet'!$A$114&gt;35,BY80+BX81-CG80,IF(A81&lt;'Données projet'!$A$114,$BV$205^A81,IF(A81='Données projet'!$A$114,'Données projet'!$B$114,BY80+BX81-CG80)))</f>
        <v>248.99999999999989</v>
      </c>
      <c r="BZ81" s="14">
        <f>BY81*VLOOKUP('Données projet'!$B$12,Paramètres!$A$1:$I$89,3,0)*VLOOKUP('Données projet'!$B$12,Paramètres!$A$1:$I$89,5,0)</f>
        <v>225.29519999999991</v>
      </c>
      <c r="CA81" s="14">
        <f t="shared" si="93"/>
        <v>55.264173352293078</v>
      </c>
      <c r="CB81" s="22">
        <f t="shared" si="64"/>
        <v>488.64090858857691</v>
      </c>
      <c r="CC81" s="62">
        <f t="shared" si="65"/>
        <v>781.97424192191022</v>
      </c>
      <c r="CD81" s="62">
        <f ca="1">AVERAGE(OFFSET($CC$3,0,0,'Données projet'!$E$12+1,1))-AVERAGE(OFFSET($H$3,0,0,'Données projet'!$E$12+1,1))</f>
        <v>429.54141820799617</v>
      </c>
      <c r="CE81" s="62">
        <f t="shared" si="94"/>
        <v>231.36959598460686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0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0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3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6</v>
      </c>
      <c r="N82" s="14">
        <f>IF('Données projet'!$A$36&gt;35,N81+M82-V81,IF(A82&lt;'Données projet'!$A$36,$K$205^A82,IF(A82='Données projet'!$A$36,'Données projet'!$B$36,N81+M82-V81)))</f>
        <v>254.99999999999989</v>
      </c>
      <c r="O82" s="14">
        <f>N82*VLOOKUP('Données projet'!$B$9,Paramètres!$A$1:$I$89,3,0)*VLOOKUP('Données projet'!$B$9,Paramètres!$A$1:$I$89,5,0)</f>
        <v>258.56999999999994</v>
      </c>
      <c r="P82" s="14">
        <f t="shared" si="87"/>
        <v>62.417461971173843</v>
      </c>
      <c r="Q82" s="22">
        <f t="shared" si="54"/>
        <v>559.05316293312762</v>
      </c>
      <c r="R82" s="62">
        <f t="shared" si="55"/>
        <v>852.38649626646088</v>
      </c>
      <c r="S82" s="62">
        <f ca="1">AVERAGE(OFFSET($R$3,0,0,'Données projet'!$E$9+1,1))-AVERAGE(OFFSET($H$3,0,0,'Données projet'!$E$9+1,1))</f>
        <v>476.25344680259701</v>
      </c>
      <c r="T82" s="62">
        <f t="shared" si="88"/>
        <v>254.25036207346591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4.3589743589743648</v>
      </c>
      <c r="AI82" s="14">
        <f>IF('Données projet'!$A$62&gt;35,AI81+AH82-AQ81,IF(A82&lt;'Données projet'!$A$62,$AF$205^A82,IF(A82='Données projet'!$A$62,'Données projet'!$B$62,AI81+AH82-AQ81)))</f>
        <v>275.12820512820497</v>
      </c>
      <c r="AJ82" s="14">
        <f>AI82*VLOOKUP('Données projet'!$B$10,Paramètres!$A$1:$I$89,3,0)*VLOOKUP('Données projet'!$B$10,Paramètres!$A$1:$I$89,5,0)</f>
        <v>287.56399999999985</v>
      </c>
      <c r="AK82" s="14">
        <f t="shared" si="89"/>
        <v>68.563011232963589</v>
      </c>
      <c r="AL82" s="22">
        <f t="shared" si="58"/>
        <v>620.25454456407806</v>
      </c>
      <c r="AM82" s="62">
        <f t="shared" si="59"/>
        <v>913.58787789741132</v>
      </c>
      <c r="AN82" s="62">
        <f ca="1">AVERAGE(OFFSET($AM$3,0,0,'Données projet'!$E$10+1,1))-AVERAGE(OFFSET($H$3,0,0,'Données projet'!$E$10+1,1))</f>
        <v>493.70175665335978</v>
      </c>
      <c r="AO82" s="62">
        <f t="shared" si="90"/>
        <v>325.12357781685949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>
        <f>BD82*VLOOKUP('Données projet'!$B$11,Paramètres!$A$1:$I$89,3,0)*VLOOKUP('Données projet'!$B$11,Paramètres!$A$1:$I$89,5,0)</f>
        <v>0</v>
      </c>
      <c r="BF82" s="14" t="e">
        <f t="shared" si="91"/>
        <v>#NUM!</v>
      </c>
      <c r="BG82" s="22" t="e">
        <f t="shared" si="61"/>
        <v>#NUM!</v>
      </c>
      <c r="BH82" s="62" t="e">
        <f t="shared" si="62"/>
        <v>#NUM!</v>
      </c>
      <c r="BI82" s="62">
        <f ca="1">AVERAGE(OFFSET($BH$3,0,0,'Données projet'!$E$11+1,1))-AVERAGE(OFFSET($H$3,0,0,'Données projet'!$E$11+1,1))</f>
        <v>245.09257882574383</v>
      </c>
      <c r="BJ82" s="62">
        <f t="shared" si="92"/>
        <v>342.30266518164211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0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6</v>
      </c>
      <c r="BY82" s="13">
        <f>IF('Données projet'!$A$114&gt;35,BY81+BX82-CG81,IF(A82&lt;'Données projet'!$A$114,$BV$205^A82,IF(A82='Données projet'!$A$114,'Données projet'!$B$114,BY81+BX82-CG81)))</f>
        <v>254.99999999999989</v>
      </c>
      <c r="BZ82" s="14">
        <f>BY82*VLOOKUP('Données projet'!$B$12,Paramètres!$A$1:$I$89,3,0)*VLOOKUP('Données projet'!$B$12,Paramètres!$A$1:$I$89,5,0)</f>
        <v>230.72399999999988</v>
      </c>
      <c r="CA82" s="14">
        <f t="shared" si="93"/>
        <v>56.439198612082045</v>
      </c>
      <c r="CB82" s="22">
        <f t="shared" si="64"/>
        <v>500.14257091604264</v>
      </c>
      <c r="CC82" s="62">
        <f t="shared" si="65"/>
        <v>793.47590424937596</v>
      </c>
      <c r="CD82" s="62">
        <f ca="1">AVERAGE(OFFSET($CC$3,0,0,'Données projet'!$E$12+1,1))-AVERAGE(OFFSET($H$3,0,0,'Données projet'!$E$12+1,1))</f>
        <v>429.54141820799617</v>
      </c>
      <c r="CE82" s="62">
        <f t="shared" si="94"/>
        <v>231.36959598460686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0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0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3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261</v>
      </c>
      <c r="L83" s="13">
        <f>VLOOKUP(A83,'Données projet'!$A$35:$I$55,9,0)</f>
        <v>6</v>
      </c>
      <c r="M83" s="13">
        <f t="array" ref="M83">INDEX(L:L,MIN(IF(ISNUMBER(L83:L279),ROW(L83:L279),"")))</f>
        <v>6</v>
      </c>
      <c r="N83" s="14">
        <f>IF('Données projet'!$A$36&gt;35,N82+M83-V82,IF(A83&lt;'Données projet'!$A$36,$K$205^A83,IF(A83='Données projet'!$A$36,'Données projet'!$B$36,N82+M83-V82)))</f>
        <v>260.99999999999989</v>
      </c>
      <c r="O83" s="14">
        <f>N83*VLOOKUP('Données projet'!$B$9,Paramètres!$A$1:$I$89,3,0)*VLOOKUP('Données projet'!$B$9,Paramètres!$A$1:$I$89,5,0)</f>
        <v>264.65399999999988</v>
      </c>
      <c r="P83" s="14">
        <f t="shared" si="87"/>
        <v>63.71339601121106</v>
      </c>
      <c r="Q83" s="22">
        <f t="shared" si="54"/>
        <v>571.90654805285897</v>
      </c>
      <c r="R83" s="62">
        <f t="shared" si="55"/>
        <v>865.23988138619234</v>
      </c>
      <c r="S83" s="62">
        <f ca="1">AVERAGE(OFFSET($R$3,0,0,'Données projet'!$E$9+1,1))-AVERAGE(OFFSET($H$3,0,0,'Données projet'!$E$9+1,1))</f>
        <v>476.25344680259701</v>
      </c>
      <c r="T83" s="62">
        <f t="shared" si="88"/>
        <v>254.25036207346591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279.4871794871795</v>
      </c>
      <c r="AG83" s="13">
        <f>VLOOKUP(A83,'Données projet'!$A$61:$I$81,9,0)</f>
        <v>4.3589743589743648</v>
      </c>
      <c r="AH83" s="13">
        <f t="array" ref="AH83">INDEX(AG:AG,MIN(IF(ISNUMBER(AG83:AG279),ROW(AG83:AG279),"")))</f>
        <v>4.3589743589743648</v>
      </c>
      <c r="AI83" s="14">
        <f>IF('Données projet'!$A$62&gt;35,AI82+AH83-AQ82,IF(A83&lt;'Données projet'!$A$62,$AF$205^A83,IF(A83='Données projet'!$A$62,'Données projet'!$B$62,AI82+AH83-AQ82)))</f>
        <v>279.48717948717933</v>
      </c>
      <c r="AJ83" s="14">
        <f>AI83*VLOOKUP('Données projet'!$B$10,Paramètres!$A$1:$I$89,3,0)*VLOOKUP('Données projet'!$B$10,Paramètres!$A$1:$I$89,5,0)</f>
        <v>292.11999999999989</v>
      </c>
      <c r="AK83" s="14">
        <f t="shared" si="89"/>
        <v>69.521962397994116</v>
      </c>
      <c r="AL83" s="22">
        <f t="shared" si="58"/>
        <v>629.85975117650617</v>
      </c>
      <c r="AM83" s="62">
        <f t="shared" si="59"/>
        <v>923.19308450983954</v>
      </c>
      <c r="AN83" s="62">
        <f ca="1">AVERAGE(OFFSET($AM$3,0,0,'Données projet'!$E$10+1,1))-AVERAGE(OFFSET($H$3,0,0,'Données projet'!$E$10+1,1))</f>
        <v>493.70175665335978</v>
      </c>
      <c r="AO83" s="62">
        <f t="shared" si="90"/>
        <v>325.12357781685949</v>
      </c>
      <c r="AP83" s="16">
        <f>IF(ISNA(VLOOKUP(A83,'Données projet'!$A$61:$I$81,3,0)),0,VLOOKUP(A83,'Données projet'!$A$61:$I$81,3,0))</f>
        <v>6</v>
      </c>
      <c r="AQ83" s="16">
        <f>IF(ISNA(VLOOKUP(A83,'Données projet'!$A$61:$I$81,4,0)),0,VLOOKUP(A83,'Données projet'!$A$61:$I$81,4,0))</f>
        <v>22.435897435897434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>
        <f>BD83*VLOOKUP('Données projet'!$B$11,Paramètres!$A$1:$I$89,3,0)*VLOOKUP('Données projet'!$B$11,Paramètres!$A$1:$I$89,5,0)</f>
        <v>0</v>
      </c>
      <c r="BF83" s="14" t="e">
        <f t="shared" si="91"/>
        <v>#NUM!</v>
      </c>
      <c r="BG83" s="22" t="e">
        <f t="shared" si="61"/>
        <v>#NUM!</v>
      </c>
      <c r="BH83" s="62" t="e">
        <f t="shared" si="62"/>
        <v>#NUM!</v>
      </c>
      <c r="BI83" s="62">
        <f ca="1">AVERAGE(OFFSET($BH$3,0,0,'Données projet'!$E$11+1,1))-AVERAGE(OFFSET($H$3,0,0,'Données projet'!$E$11+1,1))</f>
        <v>245.09257882574383</v>
      </c>
      <c r="BJ83" s="62">
        <f t="shared" si="92"/>
        <v>342.30266518164211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0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>
        <f>VLOOKUP(A83,'Données projet'!$A$113:$I$133,2,0)</f>
        <v>261</v>
      </c>
      <c r="BW83" s="13">
        <f>VLOOKUP(A83,'Données projet'!$A$113:$I$133,9,0)</f>
        <v>6</v>
      </c>
      <c r="BX83" s="13">
        <f t="array" ref="BX83">INDEX(BW:BW,MIN(IF(ISNUMBER(BW83:BW279),ROW(BW83:BW279),"")))</f>
        <v>6</v>
      </c>
      <c r="BY83" s="13">
        <f>IF('Données projet'!$A$114&gt;35,BY82+BX83-CG82,IF(A83&lt;'Données projet'!$A$114,$BV$205^A83,IF(A83='Données projet'!$A$114,'Données projet'!$B$114,BY82+BX83-CG82)))</f>
        <v>260.99999999999989</v>
      </c>
      <c r="BZ83" s="14">
        <f>BY83*VLOOKUP('Données projet'!$B$12,Paramètres!$A$1:$I$89,3,0)*VLOOKUP('Données projet'!$B$12,Paramètres!$A$1:$I$89,5,0)</f>
        <v>236.15279999999987</v>
      </c>
      <c r="CA83" s="14">
        <f t="shared" si="93"/>
        <v>57.61100977459931</v>
      </c>
      <c r="CB83" s="22">
        <f t="shared" si="64"/>
        <v>511.63863535742689</v>
      </c>
      <c r="CC83" s="62">
        <f t="shared" si="65"/>
        <v>804.97196869076015</v>
      </c>
      <c r="CD83" s="62">
        <f ca="1">AVERAGE(OFFSET($CC$3,0,0,'Données projet'!$E$12+1,1))-AVERAGE(OFFSET($H$3,0,0,'Données projet'!$E$12+1,1))</f>
        <v>429.54141820799617</v>
      </c>
      <c r="CE83" s="62">
        <f t="shared" si="94"/>
        <v>231.36959598460686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0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0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3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3.5</v>
      </c>
      <c r="N84" s="14">
        <f>IF('Données projet'!$A$36&gt;35,N83+M84-V83,IF(A84&lt;'Données projet'!$A$36,$K$205^A84,IF(A84='Données projet'!$A$36,'Données projet'!$B$36,N83+M84-V83)))</f>
        <v>264.49999999999989</v>
      </c>
      <c r="O84" s="14">
        <f>N84*VLOOKUP('Données projet'!$B$9,Paramètres!$A$1:$I$89,3,0)*VLOOKUP('Données projet'!$B$9,Paramètres!$A$1:$I$89,5,0)</f>
        <v>268.20299999999992</v>
      </c>
      <c r="P84" s="14">
        <f t="shared" si="87"/>
        <v>64.467752442973335</v>
      </c>
      <c r="Q84" s="22">
        <f t="shared" si="54"/>
        <v>579.40156050484518</v>
      </c>
      <c r="R84" s="62">
        <f t="shared" si="55"/>
        <v>872.73489383817855</v>
      </c>
      <c r="S84" s="62">
        <f ca="1">AVERAGE(OFFSET($R$3,0,0,'Données projet'!$E$9+1,1))-AVERAGE(OFFSET($H$3,0,0,'Données projet'!$E$9+1,1))</f>
        <v>476.25344680259701</v>
      </c>
      <c r="T84" s="62">
        <f t="shared" si="88"/>
        <v>254.25036207346591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3.9743589743589722</v>
      </c>
      <c r="AI84" s="14">
        <f>IF('Données projet'!$A$62&gt;35,AI83+AH84-AQ83,IF(A84&lt;'Données projet'!$A$62,$AF$205^A84,IF(A84='Données projet'!$A$62,'Données projet'!$B$62,AI83+AH84-AQ83)))</f>
        <v>261.02564102564082</v>
      </c>
      <c r="AJ84" s="14">
        <f>AI84*VLOOKUP('Données projet'!$B$10,Paramètres!$A$1:$I$89,3,0)*VLOOKUP('Données projet'!$B$10,Paramètres!$A$1:$I$89,5,0)</f>
        <v>272.82399999999984</v>
      </c>
      <c r="AK84" s="14">
        <f t="shared" si="89"/>
        <v>65.448229947121135</v>
      </c>
      <c r="AL84" s="22">
        <f t="shared" si="58"/>
        <v>589.15746715790237</v>
      </c>
      <c r="AM84" s="62">
        <f t="shared" si="59"/>
        <v>882.49080049123563</v>
      </c>
      <c r="AN84" s="62">
        <f ca="1">AVERAGE(OFFSET($AM$3,0,0,'Données projet'!$E$10+1,1))-AVERAGE(OFFSET($H$3,0,0,'Données projet'!$E$10+1,1))</f>
        <v>493.70175665335978</v>
      </c>
      <c r="AO84" s="62">
        <f t="shared" si="90"/>
        <v>325.12357781685949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>
        <f>BD84*VLOOKUP('Données projet'!$B$11,Paramètres!$A$1:$I$89,3,0)*VLOOKUP('Données projet'!$B$11,Paramètres!$A$1:$I$89,5,0)</f>
        <v>0</v>
      </c>
      <c r="BF84" s="14" t="e">
        <f t="shared" si="91"/>
        <v>#NUM!</v>
      </c>
      <c r="BG84" s="22" t="e">
        <f t="shared" si="61"/>
        <v>#NUM!</v>
      </c>
      <c r="BH84" s="62" t="e">
        <f t="shared" si="62"/>
        <v>#NUM!</v>
      </c>
      <c r="BI84" s="62">
        <f ca="1">AVERAGE(OFFSET($BH$3,0,0,'Données projet'!$E$11+1,1))-AVERAGE(OFFSET($H$3,0,0,'Données projet'!$E$11+1,1))</f>
        <v>245.09257882574383</v>
      </c>
      <c r="BJ84" s="62">
        <f t="shared" si="92"/>
        <v>342.30266518164211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0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3.5</v>
      </c>
      <c r="BY84" s="13">
        <f>IF('Données projet'!$A$114&gt;35,BY83+BX84-CG83,IF(A84&lt;'Données projet'!$A$114,$BV$205^A84,IF(A84='Données projet'!$A$114,'Données projet'!$B$114,BY83+BX84-CG83)))</f>
        <v>264.49999999999989</v>
      </c>
      <c r="BZ84" s="14">
        <f>BY84*VLOOKUP('Données projet'!$B$12,Paramètres!$A$1:$I$89,3,0)*VLOOKUP('Données projet'!$B$12,Paramètres!$A$1:$I$89,5,0)</f>
        <v>239.31959999999987</v>
      </c>
      <c r="CA84" s="14">
        <f t="shared" si="93"/>
        <v>58.293114928060888</v>
      </c>
      <c r="CB84" s="22">
        <f t="shared" si="64"/>
        <v>518.34214516637246</v>
      </c>
      <c r="CC84" s="62">
        <f t="shared" si="65"/>
        <v>811.67547849970583</v>
      </c>
      <c r="CD84" s="62">
        <f ca="1">AVERAGE(OFFSET($CC$3,0,0,'Données projet'!$E$12+1,1))-AVERAGE(OFFSET($H$3,0,0,'Données projet'!$E$12+1,1))</f>
        <v>429.54141820799617</v>
      </c>
      <c r="CE84" s="62">
        <f t="shared" si="94"/>
        <v>231.36959598460686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0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0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3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3.5</v>
      </c>
      <c r="N85" s="14">
        <f>IF('Données projet'!$A$36&gt;35,N84+M85-V84,IF(A85&lt;'Données projet'!$A$36,$K$205^A85,IF(A85='Données projet'!$A$36,'Données projet'!$B$36,N84+M85-V84)))</f>
        <v>267.99999999999989</v>
      </c>
      <c r="O85" s="14">
        <f>N85*VLOOKUP('Données projet'!$B$9,Paramètres!$A$1:$I$89,3,0)*VLOOKUP('Données projet'!$B$9,Paramètres!$A$1:$I$89,5,0)</f>
        <v>271.7519999999999</v>
      </c>
      <c r="P85" s="14">
        <f t="shared" si="87"/>
        <v>65.220947824724931</v>
      </c>
      <c r="Q85" s="22">
        <f t="shared" si="54"/>
        <v>586.89455079472907</v>
      </c>
      <c r="R85" s="62">
        <f t="shared" si="55"/>
        <v>880.22788412806244</v>
      </c>
      <c r="S85" s="62">
        <f ca="1">AVERAGE(OFFSET($R$3,0,0,'Données projet'!$E$9+1,1))-AVERAGE(OFFSET($H$3,0,0,'Données projet'!$E$9+1,1))</f>
        <v>476.25344680259701</v>
      </c>
      <c r="T85" s="62">
        <f t="shared" si="88"/>
        <v>254.25036207346591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3.9743589743589722</v>
      </c>
      <c r="AI85" s="14">
        <f>IF('Données projet'!$A$62&gt;35,AI84+AH85-AQ84,IF(A85&lt;'Données projet'!$A$62,$AF$205^A85,IF(A85='Données projet'!$A$62,'Données projet'!$B$62,AI84+AH85-AQ84)))</f>
        <v>264.99999999999977</v>
      </c>
      <c r="AJ85" s="14">
        <f>AI85*VLOOKUP('Données projet'!$B$10,Paramètres!$A$1:$I$89,3,0)*VLOOKUP('Données projet'!$B$10,Paramètres!$A$1:$I$89,5,0)</f>
        <v>276.97799999999978</v>
      </c>
      <c r="AK85" s="14">
        <f t="shared" si="89"/>
        <v>66.327970633211649</v>
      </c>
      <c r="AL85" s="22">
        <f t="shared" si="58"/>
        <v>597.92456551950988</v>
      </c>
      <c r="AM85" s="62">
        <f t="shared" si="59"/>
        <v>891.25789885284325</v>
      </c>
      <c r="AN85" s="62">
        <f ca="1">AVERAGE(OFFSET($AM$3,0,0,'Données projet'!$E$10+1,1))-AVERAGE(OFFSET($H$3,0,0,'Données projet'!$E$10+1,1))</f>
        <v>493.70175665335978</v>
      </c>
      <c r="AO85" s="62">
        <f t="shared" si="90"/>
        <v>325.12357781685949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>
        <f>BD85*VLOOKUP('Données projet'!$B$11,Paramètres!$A$1:$I$89,3,0)*VLOOKUP('Données projet'!$B$11,Paramètres!$A$1:$I$89,5,0)</f>
        <v>0</v>
      </c>
      <c r="BF85" s="14" t="e">
        <f t="shared" si="91"/>
        <v>#NUM!</v>
      </c>
      <c r="BG85" s="22" t="e">
        <f t="shared" si="61"/>
        <v>#NUM!</v>
      </c>
      <c r="BH85" s="62" t="e">
        <f t="shared" si="62"/>
        <v>#NUM!</v>
      </c>
      <c r="BI85" s="62">
        <f ca="1">AVERAGE(OFFSET($BH$3,0,0,'Données projet'!$E$11+1,1))-AVERAGE(OFFSET($H$3,0,0,'Données projet'!$E$11+1,1))</f>
        <v>245.09257882574383</v>
      </c>
      <c r="BJ85" s="62">
        <f t="shared" si="92"/>
        <v>342.30266518164211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0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3.5</v>
      </c>
      <c r="BY85" s="13">
        <f>IF('Données projet'!$A$114&gt;35,BY84+BX85-CG84,IF(A85&lt;'Données projet'!$A$114,$BV$205^A85,IF(A85='Données projet'!$A$114,'Données projet'!$B$114,BY84+BX85-CG84)))</f>
        <v>267.99999999999989</v>
      </c>
      <c r="BZ85" s="14">
        <f>BY85*VLOOKUP('Données projet'!$B$12,Paramètres!$A$1:$I$89,3,0)*VLOOKUP('Données projet'!$B$12,Paramètres!$A$1:$I$89,5,0)</f>
        <v>242.48639999999986</v>
      </c>
      <c r="CA85" s="14">
        <f t="shared" si="93"/>
        <v>58.974170235372419</v>
      </c>
      <c r="CB85" s="22">
        <f t="shared" si="64"/>
        <v>525.04382649327329</v>
      </c>
      <c r="CC85" s="62">
        <f t="shared" si="65"/>
        <v>818.37715982660666</v>
      </c>
      <c r="CD85" s="62">
        <f ca="1">AVERAGE(OFFSET($CC$3,0,0,'Données projet'!$E$12+1,1))-AVERAGE(OFFSET($H$3,0,0,'Données projet'!$E$12+1,1))</f>
        <v>429.54141820799617</v>
      </c>
      <c r="CE85" s="62">
        <f t="shared" si="94"/>
        <v>231.36959598460686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0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0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3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3.5</v>
      </c>
      <c r="N86" s="14">
        <f>IF('Données projet'!$A$36&gt;35,N85+M86-V85,IF(A86&lt;'Données projet'!$A$36,$K$205^A86,IF(A86='Données projet'!$A$36,'Données projet'!$B$36,N85+M86-V85)))</f>
        <v>271.49999999999989</v>
      </c>
      <c r="O86" s="14">
        <f>N86*VLOOKUP('Données projet'!$B$9,Paramètres!$A$1:$I$89,3,0)*VLOOKUP('Données projet'!$B$9,Paramètres!$A$1:$I$89,5,0)</f>
        <v>275.30099999999993</v>
      </c>
      <c r="P86" s="14">
        <f t="shared" si="87"/>
        <v>65.972999072509225</v>
      </c>
      <c r="Q86" s="22">
        <f t="shared" si="54"/>
        <v>594.38554838462005</v>
      </c>
      <c r="R86" s="62">
        <f t="shared" si="55"/>
        <v>887.71888171795331</v>
      </c>
      <c r="S86" s="62">
        <f ca="1">AVERAGE(OFFSET($R$3,0,0,'Données projet'!$E$9+1,1))-AVERAGE(OFFSET($H$3,0,0,'Données projet'!$E$9+1,1))</f>
        <v>476.25344680259701</v>
      </c>
      <c r="T86" s="62">
        <f t="shared" si="88"/>
        <v>254.25036207346591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3.9743589743589722</v>
      </c>
      <c r="AI86" s="14">
        <f>IF('Données projet'!$A$62&gt;35,AI85+AH86-AQ85,IF(A86&lt;'Données projet'!$A$62,$AF$205^A86,IF(A86='Données projet'!$A$62,'Données projet'!$B$62,AI85+AH86-AQ85)))</f>
        <v>268.97435897435872</v>
      </c>
      <c r="AJ86" s="14">
        <f>AI86*VLOOKUP('Données projet'!$B$10,Paramètres!$A$1:$I$89,3,0)*VLOOKUP('Données projet'!$B$10,Paramètres!$A$1:$I$89,5,0)</f>
        <v>281.13199999999972</v>
      </c>
      <c r="AK86" s="14">
        <f t="shared" si="89"/>
        <v>67.206176818686799</v>
      </c>
      <c r="AL86" s="22">
        <f t="shared" si="58"/>
        <v>606.68899129254567</v>
      </c>
      <c r="AM86" s="62">
        <f t="shared" si="59"/>
        <v>900.02232462587904</v>
      </c>
      <c r="AN86" s="62">
        <f ca="1">AVERAGE(OFFSET($AM$3,0,0,'Données projet'!$E$10+1,1))-AVERAGE(OFFSET($H$3,0,0,'Données projet'!$E$10+1,1))</f>
        <v>493.70175665335978</v>
      </c>
      <c r="AO86" s="62">
        <f t="shared" si="90"/>
        <v>325.12357781685949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>
        <f>BD86*VLOOKUP('Données projet'!$B$11,Paramètres!$A$1:$I$89,3,0)*VLOOKUP('Données projet'!$B$11,Paramètres!$A$1:$I$89,5,0)</f>
        <v>0</v>
      </c>
      <c r="BF86" s="14" t="e">
        <f t="shared" si="91"/>
        <v>#NUM!</v>
      </c>
      <c r="BG86" s="22" t="e">
        <f t="shared" si="61"/>
        <v>#NUM!</v>
      </c>
      <c r="BH86" s="62" t="e">
        <f t="shared" si="62"/>
        <v>#NUM!</v>
      </c>
      <c r="BI86" s="62">
        <f ca="1">AVERAGE(OFFSET($BH$3,0,0,'Données projet'!$E$11+1,1))-AVERAGE(OFFSET($H$3,0,0,'Données projet'!$E$11+1,1))</f>
        <v>245.09257882574383</v>
      </c>
      <c r="BJ86" s="62">
        <f t="shared" si="92"/>
        <v>342.30266518164211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0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3.5</v>
      </c>
      <c r="BY86" s="13">
        <f>IF('Données projet'!$A$114&gt;35,BY85+BX86-CG85,IF(A86&lt;'Données projet'!$A$114,$BV$205^A86,IF(A86='Données projet'!$A$114,'Données projet'!$B$114,BY85+BX86-CG85)))</f>
        <v>271.49999999999989</v>
      </c>
      <c r="BZ86" s="14">
        <f>BY86*VLOOKUP('Données projet'!$B$12,Paramètres!$A$1:$I$89,3,0)*VLOOKUP('Données projet'!$B$12,Paramètres!$A$1:$I$89,5,0)</f>
        <v>245.65319999999988</v>
      </c>
      <c r="CA86" s="14">
        <f t="shared" si="93"/>
        <v>59.654190992380471</v>
      </c>
      <c r="CB86" s="22">
        <f t="shared" si="64"/>
        <v>531.74370597839572</v>
      </c>
      <c r="CC86" s="62">
        <f t="shared" si="65"/>
        <v>825.0770393117291</v>
      </c>
      <c r="CD86" s="62">
        <f ca="1">AVERAGE(OFFSET($CC$3,0,0,'Données projet'!$E$12+1,1))-AVERAGE(OFFSET($H$3,0,0,'Données projet'!$E$12+1,1))</f>
        <v>429.54141820799617</v>
      </c>
      <c r="CE86" s="62">
        <f t="shared" si="94"/>
        <v>231.36959598460686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0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0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3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3.5</v>
      </c>
      <c r="N87" s="14">
        <f>IF('Données projet'!$A$36&gt;35,N86+M87-V86,IF(A87&lt;'Données projet'!$A$36,$K$205^A87,IF(A87='Données projet'!$A$36,'Données projet'!$B$36,N86+M87-V86)))</f>
        <v>274.99999999999989</v>
      </c>
      <c r="O87" s="14">
        <f>N87*VLOOKUP('Données projet'!$B$9,Paramètres!$A$1:$I$89,3,0)*VLOOKUP('Données projet'!$B$9,Paramètres!$A$1:$I$89,5,0)</f>
        <v>278.84999999999991</v>
      </c>
      <c r="P87" s="14">
        <f t="shared" si="87"/>
        <v>66.723922641152967</v>
      </c>
      <c r="Q87" s="22">
        <f t="shared" si="54"/>
        <v>601.87458193334135</v>
      </c>
      <c r="R87" s="62">
        <f t="shared" si="55"/>
        <v>895.20791526667472</v>
      </c>
      <c r="S87" s="62">
        <f ca="1">AVERAGE(OFFSET($R$3,0,0,'Données projet'!$E$9+1,1))-AVERAGE(OFFSET($H$3,0,0,'Données projet'!$E$9+1,1))</f>
        <v>476.25344680259701</v>
      </c>
      <c r="T87" s="62">
        <f t="shared" si="88"/>
        <v>254.25036207346591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3.9743589743589722</v>
      </c>
      <c r="AI87" s="14">
        <f>IF('Données projet'!$A$62&gt;35,AI86+AH87-AQ86,IF(A87&lt;'Données projet'!$A$62,$AF$205^A87,IF(A87='Données projet'!$A$62,'Données projet'!$B$62,AI86+AH87-AQ86)))</f>
        <v>272.94871794871767</v>
      </c>
      <c r="AJ87" s="14">
        <f>AI87*VLOOKUP('Données projet'!$B$10,Paramètres!$A$1:$I$89,3,0)*VLOOKUP('Données projet'!$B$10,Paramètres!$A$1:$I$89,5,0)</f>
        <v>285.28599999999972</v>
      </c>
      <c r="AK87" s="14">
        <f t="shared" si="89"/>
        <v>68.082873796613967</v>
      </c>
      <c r="AL87" s="22">
        <f t="shared" si="58"/>
        <v>615.45078852910217</v>
      </c>
      <c r="AM87" s="62">
        <f t="shared" si="59"/>
        <v>908.78412186243554</v>
      </c>
      <c r="AN87" s="62">
        <f ca="1">AVERAGE(OFFSET($AM$3,0,0,'Données projet'!$E$10+1,1))-AVERAGE(OFFSET($H$3,0,0,'Données projet'!$E$10+1,1))</f>
        <v>493.70175665335978</v>
      </c>
      <c r="AO87" s="62">
        <f t="shared" si="90"/>
        <v>325.12357781685949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>
        <f>BD87*VLOOKUP('Données projet'!$B$11,Paramètres!$A$1:$I$89,3,0)*VLOOKUP('Données projet'!$B$11,Paramètres!$A$1:$I$89,5,0)</f>
        <v>0</v>
      </c>
      <c r="BF87" s="14" t="e">
        <f t="shared" si="91"/>
        <v>#NUM!</v>
      </c>
      <c r="BG87" s="22" t="e">
        <f t="shared" si="61"/>
        <v>#NUM!</v>
      </c>
      <c r="BH87" s="62" t="e">
        <f t="shared" si="62"/>
        <v>#NUM!</v>
      </c>
      <c r="BI87" s="62">
        <f ca="1">AVERAGE(OFFSET($BH$3,0,0,'Données projet'!$E$11+1,1))-AVERAGE(OFFSET($H$3,0,0,'Données projet'!$E$11+1,1))</f>
        <v>245.09257882574383</v>
      </c>
      <c r="BJ87" s="62">
        <f t="shared" si="92"/>
        <v>342.30266518164211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0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3.5</v>
      </c>
      <c r="BY87" s="13">
        <f>IF('Données projet'!$A$114&gt;35,BY86+BX87-CG86,IF(A87&lt;'Données projet'!$A$114,$BV$205^A87,IF(A87='Données projet'!$A$114,'Données projet'!$B$114,BY86+BX87-CG86)))</f>
        <v>274.99999999999989</v>
      </c>
      <c r="BZ87" s="14">
        <f>BY87*VLOOKUP('Données projet'!$B$12,Paramètres!$A$1:$I$89,3,0)*VLOOKUP('Données projet'!$B$12,Paramètres!$A$1:$I$89,5,0)</f>
        <v>248.81999999999988</v>
      </c>
      <c r="CA87" s="14">
        <f t="shared" si="93"/>
        <v>60.333192077890018</v>
      </c>
      <c r="CB87" s="22">
        <f t="shared" si="64"/>
        <v>538.44180953565819</v>
      </c>
      <c r="CC87" s="62">
        <f t="shared" si="65"/>
        <v>831.77514286899145</v>
      </c>
      <c r="CD87" s="62">
        <f ca="1">AVERAGE(OFFSET($CC$3,0,0,'Données projet'!$E$12+1,1))-AVERAGE(OFFSET($H$3,0,0,'Données projet'!$E$12+1,1))</f>
        <v>429.54141820799617</v>
      </c>
      <c r="CE87" s="62">
        <f t="shared" si="94"/>
        <v>231.36959598460686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0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0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3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3.5</v>
      </c>
      <c r="N88" s="14">
        <f>IF('Données projet'!$A$36&gt;35,N87+M88-V87,IF(A88&lt;'Données projet'!$A$36,$K$205^A88,IF(A88='Données projet'!$A$36,'Données projet'!$B$36,N87+M88-V87)))</f>
        <v>278.49999999999989</v>
      </c>
      <c r="O88" s="14">
        <f>N88*VLOOKUP('Données projet'!$B$9,Paramètres!$A$1:$I$89,3,0)*VLOOKUP('Données projet'!$B$9,Paramètres!$A$1:$I$89,5,0)</f>
        <v>282.39899999999989</v>
      </c>
      <c r="P88" s="14">
        <f t="shared" si="87"/>
        <v>67.473734542548371</v>
      </c>
      <c r="Q88" s="22">
        <f t="shared" si="54"/>
        <v>609.36167932827152</v>
      </c>
      <c r="R88" s="62">
        <f t="shared" si="55"/>
        <v>902.69501266160478</v>
      </c>
      <c r="S88" s="62">
        <f ca="1">AVERAGE(OFFSET($R$3,0,0,'Données projet'!$E$9+1,1))-AVERAGE(OFFSET($H$3,0,0,'Données projet'!$E$9+1,1))</f>
        <v>476.25344680259701</v>
      </c>
      <c r="T88" s="62">
        <f t="shared" si="88"/>
        <v>254.25036207346591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>
        <f>VLOOKUP(A88,'Données projet'!$A$61:$I$81,2,0)</f>
        <v>276.92307692307691</v>
      </c>
      <c r="AG88" s="13">
        <f>VLOOKUP(A88,'Données projet'!$A$61:$I$81,9,0)</f>
        <v>3.9743589743589722</v>
      </c>
      <c r="AH88" s="13">
        <f t="array" ref="AH88">INDEX(AG:AG,MIN(IF(ISNUMBER(AG88:AG284),ROW(AG88:AG284),"")))</f>
        <v>3.9743589743589722</v>
      </c>
      <c r="AI88" s="14">
        <f>IF('Données projet'!$A$62&gt;35,AI87+AH88-AQ87,IF(A88&lt;'Données projet'!$A$62,$AF$205^A88,IF(A88='Données projet'!$A$62,'Données projet'!$B$62,AI87+AH88-AQ87)))</f>
        <v>276.92307692307662</v>
      </c>
      <c r="AJ88" s="14">
        <f>AI88*VLOOKUP('Données projet'!$B$10,Paramètres!$A$1:$I$89,3,0)*VLOOKUP('Données projet'!$B$10,Paramètres!$A$1:$I$89,5,0)</f>
        <v>289.43999999999971</v>
      </c>
      <c r="AK88" s="14">
        <f t="shared" si="89"/>
        <v>68.958086081193898</v>
      </c>
      <c r="AL88" s="22">
        <f t="shared" si="58"/>
        <v>624.20999992474549</v>
      </c>
      <c r="AM88" s="62">
        <f t="shared" si="59"/>
        <v>917.54333325807875</v>
      </c>
      <c r="AN88" s="62">
        <f ca="1">AVERAGE(OFFSET($AM$3,0,0,'Données projet'!$E$10+1,1))-AVERAGE(OFFSET($H$3,0,0,'Données projet'!$E$10+1,1))</f>
        <v>493.70175665335978</v>
      </c>
      <c r="AO88" s="62">
        <f t="shared" si="90"/>
        <v>325.12357781685949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>
        <f>BD88*VLOOKUP('Données projet'!$B$11,Paramètres!$A$1:$I$89,3,0)*VLOOKUP('Données projet'!$B$11,Paramètres!$A$1:$I$89,5,0)</f>
        <v>0</v>
      </c>
      <c r="BF88" s="14" t="e">
        <f t="shared" si="91"/>
        <v>#NUM!</v>
      </c>
      <c r="BG88" s="22" t="e">
        <f t="shared" si="61"/>
        <v>#NUM!</v>
      </c>
      <c r="BH88" s="62" t="e">
        <f t="shared" si="62"/>
        <v>#NUM!</v>
      </c>
      <c r="BI88" s="62">
        <f ca="1">AVERAGE(OFFSET($BH$3,0,0,'Données projet'!$E$11+1,1))-AVERAGE(OFFSET($H$3,0,0,'Données projet'!$E$11+1,1))</f>
        <v>245.09257882574383</v>
      </c>
      <c r="BJ88" s="62">
        <f t="shared" si="92"/>
        <v>342.30266518164211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0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3.5</v>
      </c>
      <c r="BY88" s="13">
        <f>IF('Données projet'!$A$114&gt;35,BY87+BX88-CG87,IF(A88&lt;'Données projet'!$A$114,$BV$205^A88,IF(A88='Données projet'!$A$114,'Données projet'!$B$114,BY87+BX88-CG87)))</f>
        <v>278.49999999999989</v>
      </c>
      <c r="BZ88" s="14">
        <f>BY88*VLOOKUP('Données projet'!$B$12,Paramètres!$A$1:$I$89,3,0)*VLOOKUP('Données projet'!$B$12,Paramètres!$A$1:$I$89,5,0)</f>
        <v>251.98679999999987</v>
      </c>
      <c r="CA88" s="14">
        <f t="shared" si="93"/>
        <v>61.011187970194996</v>
      </c>
      <c r="CB88" s="22">
        <f t="shared" si="64"/>
        <v>545.1381623814226</v>
      </c>
      <c r="CC88" s="62">
        <f t="shared" si="65"/>
        <v>838.47149571475597</v>
      </c>
      <c r="CD88" s="62">
        <f ca="1">AVERAGE(OFFSET($CC$3,0,0,'Données projet'!$E$12+1,1))-AVERAGE(OFFSET($H$3,0,0,'Données projet'!$E$12+1,1))</f>
        <v>429.54141820799617</v>
      </c>
      <c r="CE88" s="62">
        <f t="shared" si="94"/>
        <v>231.36959598460686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0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0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3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3.5</v>
      </c>
      <c r="N89" s="14">
        <f>IF('Données projet'!$A$36&gt;35,N88+M89-V88,IF(A89&lt;'Données projet'!$A$36,$K$205^A89,IF(A89='Données projet'!$A$36,'Données projet'!$B$36,N88+M89-V88)))</f>
        <v>281.99999999999989</v>
      </c>
      <c r="O89" s="14">
        <f>N89*VLOOKUP('Données projet'!$B$9,Paramètres!$A$1:$I$89,3,0)*VLOOKUP('Données projet'!$B$9,Paramètres!$A$1:$I$89,5,0)</f>
        <v>285.94799999999992</v>
      </c>
      <c r="P89" s="14">
        <f t="shared" si="87"/>
        <v>68.222450362989363</v>
      </c>
      <c r="Q89" s="22">
        <f t="shared" si="54"/>
        <v>616.84686771553959</v>
      </c>
      <c r="R89" s="62">
        <f t="shared" si="55"/>
        <v>910.18020104887296</v>
      </c>
      <c r="S89" s="62">
        <f ca="1">AVERAGE(OFFSET($R$3,0,0,'Données projet'!$E$9+1,1))-AVERAGE(OFFSET($H$3,0,0,'Données projet'!$E$9+1,1))</f>
        <v>476.25344680259701</v>
      </c>
      <c r="T89" s="62">
        <f t="shared" si="88"/>
        <v>254.25036207346591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3.8461538461538454</v>
      </c>
      <c r="AI89" s="14">
        <f>IF('Données projet'!$A$62&gt;35,AI88+AH89-AQ88,IF(A89&lt;'Données projet'!$A$62,$AF$205^A89,IF(A89='Données projet'!$A$62,'Données projet'!$B$62,AI88+AH89-AQ88)))</f>
        <v>280.76923076923049</v>
      </c>
      <c r="AJ89" s="14">
        <f>AI89*VLOOKUP('Données projet'!$B$10,Paramètres!$A$1:$I$89,3,0)*VLOOKUP('Données projet'!$B$10,Paramètres!$A$1:$I$89,5,0)</f>
        <v>293.45999999999975</v>
      </c>
      <c r="AK89" s="14">
        <f t="shared" si="89"/>
        <v>69.803674480051043</v>
      </c>
      <c r="AL89" s="22">
        <f t="shared" si="58"/>
        <v>632.68423305275508</v>
      </c>
      <c r="AM89" s="62">
        <f t="shared" si="59"/>
        <v>926.01756638608845</v>
      </c>
      <c r="AN89" s="62">
        <f ca="1">AVERAGE(OFFSET($AM$3,0,0,'Données projet'!$E$10+1,1))-AVERAGE(OFFSET($H$3,0,0,'Données projet'!$E$10+1,1))</f>
        <v>493.70175665335978</v>
      </c>
      <c r="AO89" s="62">
        <f t="shared" si="90"/>
        <v>325.12357781685949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>
        <f>BD89*VLOOKUP('Données projet'!$B$11,Paramètres!$A$1:$I$89,3,0)*VLOOKUP('Données projet'!$B$11,Paramètres!$A$1:$I$89,5,0)</f>
        <v>0</v>
      </c>
      <c r="BF89" s="14" t="e">
        <f t="shared" si="91"/>
        <v>#NUM!</v>
      </c>
      <c r="BG89" s="22" t="e">
        <f t="shared" si="61"/>
        <v>#NUM!</v>
      </c>
      <c r="BH89" s="62" t="e">
        <f t="shared" si="62"/>
        <v>#NUM!</v>
      </c>
      <c r="BI89" s="62">
        <f ca="1">AVERAGE(OFFSET($BH$3,0,0,'Données projet'!$E$11+1,1))-AVERAGE(OFFSET($H$3,0,0,'Données projet'!$E$11+1,1))</f>
        <v>245.09257882574383</v>
      </c>
      <c r="BJ89" s="62">
        <f t="shared" si="92"/>
        <v>342.30266518164211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0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3.5</v>
      </c>
      <c r="BY89" s="13">
        <f>IF('Données projet'!$A$114&gt;35,BY88+BX89-CG88,IF(A89&lt;'Données projet'!$A$114,$BV$205^A89,IF(A89='Données projet'!$A$114,'Données projet'!$B$114,BY88+BX89-CG88)))</f>
        <v>281.99999999999989</v>
      </c>
      <c r="BZ89" s="14">
        <f>BY89*VLOOKUP('Données projet'!$B$12,Paramètres!$A$1:$I$89,3,0)*VLOOKUP('Données projet'!$B$12,Paramètres!$A$1:$I$89,5,0)</f>
        <v>255.15359999999987</v>
      </c>
      <c r="CA89" s="14">
        <f t="shared" si="93"/>
        <v>61.688192762754376</v>
      </c>
      <c r="CB89" s="22">
        <f t="shared" si="64"/>
        <v>551.83278906179692</v>
      </c>
      <c r="CC89" s="62">
        <f t="shared" si="65"/>
        <v>845.16612239513029</v>
      </c>
      <c r="CD89" s="62">
        <f ca="1">AVERAGE(OFFSET($CC$3,0,0,'Données projet'!$E$12+1,1))-AVERAGE(OFFSET($H$3,0,0,'Données projet'!$E$12+1,1))</f>
        <v>429.54141820799617</v>
      </c>
      <c r="CE89" s="62">
        <f t="shared" si="94"/>
        <v>231.36959598460686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0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0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3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3.5</v>
      </c>
      <c r="N90" s="14">
        <f>IF('Données projet'!$A$36&gt;35,N89+M90-V89,IF(A90&lt;'Données projet'!$A$36,$K$205^A90,IF(A90='Données projet'!$A$36,'Données projet'!$B$36,N89+M90-V89)))</f>
        <v>285.49999999999989</v>
      </c>
      <c r="O90" s="14">
        <f>N90*VLOOKUP('Données projet'!$B$9,Paramètres!$A$1:$I$89,3,0)*VLOOKUP('Données projet'!$B$9,Paramètres!$A$1:$I$89,5,0)</f>
        <v>289.4969999999999</v>
      </c>
      <c r="P90" s="14">
        <f t="shared" si="87"/>
        <v>68.970085279623376</v>
      </c>
      <c r="Q90" s="22">
        <f t="shared" si="54"/>
        <v>624.33017352867716</v>
      </c>
      <c r="R90" s="62">
        <f t="shared" si="55"/>
        <v>917.66350686201054</v>
      </c>
      <c r="S90" s="62">
        <f ca="1">AVERAGE(OFFSET($R$3,0,0,'Données projet'!$E$9+1,1))-AVERAGE(OFFSET($H$3,0,0,'Données projet'!$E$9+1,1))</f>
        <v>476.25344680259701</v>
      </c>
      <c r="T90" s="62">
        <f t="shared" si="88"/>
        <v>254.25036207346591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3.8461538461538454</v>
      </c>
      <c r="AI90" s="14">
        <f>IF('Données projet'!$A$62&gt;35,AI89+AH90-AQ89,IF(A90&lt;'Données projet'!$A$62,$AF$205^A90,IF(A90='Données projet'!$A$62,'Données projet'!$B$62,AI89+AH90-AQ89)))</f>
        <v>284.61538461538436</v>
      </c>
      <c r="AJ90" s="14">
        <f>AI90*VLOOKUP('Données projet'!$B$10,Paramètres!$A$1:$I$89,3,0)*VLOOKUP('Données projet'!$B$10,Paramètres!$A$1:$I$89,5,0)</f>
        <v>297.47999999999979</v>
      </c>
      <c r="AK90" s="14">
        <f t="shared" si="89"/>
        <v>70.647915600656845</v>
      </c>
      <c r="AL90" s="22">
        <f t="shared" si="58"/>
        <v>641.15611967114364</v>
      </c>
      <c r="AM90" s="62">
        <f t="shared" si="59"/>
        <v>934.4894530044769</v>
      </c>
      <c r="AN90" s="62">
        <f ca="1">AVERAGE(OFFSET($AM$3,0,0,'Données projet'!$E$10+1,1))-AVERAGE(OFFSET($H$3,0,0,'Données projet'!$E$10+1,1))</f>
        <v>493.70175665335978</v>
      </c>
      <c r="AO90" s="62">
        <f t="shared" si="90"/>
        <v>325.12357781685949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>
        <f>BD90*VLOOKUP('Données projet'!$B$11,Paramètres!$A$1:$I$89,3,0)*VLOOKUP('Données projet'!$B$11,Paramètres!$A$1:$I$89,5,0)</f>
        <v>0</v>
      </c>
      <c r="BF90" s="14" t="e">
        <f t="shared" si="91"/>
        <v>#NUM!</v>
      </c>
      <c r="BG90" s="22" t="e">
        <f t="shared" si="61"/>
        <v>#NUM!</v>
      </c>
      <c r="BH90" s="62" t="e">
        <f t="shared" si="62"/>
        <v>#NUM!</v>
      </c>
      <c r="BI90" s="62">
        <f ca="1">AVERAGE(OFFSET($BH$3,0,0,'Données projet'!$E$11+1,1))-AVERAGE(OFFSET($H$3,0,0,'Données projet'!$E$11+1,1))</f>
        <v>245.09257882574383</v>
      </c>
      <c r="BJ90" s="62">
        <f t="shared" si="92"/>
        <v>342.30266518164211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0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3.5</v>
      </c>
      <c r="BY90" s="13">
        <f>IF('Données projet'!$A$114&gt;35,BY89+BX90-CG89,IF(A90&lt;'Données projet'!$A$114,$BV$205^A90,IF(A90='Données projet'!$A$114,'Données projet'!$B$114,BY89+BX90-CG89)))</f>
        <v>285.49999999999989</v>
      </c>
      <c r="BZ90" s="14">
        <f>BY90*VLOOKUP('Données projet'!$B$12,Paramètres!$A$1:$I$89,3,0)*VLOOKUP('Données projet'!$B$12,Paramètres!$A$1:$I$89,5,0)</f>
        <v>258.32039999999989</v>
      </c>
      <c r="CA90" s="14">
        <f t="shared" si="93"/>
        <v>62.364220179068163</v>
      </c>
      <c r="CB90" s="22">
        <f t="shared" si="64"/>
        <v>558.52571347854348</v>
      </c>
      <c r="CC90" s="62">
        <f t="shared" si="65"/>
        <v>851.85904681187685</v>
      </c>
      <c r="CD90" s="62">
        <f ca="1">AVERAGE(OFFSET($CC$3,0,0,'Données projet'!$E$12+1,1))-AVERAGE(OFFSET($H$3,0,0,'Données projet'!$E$12+1,1))</f>
        <v>429.54141820799617</v>
      </c>
      <c r="CE90" s="62">
        <f t="shared" si="94"/>
        <v>231.36959598460686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0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0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3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3.5</v>
      </c>
      <c r="N91" s="14">
        <f>IF('Données projet'!$A$36&gt;35,N90+M91-V90,IF(A91&lt;'Données projet'!$A$36,$K$205^A91,IF(A91='Données projet'!$A$36,'Données projet'!$B$36,N90+M91-V90)))</f>
        <v>288.99999999999989</v>
      </c>
      <c r="O91" s="14">
        <f>N91*VLOOKUP('Données projet'!$B$9,Paramètres!$A$1:$I$89,3,0)*VLOOKUP('Données projet'!$B$9,Paramètres!$A$1:$I$89,5,0)</f>
        <v>293.04599999999994</v>
      </c>
      <c r="P91" s="14">
        <f t="shared" si="87"/>
        <v>69.716654076072615</v>
      </c>
      <c r="Q91" s="22">
        <f t="shared" si="54"/>
        <v>631.81162251582634</v>
      </c>
      <c r="R91" s="62">
        <f t="shared" si="55"/>
        <v>925.14495584915971</v>
      </c>
      <c r="S91" s="62">
        <f ca="1">AVERAGE(OFFSET($R$3,0,0,'Données projet'!$E$9+1,1))-AVERAGE(OFFSET($H$3,0,0,'Données projet'!$E$9+1,1))</f>
        <v>476.25344680259701</v>
      </c>
      <c r="T91" s="62">
        <f t="shared" si="88"/>
        <v>254.25036207346591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3.8461538461538454</v>
      </c>
      <c r="AI91" s="14">
        <f>IF('Données projet'!$A$62&gt;35,AI90+AH91-AQ90,IF(A91&lt;'Données projet'!$A$62,$AF$205^A91,IF(A91='Données projet'!$A$62,'Données projet'!$B$62,AI90+AH91-AQ90)))</f>
        <v>288.46153846153823</v>
      </c>
      <c r="AJ91" s="14">
        <f>AI91*VLOOKUP('Données projet'!$B$10,Paramètres!$A$1:$I$89,3,0)*VLOOKUP('Données projet'!$B$10,Paramètres!$A$1:$I$89,5,0)</f>
        <v>301.49999999999977</v>
      </c>
      <c r="AK91" s="14">
        <f t="shared" si="89"/>
        <v>71.490829753972974</v>
      </c>
      <c r="AL91" s="22">
        <f t="shared" si="58"/>
        <v>649.62569515483597</v>
      </c>
      <c r="AM91" s="62">
        <f t="shared" si="59"/>
        <v>942.95902848816922</v>
      </c>
      <c r="AN91" s="62">
        <f ca="1">AVERAGE(OFFSET($AM$3,0,0,'Données projet'!$E$10+1,1))-AVERAGE(OFFSET($H$3,0,0,'Données projet'!$E$10+1,1))</f>
        <v>493.70175665335978</v>
      </c>
      <c r="AO91" s="62">
        <f t="shared" si="90"/>
        <v>325.12357781685949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>
        <f>BD91*VLOOKUP('Données projet'!$B$11,Paramètres!$A$1:$I$89,3,0)*VLOOKUP('Données projet'!$B$11,Paramètres!$A$1:$I$89,5,0)</f>
        <v>0</v>
      </c>
      <c r="BF91" s="14" t="e">
        <f t="shared" si="91"/>
        <v>#NUM!</v>
      </c>
      <c r="BG91" s="22" t="e">
        <f t="shared" si="61"/>
        <v>#NUM!</v>
      </c>
      <c r="BH91" s="62" t="e">
        <f t="shared" si="62"/>
        <v>#NUM!</v>
      </c>
      <c r="BI91" s="62">
        <f ca="1">AVERAGE(OFFSET($BH$3,0,0,'Données projet'!$E$11+1,1))-AVERAGE(OFFSET($H$3,0,0,'Données projet'!$E$11+1,1))</f>
        <v>245.09257882574383</v>
      </c>
      <c r="BJ91" s="62">
        <f t="shared" si="92"/>
        <v>342.30266518164211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0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3.5</v>
      </c>
      <c r="BY91" s="13">
        <f>IF('Données projet'!$A$114&gt;35,BY90+BX91-CG90,IF(A91&lt;'Données projet'!$A$114,$BV$205^A91,IF(A91='Données projet'!$A$114,'Données projet'!$B$114,BY90+BX91-CG90)))</f>
        <v>288.99999999999989</v>
      </c>
      <c r="BZ91" s="14">
        <f>BY91*VLOOKUP('Données projet'!$B$12,Paramètres!$A$1:$I$89,3,0)*VLOOKUP('Données projet'!$B$12,Paramètres!$A$1:$I$89,5,0)</f>
        <v>261.48719999999986</v>
      </c>
      <c r="CA91" s="14">
        <f t="shared" si="93"/>
        <v>63.039283586802334</v>
      </c>
      <c r="CB91" s="22">
        <f t="shared" si="64"/>
        <v>565.21695891368051</v>
      </c>
      <c r="CC91" s="62">
        <f t="shared" si="65"/>
        <v>858.55029224701389</v>
      </c>
      <c r="CD91" s="62">
        <f ca="1">AVERAGE(OFFSET($CC$3,0,0,'Données projet'!$E$12+1,1))-AVERAGE(OFFSET($H$3,0,0,'Données projet'!$E$12+1,1))</f>
        <v>429.54141820799617</v>
      </c>
      <c r="CE91" s="62">
        <f t="shared" si="94"/>
        <v>231.36959598460686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0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0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3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3.5</v>
      </c>
      <c r="N92" s="14">
        <f>IF('Données projet'!$A$36&gt;35,N91+M92-V91,IF(A92&lt;'Données projet'!$A$36,$K$205^A92,IF(A92='Données projet'!$A$36,'Données projet'!$B$36,N91+M92-V91)))</f>
        <v>292.49999999999989</v>
      </c>
      <c r="O92" s="14">
        <f>N92*VLOOKUP('Données projet'!$B$9,Paramètres!$A$1:$I$89,3,0)*VLOOKUP('Données projet'!$B$9,Paramètres!$A$1:$I$89,5,0)</f>
        <v>296.59499999999991</v>
      </c>
      <c r="P92" s="14">
        <f t="shared" si="87"/>
        <v>70.462171157277652</v>
      </c>
      <c r="Q92" s="22">
        <f t="shared" si="54"/>
        <v>639.29123976559174</v>
      </c>
      <c r="R92" s="62">
        <f t="shared" si="55"/>
        <v>932.62457309892511</v>
      </c>
      <c r="S92" s="62">
        <f ca="1">AVERAGE(OFFSET($R$3,0,0,'Données projet'!$E$9+1,1))-AVERAGE(OFFSET($H$3,0,0,'Données projet'!$E$9+1,1))</f>
        <v>476.25344680259701</v>
      </c>
      <c r="T92" s="62">
        <f t="shared" si="88"/>
        <v>254.25036207346591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3.8461538461538454</v>
      </c>
      <c r="AI92" s="14">
        <f>IF('Données projet'!$A$62&gt;35,AI91+AH92-AQ91,IF(A92&lt;'Données projet'!$A$62,$AF$205^A92,IF(A92='Données projet'!$A$62,'Données projet'!$B$62,AI91+AH92-AQ91)))</f>
        <v>292.30769230769209</v>
      </c>
      <c r="AJ92" s="14">
        <f>AI92*VLOOKUP('Données projet'!$B$10,Paramètres!$A$1:$I$89,3,0)*VLOOKUP('Données projet'!$B$10,Paramètres!$A$1:$I$89,5,0)</f>
        <v>305.51999999999981</v>
      </c>
      <c r="AK92" s="14">
        <f t="shared" si="89"/>
        <v>72.332436678206648</v>
      </c>
      <c r="AL92" s="22">
        <f t="shared" si="58"/>
        <v>658.09299388120962</v>
      </c>
      <c r="AM92" s="62">
        <f t="shared" si="59"/>
        <v>951.42632721454288</v>
      </c>
      <c r="AN92" s="62">
        <f ca="1">AVERAGE(OFFSET($AM$3,0,0,'Données projet'!$E$10+1,1))-AVERAGE(OFFSET($H$3,0,0,'Données projet'!$E$10+1,1))</f>
        <v>493.70175665335978</v>
      </c>
      <c r="AO92" s="62">
        <f t="shared" si="90"/>
        <v>325.12357781685949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>
        <f>BD92*VLOOKUP('Données projet'!$B$11,Paramètres!$A$1:$I$89,3,0)*VLOOKUP('Données projet'!$B$11,Paramètres!$A$1:$I$89,5,0)</f>
        <v>0</v>
      </c>
      <c r="BF92" s="14" t="e">
        <f t="shared" si="91"/>
        <v>#NUM!</v>
      </c>
      <c r="BG92" s="22" t="e">
        <f t="shared" si="61"/>
        <v>#NUM!</v>
      </c>
      <c r="BH92" s="62" t="e">
        <f t="shared" si="62"/>
        <v>#NUM!</v>
      </c>
      <c r="BI92" s="62">
        <f ca="1">AVERAGE(OFFSET($BH$3,0,0,'Données projet'!$E$11+1,1))-AVERAGE(OFFSET($H$3,0,0,'Données projet'!$E$11+1,1))</f>
        <v>245.09257882574383</v>
      </c>
      <c r="BJ92" s="62">
        <f t="shared" si="92"/>
        <v>342.30266518164211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0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3.5</v>
      </c>
      <c r="BY92" s="13">
        <f>IF('Données projet'!$A$114&gt;35,BY91+BX92-CG91,IF(A92&lt;'Données projet'!$A$114,$BV$205^A92,IF(A92='Données projet'!$A$114,'Données projet'!$B$114,BY91+BX92-CG91)))</f>
        <v>292.49999999999989</v>
      </c>
      <c r="BZ92" s="14">
        <f>BY92*VLOOKUP('Données projet'!$B$12,Paramètres!$A$1:$I$89,3,0)*VLOOKUP('Données projet'!$B$12,Paramètres!$A$1:$I$89,5,0)</f>
        <v>264.65399999999988</v>
      </c>
      <c r="CA92" s="14">
        <f t="shared" si="93"/>
        <v>63.71339601121106</v>
      </c>
      <c r="CB92" s="22">
        <f t="shared" si="64"/>
        <v>571.90654805285897</v>
      </c>
      <c r="CC92" s="62">
        <f t="shared" si="65"/>
        <v>865.23988138619234</v>
      </c>
      <c r="CD92" s="62">
        <f ca="1">AVERAGE(OFFSET($CC$3,0,0,'Données projet'!$E$12+1,1))-AVERAGE(OFFSET($H$3,0,0,'Données projet'!$E$12+1,1))</f>
        <v>429.54141820799617</v>
      </c>
      <c r="CE92" s="62">
        <f t="shared" si="94"/>
        <v>231.36959598460686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0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0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3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>
        <f>VLOOKUP(A93,'Données projet'!$A$35:$I$55,2,0)</f>
        <v>296</v>
      </c>
      <c r="L93" s="13">
        <f>VLOOKUP(A93,'Données projet'!$A$35:$I$55,9,0)</f>
        <v>3.5</v>
      </c>
      <c r="M93" s="13">
        <f t="array" ref="M93">INDEX(L:L,MIN(IF(ISNUMBER(L93:L289),ROW(L93:L289),"")))</f>
        <v>3.5</v>
      </c>
      <c r="N93" s="14">
        <f>IF('Données projet'!$A$36&gt;35,N92+M93-V92,IF(A93&lt;'Données projet'!$A$36,$K$205^A93,IF(A93='Données projet'!$A$36,'Données projet'!$B$36,N92+M93-V92)))</f>
        <v>295.99999999999989</v>
      </c>
      <c r="O93" s="14">
        <f>N93*VLOOKUP('Données projet'!$B$9,Paramètres!$A$1:$I$89,3,0)*VLOOKUP('Données projet'!$B$9,Paramètres!$A$1:$I$89,5,0)</f>
        <v>300.14399999999989</v>
      </c>
      <c r="P93" s="14">
        <f t="shared" si="87"/>
        <v>71.206650563609855</v>
      </c>
      <c r="Q93" s="22">
        <f t="shared" si="54"/>
        <v>646.76904973162027</v>
      </c>
      <c r="R93" s="62">
        <f t="shared" si="55"/>
        <v>940.10238306495353</v>
      </c>
      <c r="S93" s="62">
        <f ca="1">AVERAGE(OFFSET($R$3,0,0,'Données projet'!$E$9+1,1))-AVERAGE(OFFSET($H$3,0,0,'Données projet'!$E$9+1,1))</f>
        <v>476.25344680259701</v>
      </c>
      <c r="T93" s="62">
        <f t="shared" si="88"/>
        <v>254.25036207346591</v>
      </c>
      <c r="U93" s="16">
        <f>IF(ISNA(VLOOKUP(A93,'Données projet'!$A$35:$I$55,3,0)),0,VLOOKUP(A93,'Données projet'!$A$35:$I$55,3,0))</f>
        <v>7</v>
      </c>
      <c r="V93" s="16">
        <f>IF(ISNA(VLOOKUP(A93,'Données projet'!$A$35:$I$55,4,0)),0,VLOOKUP(A93,'Données projet'!$A$35:$I$55,4,0))</f>
        <v>42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296.15384615384613</v>
      </c>
      <c r="AG93" s="13">
        <f>VLOOKUP(A93,'Données projet'!$A$61:$I$81,9,0)</f>
        <v>3.8461538461538454</v>
      </c>
      <c r="AH93" s="13">
        <f t="array" ref="AH93">INDEX(AG:AG,MIN(IF(ISNUMBER(AG93:AG289),ROW(AG93:AG289),"")))</f>
        <v>3.8461538461538454</v>
      </c>
      <c r="AI93" s="14">
        <f>IF('Données projet'!$A$62&gt;35,AI92+AH93-AQ92,IF(A93&lt;'Données projet'!$A$62,$AF$205^A93,IF(A93='Données projet'!$A$62,'Données projet'!$B$62,AI92+AH93-AQ92)))</f>
        <v>296.15384615384596</v>
      </c>
      <c r="AJ93" s="14">
        <f>AI93*VLOOKUP('Données projet'!$B$10,Paramètres!$A$1:$I$89,3,0)*VLOOKUP('Données projet'!$B$10,Paramètres!$A$1:$I$89,5,0)</f>
        <v>309.53999999999979</v>
      </c>
      <c r="AK93" s="14">
        <f t="shared" si="89"/>
        <v>73.172755562281282</v>
      </c>
      <c r="AL93" s="22">
        <f t="shared" si="58"/>
        <v>666.5580492709729</v>
      </c>
      <c r="AM93" s="62">
        <f t="shared" si="59"/>
        <v>959.89138260430627</v>
      </c>
      <c r="AN93" s="62">
        <f ca="1">AVERAGE(OFFSET($AM$3,0,0,'Données projet'!$E$10+1,1))-AVERAGE(OFFSET($H$3,0,0,'Données projet'!$E$10+1,1))</f>
        <v>493.70175665335978</v>
      </c>
      <c r="AO93" s="62">
        <f t="shared" si="90"/>
        <v>325.12357781685949</v>
      </c>
      <c r="AP93" s="16">
        <f>IF(ISNA(VLOOKUP(A93,'Données projet'!$A$61:$I$81,3,0)),0,VLOOKUP(A93,'Données projet'!$A$61:$I$81,3,0))</f>
        <v>7</v>
      </c>
      <c r="AQ93" s="16">
        <f>IF(ISNA(VLOOKUP(A93,'Données projet'!$A$61:$I$81,4,0)),0,VLOOKUP(A93,'Données projet'!$A$61:$I$81,4,0))</f>
        <v>21.153846153846153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>
        <f>BD93*VLOOKUP('Données projet'!$B$11,Paramètres!$A$1:$I$89,3,0)*VLOOKUP('Données projet'!$B$11,Paramètres!$A$1:$I$89,5,0)</f>
        <v>0</v>
      </c>
      <c r="BF93" s="14" t="e">
        <f t="shared" si="91"/>
        <v>#NUM!</v>
      </c>
      <c r="BG93" s="22" t="e">
        <f t="shared" si="61"/>
        <v>#NUM!</v>
      </c>
      <c r="BH93" s="62" t="e">
        <f t="shared" si="62"/>
        <v>#NUM!</v>
      </c>
      <c r="BI93" s="62">
        <f ca="1">AVERAGE(OFFSET($BH$3,0,0,'Données projet'!$E$11+1,1))-AVERAGE(OFFSET($H$3,0,0,'Données projet'!$E$11+1,1))</f>
        <v>245.09257882574383</v>
      </c>
      <c r="BJ93" s="62">
        <f t="shared" si="92"/>
        <v>342.30266518164211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0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>
        <f>VLOOKUP(A93,'Données projet'!$A$113:$I$133,2,0)</f>
        <v>296</v>
      </c>
      <c r="BW93" s="13">
        <f>VLOOKUP(A93,'Données projet'!$A$113:$I$133,9,0)</f>
        <v>3.5</v>
      </c>
      <c r="BX93" s="13">
        <f t="array" ref="BX93">INDEX(BW:BW,MIN(IF(ISNUMBER(BW93:BW289),ROW(BW93:BW289),"")))</f>
        <v>3.5</v>
      </c>
      <c r="BY93" s="13">
        <f>IF('Données projet'!$A$114&gt;35,BY92+BX93-CG92,IF(A93&lt;'Données projet'!$A$114,$BV$205^A93,IF(A93='Données projet'!$A$114,'Données projet'!$B$114,BY92+BX93-CG92)))</f>
        <v>295.99999999999989</v>
      </c>
      <c r="BZ93" s="14">
        <f>BY93*VLOOKUP('Données projet'!$B$12,Paramètres!$A$1:$I$89,3,0)*VLOOKUP('Données projet'!$B$12,Paramètres!$A$1:$I$89,5,0)</f>
        <v>267.82079999999991</v>
      </c>
      <c r="CA93" s="14">
        <f t="shared" si="93"/>
        <v>64.386570147897302</v>
      </c>
      <c r="CB93" s="22">
        <f t="shared" si="64"/>
        <v>578.5945030075876</v>
      </c>
      <c r="CC93" s="62">
        <f t="shared" si="65"/>
        <v>871.92783634092098</v>
      </c>
      <c r="CD93" s="62">
        <f ca="1">AVERAGE(OFFSET($CC$3,0,0,'Données projet'!$E$12+1,1))-AVERAGE(OFFSET($H$3,0,0,'Données projet'!$E$12+1,1))</f>
        <v>429.54141820799617</v>
      </c>
      <c r="CE93" s="62">
        <f t="shared" si="94"/>
        <v>231.36959598460686</v>
      </c>
      <c r="CF93" s="16">
        <f>IF(ISNA(VLOOKUP(A93,'Données projet'!$A$113:$I$133,3,0)),0,VLOOKUP(A93,'Données projet'!$A$113:$I$133,3,0))</f>
        <v>7</v>
      </c>
      <c r="CG93" s="16">
        <f>IF(ISNA(VLOOKUP(A93,'Données projet'!$A$113:$I$133,4,0)),0,VLOOKUP(A93,'Données projet'!$A$113:$I$133,4,0))</f>
        <v>42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0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0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3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4.9000000000000004</v>
      </c>
      <c r="N94" s="14">
        <f>IF('Données projet'!$A$36&gt;35,N93+M94-V93,IF(A94&lt;'Données projet'!$A$36,$K$205^A94,IF(A94='Données projet'!$A$36,'Données projet'!$B$36,N93+M94-V93)))</f>
        <v>258.89999999999986</v>
      </c>
      <c r="O94" s="14">
        <f>N94*VLOOKUP('Données projet'!$B$9,Paramètres!$A$1:$I$89,3,0)*VLOOKUP('Données projet'!$B$9,Paramètres!$A$1:$I$89,5,0)</f>
        <v>262.52459999999985</v>
      </c>
      <c r="P94" s="14">
        <f t="shared" si="87"/>
        <v>63.260217631774687</v>
      </c>
      <c r="Q94" s="22">
        <f t="shared" si="54"/>
        <v>567.40855737534059</v>
      </c>
      <c r="R94" s="62">
        <f t="shared" si="55"/>
        <v>860.74189070867396</v>
      </c>
      <c r="S94" s="62">
        <f ca="1">AVERAGE(OFFSET($R$3,0,0,'Données projet'!$E$9+1,1))-AVERAGE(OFFSET($H$3,0,0,'Données projet'!$E$9+1,1))</f>
        <v>476.25344680259701</v>
      </c>
      <c r="T94" s="62">
        <f t="shared" si="88"/>
        <v>254.25036207346591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3.4615384615384586</v>
      </c>
      <c r="AI94" s="14">
        <f>IF('Données projet'!$A$62&gt;35,AI93+AH94-AQ93,IF(A94&lt;'Données projet'!$A$62,$AF$205^A94,IF(A94='Données projet'!$A$62,'Données projet'!$B$62,AI93+AH94-AQ93)))</f>
        <v>278.46153846153828</v>
      </c>
      <c r="AJ94" s="14">
        <f>AI94*VLOOKUP('Données projet'!$B$10,Paramètres!$A$1:$I$89,3,0)*VLOOKUP('Données projet'!$B$10,Paramètres!$A$1:$I$89,5,0)</f>
        <v>291.04799999999983</v>
      </c>
      <c r="AK94" s="14">
        <f t="shared" si="89"/>
        <v>69.296484438588436</v>
      </c>
      <c r="AL94" s="22">
        <f t="shared" si="58"/>
        <v>627.59997706387446</v>
      </c>
      <c r="AM94" s="62">
        <f t="shared" si="59"/>
        <v>920.93331039720783</v>
      </c>
      <c r="AN94" s="62">
        <f ca="1">AVERAGE(OFFSET($AM$3,0,0,'Données projet'!$E$10+1,1))-AVERAGE(OFFSET($H$3,0,0,'Données projet'!$E$10+1,1))</f>
        <v>493.70175665335978</v>
      </c>
      <c r="AO94" s="62">
        <f t="shared" si="90"/>
        <v>325.12357781685949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>
        <f>BD94*VLOOKUP('Données projet'!$B$11,Paramètres!$A$1:$I$89,3,0)*VLOOKUP('Données projet'!$B$11,Paramètres!$A$1:$I$89,5,0)</f>
        <v>0</v>
      </c>
      <c r="BF94" s="14" t="e">
        <f t="shared" si="91"/>
        <v>#NUM!</v>
      </c>
      <c r="BG94" s="22" t="e">
        <f t="shared" si="61"/>
        <v>#NUM!</v>
      </c>
      <c r="BH94" s="62" t="e">
        <f t="shared" si="62"/>
        <v>#NUM!</v>
      </c>
      <c r="BI94" s="62">
        <f ca="1">AVERAGE(OFFSET($BH$3,0,0,'Données projet'!$E$11+1,1))-AVERAGE(OFFSET($H$3,0,0,'Données projet'!$E$11+1,1))</f>
        <v>245.09257882574383</v>
      </c>
      <c r="BJ94" s="62">
        <f t="shared" si="92"/>
        <v>342.30266518164211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0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4.9000000000000004</v>
      </c>
      <c r="BY94" s="13">
        <f>IF('Données projet'!$A$114&gt;35,BY93+BX94-CG93,IF(A94&lt;'Données projet'!$A$114,$BV$205^A94,IF(A94='Données projet'!$A$114,'Données projet'!$B$114,BY93+BX94-CG93)))</f>
        <v>258.89999999999986</v>
      </c>
      <c r="BZ94" s="14">
        <f>BY94*VLOOKUP('Données projet'!$B$12,Paramètres!$A$1:$I$89,3,0)*VLOOKUP('Données projet'!$B$12,Paramètres!$A$1:$I$89,5,0)</f>
        <v>234.2527199999999</v>
      </c>
      <c r="CA94" s="14">
        <f t="shared" si="93"/>
        <v>57.201236231171301</v>
      </c>
      <c r="CB94" s="22">
        <f t="shared" si="64"/>
        <v>507.61564043595655</v>
      </c>
      <c r="CC94" s="62">
        <f t="shared" si="65"/>
        <v>800.94897376928986</v>
      </c>
      <c r="CD94" s="62">
        <f ca="1">AVERAGE(OFFSET($CC$3,0,0,'Données projet'!$E$12+1,1))-AVERAGE(OFFSET($H$3,0,0,'Données projet'!$E$12+1,1))</f>
        <v>429.54141820799617</v>
      </c>
      <c r="CE94" s="62">
        <f t="shared" si="94"/>
        <v>231.36959598460686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0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0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3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4.9000000000000004</v>
      </c>
      <c r="N95" s="14">
        <f>IF('Données projet'!$A$36&gt;35,N94+M95-V94,IF(A95&lt;'Données projet'!$A$36,$K$205^A95,IF(A95='Données projet'!$A$36,'Données projet'!$B$36,N94+M95-V94)))</f>
        <v>263.79999999999984</v>
      </c>
      <c r="O95" s="14">
        <f>N95*VLOOKUP('Données projet'!$B$9,Paramètres!$A$1:$I$89,3,0)*VLOOKUP('Données projet'!$B$9,Paramètres!$A$1:$I$89,5,0)</f>
        <v>267.49319999999989</v>
      </c>
      <c r="P95" s="14">
        <f t="shared" si="87"/>
        <v>64.316974590266284</v>
      </c>
      <c r="Q95" s="22">
        <f t="shared" si="54"/>
        <v>577.90272074471352</v>
      </c>
      <c r="R95" s="62">
        <f t="shared" si="55"/>
        <v>871.23605407804689</v>
      </c>
      <c r="S95" s="62">
        <f ca="1">AVERAGE(OFFSET($R$3,0,0,'Données projet'!$E$9+1,1))-AVERAGE(OFFSET($H$3,0,0,'Données projet'!$E$9+1,1))</f>
        <v>476.25344680259701</v>
      </c>
      <c r="T95" s="62">
        <f t="shared" si="88"/>
        <v>254.25036207346591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3.4615384615384586</v>
      </c>
      <c r="AI95" s="14">
        <f>IF('Données projet'!$A$62&gt;35,AI94+AH95-AQ94,IF(A95&lt;'Données projet'!$A$62,$AF$205^A95,IF(A95='Données projet'!$A$62,'Données projet'!$B$62,AI94+AH95-AQ94)))</f>
        <v>281.92307692307674</v>
      </c>
      <c r="AJ95" s="14">
        <f>AI95*VLOOKUP('Données projet'!$B$10,Paramètres!$A$1:$I$89,3,0)*VLOOKUP('Données projet'!$B$10,Paramètres!$A$1:$I$89,5,0)</f>
        <v>294.66599999999983</v>
      </c>
      <c r="AK95" s="14">
        <f t="shared" si="89"/>
        <v>70.057087344971222</v>
      </c>
      <c r="AL95" s="22">
        <f t="shared" si="58"/>
        <v>635.22604379249128</v>
      </c>
      <c r="AM95" s="62">
        <f t="shared" si="59"/>
        <v>928.55937712582454</v>
      </c>
      <c r="AN95" s="62">
        <f ca="1">AVERAGE(OFFSET($AM$3,0,0,'Données projet'!$E$10+1,1))-AVERAGE(OFFSET($H$3,0,0,'Données projet'!$E$10+1,1))</f>
        <v>493.70175665335978</v>
      </c>
      <c r="AO95" s="62">
        <f t="shared" si="90"/>
        <v>325.12357781685949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>
        <f>BD95*VLOOKUP('Données projet'!$B$11,Paramètres!$A$1:$I$89,3,0)*VLOOKUP('Données projet'!$B$11,Paramètres!$A$1:$I$89,5,0)</f>
        <v>0</v>
      </c>
      <c r="BF95" s="14" t="e">
        <f t="shared" si="91"/>
        <v>#NUM!</v>
      </c>
      <c r="BG95" s="22" t="e">
        <f t="shared" si="61"/>
        <v>#NUM!</v>
      </c>
      <c r="BH95" s="62" t="e">
        <f t="shared" si="62"/>
        <v>#NUM!</v>
      </c>
      <c r="BI95" s="62">
        <f ca="1">AVERAGE(OFFSET($BH$3,0,0,'Données projet'!$E$11+1,1))-AVERAGE(OFFSET($H$3,0,0,'Données projet'!$E$11+1,1))</f>
        <v>245.09257882574383</v>
      </c>
      <c r="BJ95" s="62">
        <f t="shared" si="92"/>
        <v>342.30266518164211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0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4.9000000000000004</v>
      </c>
      <c r="BY95" s="13">
        <f>IF('Données projet'!$A$114&gt;35,BY94+BX95-CG94,IF(A95&lt;'Données projet'!$A$114,$BV$205^A95,IF(A95='Données projet'!$A$114,'Données projet'!$B$114,BY94+BX95-CG94)))</f>
        <v>263.79999999999984</v>
      </c>
      <c r="BZ95" s="14">
        <f>BY95*VLOOKUP('Données projet'!$B$12,Paramètres!$A$1:$I$89,3,0)*VLOOKUP('Données projet'!$B$12,Paramètres!$A$1:$I$89,5,0)</f>
        <v>238.68623999999986</v>
      </c>
      <c r="CA95" s="14">
        <f t="shared" si="93"/>
        <v>58.156778382060871</v>
      </c>
      <c r="CB95" s="22">
        <f t="shared" si="64"/>
        <v>517.00159034875571</v>
      </c>
      <c r="CC95" s="62">
        <f t="shared" si="65"/>
        <v>810.33492368208908</v>
      </c>
      <c r="CD95" s="62">
        <f ca="1">AVERAGE(OFFSET($CC$3,0,0,'Données projet'!$E$12+1,1))-AVERAGE(OFFSET($H$3,0,0,'Données projet'!$E$12+1,1))</f>
        <v>429.54141820799617</v>
      </c>
      <c r="CE95" s="62">
        <f t="shared" si="94"/>
        <v>231.36959598460686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0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0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3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4.9000000000000004</v>
      </c>
      <c r="N96" s="14">
        <f>IF('Données projet'!$A$36&gt;35,N95+M96-V95,IF(A96&lt;'Données projet'!$A$36,$K$205^A96,IF(A96='Données projet'!$A$36,'Données projet'!$B$36,N95+M96-V95)))</f>
        <v>268.69999999999982</v>
      </c>
      <c r="O96" s="14">
        <f>N96*VLOOKUP('Données projet'!$B$9,Paramètres!$A$1:$I$89,3,0)*VLOOKUP('Données projet'!$B$9,Paramètres!$A$1:$I$89,5,0)</f>
        <v>272.46179999999981</v>
      </c>
      <c r="P96" s="14">
        <f t="shared" si="87"/>
        <v>65.371449071921887</v>
      </c>
      <c r="Q96" s="22">
        <f t="shared" si="54"/>
        <v>588.39290880026363</v>
      </c>
      <c r="R96" s="62">
        <f t="shared" si="55"/>
        <v>881.726242133597</v>
      </c>
      <c r="S96" s="62">
        <f ca="1">AVERAGE(OFFSET($R$3,0,0,'Données projet'!$E$9+1,1))-AVERAGE(OFFSET($H$3,0,0,'Données projet'!$E$9+1,1))</f>
        <v>476.25344680259701</v>
      </c>
      <c r="T96" s="62">
        <f t="shared" si="88"/>
        <v>254.25036207346591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3.4615384615384586</v>
      </c>
      <c r="AI96" s="14">
        <f>IF('Données projet'!$A$62&gt;35,AI95+AH96-AQ95,IF(A96&lt;'Données projet'!$A$62,$AF$205^A96,IF(A96='Données projet'!$A$62,'Données projet'!$B$62,AI95+AH96-AQ95)))</f>
        <v>285.38461538461519</v>
      </c>
      <c r="AJ96" s="14">
        <f>AI96*VLOOKUP('Données projet'!$B$10,Paramètres!$A$1:$I$89,3,0)*VLOOKUP('Données projet'!$B$10,Paramètres!$A$1:$I$89,5,0)</f>
        <v>298.28399999999982</v>
      </c>
      <c r="AK96" s="14">
        <f t="shared" si="89"/>
        <v>70.816603948985517</v>
      </c>
      <c r="AL96" s="22">
        <f t="shared" si="58"/>
        <v>642.8502185444828</v>
      </c>
      <c r="AM96" s="62">
        <f t="shared" si="59"/>
        <v>936.18355187781617</v>
      </c>
      <c r="AN96" s="62">
        <f ca="1">AVERAGE(OFFSET($AM$3,0,0,'Données projet'!$E$10+1,1))-AVERAGE(OFFSET($H$3,0,0,'Données projet'!$E$10+1,1))</f>
        <v>493.70175665335978</v>
      </c>
      <c r="AO96" s="62">
        <f t="shared" si="90"/>
        <v>325.12357781685949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>
        <f>BD96*VLOOKUP('Données projet'!$B$11,Paramètres!$A$1:$I$89,3,0)*VLOOKUP('Données projet'!$B$11,Paramètres!$A$1:$I$89,5,0)</f>
        <v>0</v>
      </c>
      <c r="BF96" s="14" t="e">
        <f t="shared" si="91"/>
        <v>#NUM!</v>
      </c>
      <c r="BG96" s="22" t="e">
        <f t="shared" si="61"/>
        <v>#NUM!</v>
      </c>
      <c r="BH96" s="62" t="e">
        <f t="shared" si="62"/>
        <v>#NUM!</v>
      </c>
      <c r="BI96" s="62">
        <f ca="1">AVERAGE(OFFSET($BH$3,0,0,'Données projet'!$E$11+1,1))-AVERAGE(OFFSET($H$3,0,0,'Données projet'!$E$11+1,1))</f>
        <v>245.09257882574383</v>
      </c>
      <c r="BJ96" s="62">
        <f t="shared" si="92"/>
        <v>342.30266518164211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0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4.9000000000000004</v>
      </c>
      <c r="BY96" s="13">
        <f>IF('Données projet'!$A$114&gt;35,BY95+BX96-CG95,IF(A96&lt;'Données projet'!$A$114,$BV$205^A96,IF(A96='Données projet'!$A$114,'Données projet'!$B$114,BY95+BX96-CG95)))</f>
        <v>268.69999999999982</v>
      </c>
      <c r="BZ96" s="14">
        <f>BY96*VLOOKUP('Données projet'!$B$12,Paramètres!$A$1:$I$89,3,0)*VLOOKUP('Données projet'!$B$12,Paramètres!$A$1:$I$89,5,0)</f>
        <v>243.11975999999984</v>
      </c>
      <c r="CA96" s="14">
        <f t="shared" si="93"/>
        <v>59.110256668778483</v>
      </c>
      <c r="CB96" s="22">
        <f t="shared" si="64"/>
        <v>526.38394569812226</v>
      </c>
      <c r="CC96" s="62">
        <f t="shared" si="65"/>
        <v>819.71727903145552</v>
      </c>
      <c r="CD96" s="62">
        <f ca="1">AVERAGE(OFFSET($CC$3,0,0,'Données projet'!$E$12+1,1))-AVERAGE(OFFSET($H$3,0,0,'Données projet'!$E$12+1,1))</f>
        <v>429.54141820799617</v>
      </c>
      <c r="CE96" s="62">
        <f t="shared" si="94"/>
        <v>231.36959598460686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0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0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3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4.9000000000000004</v>
      </c>
      <c r="N97" s="14">
        <f>IF('Données projet'!$A$36&gt;35,N96+M97-V96,IF(A97&lt;'Données projet'!$A$36,$K$205^A97,IF(A97='Données projet'!$A$36,'Données projet'!$B$36,N96+M97-V96)))</f>
        <v>273.5999999999998</v>
      </c>
      <c r="O97" s="14">
        <f>N97*VLOOKUP('Données projet'!$B$9,Paramètres!$A$1:$I$89,3,0)*VLOOKUP('Données projet'!$B$9,Paramètres!$A$1:$I$89,5,0)</f>
        <v>277.43039999999979</v>
      </c>
      <c r="P97" s="14">
        <f t="shared" si="87"/>
        <v>66.423687500715673</v>
      </c>
      <c r="Q97" s="22">
        <f t="shared" si="54"/>
        <v>598.87920239707944</v>
      </c>
      <c r="R97" s="62">
        <f t="shared" si="55"/>
        <v>892.21253573041281</v>
      </c>
      <c r="S97" s="62">
        <f ca="1">AVERAGE(OFFSET($R$3,0,0,'Données projet'!$E$9+1,1))-AVERAGE(OFFSET($H$3,0,0,'Données projet'!$E$9+1,1))</f>
        <v>476.25344680259701</v>
      </c>
      <c r="T97" s="62">
        <f t="shared" si="88"/>
        <v>254.25036207346591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3.4615384615384586</v>
      </c>
      <c r="AI97" s="14">
        <f>IF('Données projet'!$A$62&gt;35,AI96+AH97-AQ96,IF(A97&lt;'Données projet'!$A$62,$AF$205^A97,IF(A97='Données projet'!$A$62,'Données projet'!$B$62,AI96+AH97-AQ96)))</f>
        <v>288.84615384615364</v>
      </c>
      <c r="AJ97" s="14">
        <f>AI97*VLOOKUP('Données projet'!$B$10,Paramètres!$A$1:$I$89,3,0)*VLOOKUP('Données projet'!$B$10,Paramètres!$A$1:$I$89,5,0)</f>
        <v>301.90199999999982</v>
      </c>
      <c r="AK97" s="14">
        <f t="shared" si="89"/>
        <v>71.575048950857877</v>
      </c>
      <c r="AL97" s="22">
        <f t="shared" si="58"/>
        <v>650.47252692274378</v>
      </c>
      <c r="AM97" s="62">
        <f t="shared" si="59"/>
        <v>943.80586025607704</v>
      </c>
      <c r="AN97" s="62">
        <f ca="1">AVERAGE(OFFSET($AM$3,0,0,'Données projet'!$E$10+1,1))-AVERAGE(OFFSET($H$3,0,0,'Données projet'!$E$10+1,1))</f>
        <v>493.70175665335978</v>
      </c>
      <c r="AO97" s="62">
        <f t="shared" si="90"/>
        <v>325.12357781685949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>
        <f>BD97*VLOOKUP('Données projet'!$B$11,Paramètres!$A$1:$I$89,3,0)*VLOOKUP('Données projet'!$B$11,Paramètres!$A$1:$I$89,5,0)</f>
        <v>0</v>
      </c>
      <c r="BF97" s="14" t="e">
        <f t="shared" si="91"/>
        <v>#NUM!</v>
      </c>
      <c r="BG97" s="22" t="e">
        <f t="shared" si="61"/>
        <v>#NUM!</v>
      </c>
      <c r="BH97" s="62" t="e">
        <f t="shared" si="62"/>
        <v>#NUM!</v>
      </c>
      <c r="BI97" s="62">
        <f ca="1">AVERAGE(OFFSET($BH$3,0,0,'Données projet'!$E$11+1,1))-AVERAGE(OFFSET($H$3,0,0,'Données projet'!$E$11+1,1))</f>
        <v>245.09257882574383</v>
      </c>
      <c r="BJ97" s="62">
        <f t="shared" si="92"/>
        <v>342.30266518164211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0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4.9000000000000004</v>
      </c>
      <c r="BY97" s="13">
        <f>IF('Données projet'!$A$114&gt;35,BY96+BX97-CG96,IF(A97&lt;'Données projet'!$A$114,$BV$205^A97,IF(A97='Données projet'!$A$114,'Données projet'!$B$114,BY96+BX97-CG96)))</f>
        <v>273.5999999999998</v>
      </c>
      <c r="BZ97" s="14">
        <f>BY97*VLOOKUP('Données projet'!$B$12,Paramètres!$A$1:$I$89,3,0)*VLOOKUP('Données projet'!$B$12,Paramètres!$A$1:$I$89,5,0)</f>
        <v>247.5532799999998</v>
      </c>
      <c r="CA97" s="14">
        <f t="shared" si="93"/>
        <v>60.061713068870255</v>
      </c>
      <c r="CB97" s="22">
        <f t="shared" si="64"/>
        <v>535.76277959494871</v>
      </c>
      <c r="CC97" s="62">
        <f t="shared" si="65"/>
        <v>829.09611292828208</v>
      </c>
      <c r="CD97" s="62">
        <f ca="1">AVERAGE(OFFSET($CC$3,0,0,'Données projet'!$E$12+1,1))-AVERAGE(OFFSET($H$3,0,0,'Données projet'!$E$12+1,1))</f>
        <v>429.54141820799617</v>
      </c>
      <c r="CE97" s="62">
        <f t="shared" si="94"/>
        <v>231.36959598460686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0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0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3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4.9000000000000004</v>
      </c>
      <c r="N98" s="14">
        <f>IF('Données projet'!$A$36&gt;35,N97+M98-V97,IF(A98&lt;'Données projet'!$A$36,$K$205^A98,IF(A98='Données projet'!$A$36,'Données projet'!$B$36,N97+M98-V97)))</f>
        <v>278.49999999999977</v>
      </c>
      <c r="O98" s="14">
        <f>N98*VLOOKUP('Données projet'!$B$9,Paramètres!$A$1:$I$89,3,0)*VLOOKUP('Données projet'!$B$9,Paramètres!$A$1:$I$89,5,0)</f>
        <v>282.39899999999977</v>
      </c>
      <c r="P98" s="14">
        <f t="shared" si="87"/>
        <v>67.473734542548314</v>
      </c>
      <c r="Q98" s="22">
        <f t="shared" si="54"/>
        <v>609.36167932827118</v>
      </c>
      <c r="R98" s="62">
        <f t="shared" si="55"/>
        <v>902.69501266160455</v>
      </c>
      <c r="S98" s="62">
        <f ca="1">AVERAGE(OFFSET($R$3,0,0,'Données projet'!$E$9+1,1))-AVERAGE(OFFSET($H$3,0,0,'Données projet'!$E$9+1,1))</f>
        <v>476.25344680259701</v>
      </c>
      <c r="T98" s="62">
        <f t="shared" si="88"/>
        <v>254.25036207346591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3.4615384615384586</v>
      </c>
      <c r="AI98" s="14">
        <f>IF('Données projet'!$A$62&gt;35,AI97+AH98-AQ97,IF(A98&lt;'Données projet'!$A$62,$AF$205^A98,IF(A98='Données projet'!$A$62,'Données projet'!$B$62,AI97+AH98-AQ97)))</f>
        <v>292.30769230769209</v>
      </c>
      <c r="AJ98" s="14">
        <f>AI98*VLOOKUP('Données projet'!$B$10,Paramètres!$A$1:$I$89,3,0)*VLOOKUP('Données projet'!$B$10,Paramètres!$A$1:$I$89,5,0)</f>
        <v>305.51999999999981</v>
      </c>
      <c r="AK98" s="14">
        <f t="shared" si="89"/>
        <v>72.332436678206648</v>
      </c>
      <c r="AL98" s="22">
        <f t="shared" si="58"/>
        <v>658.09299388120962</v>
      </c>
      <c r="AM98" s="62">
        <f t="shared" si="59"/>
        <v>951.42632721454288</v>
      </c>
      <c r="AN98" s="62">
        <f ca="1">AVERAGE(OFFSET($AM$3,0,0,'Données projet'!$E$10+1,1))-AVERAGE(OFFSET($H$3,0,0,'Données projet'!$E$10+1,1))</f>
        <v>493.70175665335978</v>
      </c>
      <c r="AO98" s="62">
        <f t="shared" si="90"/>
        <v>325.12357781685949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>
        <f>BD98*VLOOKUP('Données projet'!$B$11,Paramètres!$A$1:$I$89,3,0)*VLOOKUP('Données projet'!$B$11,Paramètres!$A$1:$I$89,5,0)</f>
        <v>0</v>
      </c>
      <c r="BF98" s="14" t="e">
        <f t="shared" si="91"/>
        <v>#NUM!</v>
      </c>
      <c r="BG98" s="22" t="e">
        <f t="shared" si="61"/>
        <v>#NUM!</v>
      </c>
      <c r="BH98" s="62" t="e">
        <f t="shared" si="62"/>
        <v>#NUM!</v>
      </c>
      <c r="BI98" s="62">
        <f ca="1">AVERAGE(OFFSET($BH$3,0,0,'Données projet'!$E$11+1,1))-AVERAGE(OFFSET($H$3,0,0,'Données projet'!$E$11+1,1))</f>
        <v>245.09257882574383</v>
      </c>
      <c r="BJ98" s="62">
        <f t="shared" si="92"/>
        <v>342.30266518164211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0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4.9000000000000004</v>
      </c>
      <c r="BY98" s="13">
        <f>IF('Données projet'!$A$114&gt;35,BY97+BX98-CG97,IF(A98&lt;'Données projet'!$A$114,$BV$205^A98,IF(A98='Données projet'!$A$114,'Données projet'!$B$114,BY97+BX98-CG97)))</f>
        <v>278.49999999999977</v>
      </c>
      <c r="BZ98" s="14">
        <f>BY98*VLOOKUP('Données projet'!$B$12,Paramètres!$A$1:$I$89,3,0)*VLOOKUP('Données projet'!$B$12,Paramètres!$A$1:$I$89,5,0)</f>
        <v>251.98679999999979</v>
      </c>
      <c r="CA98" s="14">
        <f t="shared" si="93"/>
        <v>61.011187970194996</v>
      </c>
      <c r="CB98" s="22">
        <f t="shared" si="64"/>
        <v>545.1381623814226</v>
      </c>
      <c r="CC98" s="62">
        <f t="shared" si="65"/>
        <v>838.47149571475597</v>
      </c>
      <c r="CD98" s="62">
        <f ca="1">AVERAGE(OFFSET($CC$3,0,0,'Données projet'!$E$12+1,1))-AVERAGE(OFFSET($H$3,0,0,'Données projet'!$E$12+1,1))</f>
        <v>429.54141820799617</v>
      </c>
      <c r="CE98" s="62">
        <f t="shared" si="94"/>
        <v>231.36959598460686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0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0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3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4.9000000000000004</v>
      </c>
      <c r="N99" s="14">
        <f>IF('Données projet'!$A$36&gt;35,N98+M99-V98,IF(A99&lt;'Données projet'!$A$36,$K$205^A99,IF(A99='Données projet'!$A$36,'Données projet'!$B$36,N98+M99-V98)))</f>
        <v>283.39999999999975</v>
      </c>
      <c r="O99" s="14">
        <f>N99*VLOOKUP('Données projet'!$B$9,Paramètres!$A$1:$I$89,3,0)*VLOOKUP('Données projet'!$B$9,Paramètres!$A$1:$I$89,5,0)</f>
        <v>287.36759999999975</v>
      </c>
      <c r="P99" s="14">
        <f t="shared" si="87"/>
        <v>68.521633201565052</v>
      </c>
      <c r="Q99" s="22">
        <f t="shared" ref="Q99:Q130" si="107">(O99+P99)*0.475*44/12</f>
        <v>619.84041449272536</v>
      </c>
      <c r="R99" s="62">
        <f t="shared" si="55"/>
        <v>913.17374782605862</v>
      </c>
      <c r="S99" s="62">
        <f ca="1">AVERAGE(OFFSET($R$3,0,0,'Données projet'!$E$9+1,1))-AVERAGE(OFFSET($H$3,0,0,'Données projet'!$E$9+1,1))</f>
        <v>476.25344680259701</v>
      </c>
      <c r="T99" s="62">
        <f t="shared" si="88"/>
        <v>254.25036207346591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3.4615384615384586</v>
      </c>
      <c r="AI99" s="14">
        <f>IF('Données projet'!$A$62&gt;35,AI98+AH99-AQ98,IF(A99&lt;'Données projet'!$A$62,$AF$205^A99,IF(A99='Données projet'!$A$62,'Données projet'!$B$62,AI98+AH99-AQ98)))</f>
        <v>295.76923076923055</v>
      </c>
      <c r="AJ99" s="14">
        <f>AI99*VLOOKUP('Données projet'!$B$10,Paramètres!$A$1:$I$89,3,0)*VLOOKUP('Données projet'!$B$10,Paramètres!$A$1:$I$89,5,0)</f>
        <v>309.13799999999981</v>
      </c>
      <c r="AK99" s="14">
        <f t="shared" si="89"/>
        <v>73.088781099784711</v>
      </c>
      <c r="AL99" s="22">
        <f t="shared" si="58"/>
        <v>665.71164374879129</v>
      </c>
      <c r="AM99" s="62">
        <f t="shared" si="59"/>
        <v>959.04497708212466</v>
      </c>
      <c r="AN99" s="62">
        <f ca="1">AVERAGE(OFFSET($AM$3,0,0,'Données projet'!$E$10+1,1))-AVERAGE(OFFSET($H$3,0,0,'Données projet'!$E$10+1,1))</f>
        <v>493.70175665335978</v>
      </c>
      <c r="AO99" s="62">
        <f t="shared" si="90"/>
        <v>325.12357781685949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>
        <f>BD99*VLOOKUP('Données projet'!$B$11,Paramètres!$A$1:$I$89,3,0)*VLOOKUP('Données projet'!$B$11,Paramètres!$A$1:$I$89,5,0)</f>
        <v>0</v>
      </c>
      <c r="BF99" s="14" t="e">
        <f t="shared" si="91"/>
        <v>#NUM!</v>
      </c>
      <c r="BG99" s="22" t="e">
        <f t="shared" si="61"/>
        <v>#NUM!</v>
      </c>
      <c r="BH99" s="62" t="e">
        <f t="shared" si="62"/>
        <v>#NUM!</v>
      </c>
      <c r="BI99" s="62">
        <f ca="1">AVERAGE(OFFSET($BH$3,0,0,'Données projet'!$E$11+1,1))-AVERAGE(OFFSET($H$3,0,0,'Données projet'!$E$11+1,1))</f>
        <v>245.09257882574383</v>
      </c>
      <c r="BJ99" s="62">
        <f t="shared" si="92"/>
        <v>342.30266518164211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0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4.9000000000000004</v>
      </c>
      <c r="BY99" s="13">
        <f>IF('Données projet'!$A$114&gt;35,BY98+BX99-CG98,IF(A99&lt;'Données projet'!$A$114,$BV$205^A99,IF(A99='Données projet'!$A$114,'Données projet'!$B$114,BY98+BX99-CG98)))</f>
        <v>283.39999999999975</v>
      </c>
      <c r="BZ99" s="14">
        <f>BY99*VLOOKUP('Données projet'!$B$12,Paramètres!$A$1:$I$89,3,0)*VLOOKUP('Données projet'!$B$12,Paramètres!$A$1:$I$89,5,0)</f>
        <v>256.42031999999978</v>
      </c>
      <c r="CA99" s="14">
        <f t="shared" si="93"/>
        <v>61.958720258016861</v>
      </c>
      <c r="CB99" s="22">
        <f t="shared" si="64"/>
        <v>554.51016178271232</v>
      </c>
      <c r="CC99" s="62">
        <f t="shared" si="65"/>
        <v>847.84349511604569</v>
      </c>
      <c r="CD99" s="62">
        <f ca="1">AVERAGE(OFFSET($CC$3,0,0,'Données projet'!$E$12+1,1))-AVERAGE(OFFSET($H$3,0,0,'Données projet'!$E$12+1,1))</f>
        <v>429.54141820799617</v>
      </c>
      <c r="CE99" s="62">
        <f t="shared" si="94"/>
        <v>231.36959598460686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0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0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3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4.9000000000000004</v>
      </c>
      <c r="N100" s="14">
        <f>IF('Données projet'!$A$36&gt;35,N99+M100-V99,IF(A100&lt;'Données projet'!$A$36,$K$205^A100,IF(A100='Données projet'!$A$36,'Données projet'!$B$36,N99+M100-V99)))</f>
        <v>288.29999999999973</v>
      </c>
      <c r="O100" s="14">
        <f>N100*VLOOKUP('Données projet'!$B$9,Paramètres!$A$1:$I$89,3,0)*VLOOKUP('Données projet'!$B$9,Paramètres!$A$1:$I$89,5,0)</f>
        <v>292.33619999999974</v>
      </c>
      <c r="P100" s="14">
        <f t="shared" si="87"/>
        <v>69.567424909623199</v>
      </c>
      <c r="Q100" s="22">
        <f t="shared" si="107"/>
        <v>630.31548005092657</v>
      </c>
      <c r="R100" s="62">
        <f t="shared" si="55"/>
        <v>923.64881338425994</v>
      </c>
      <c r="S100" s="62">
        <f ca="1">AVERAGE(OFFSET($R$3,0,0,'Données projet'!$E$9+1,1))-AVERAGE(OFFSET($H$3,0,0,'Données projet'!$E$9+1,1))</f>
        <v>476.25344680259701</v>
      </c>
      <c r="T100" s="62">
        <f t="shared" si="88"/>
        <v>254.25036207346591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3.4615384615384586</v>
      </c>
      <c r="AI100" s="14">
        <f>IF('Données projet'!$A$62&gt;35,AI99+AH100-AQ99,IF(A100&lt;'Données projet'!$A$62,$AF$205^A100,IF(A100='Données projet'!$A$62,'Données projet'!$B$62,AI99+AH100-AQ99)))</f>
        <v>299.230769230769</v>
      </c>
      <c r="AJ100" s="14">
        <f>AI100*VLOOKUP('Données projet'!$B$10,Paramètres!$A$1:$I$89,3,0)*VLOOKUP('Données projet'!$B$10,Paramètres!$A$1:$I$89,5,0)</f>
        <v>312.7559999999998</v>
      </c>
      <c r="AK100" s="14">
        <f t="shared" si="89"/>
        <v>73.844095838560634</v>
      </c>
      <c r="AL100" s="22">
        <f t="shared" si="58"/>
        <v>673.32850025215942</v>
      </c>
      <c r="AM100" s="62">
        <f t="shared" si="59"/>
        <v>966.66183358549279</v>
      </c>
      <c r="AN100" s="62">
        <f ca="1">AVERAGE(OFFSET($AM$3,0,0,'Données projet'!$E$10+1,1))-AVERAGE(OFFSET($H$3,0,0,'Données projet'!$E$10+1,1))</f>
        <v>493.70175665335978</v>
      </c>
      <c r="AO100" s="62">
        <f t="shared" si="90"/>
        <v>325.12357781685949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>
        <f>BD100*VLOOKUP('Données projet'!$B$11,Paramètres!$A$1:$I$89,3,0)*VLOOKUP('Données projet'!$B$11,Paramètres!$A$1:$I$89,5,0)</f>
        <v>0</v>
      </c>
      <c r="BF100" s="14" t="e">
        <f t="shared" si="91"/>
        <v>#NUM!</v>
      </c>
      <c r="BG100" s="22" t="e">
        <f t="shared" si="61"/>
        <v>#NUM!</v>
      </c>
      <c r="BH100" s="62" t="e">
        <f t="shared" si="62"/>
        <v>#NUM!</v>
      </c>
      <c r="BI100" s="62">
        <f ca="1">AVERAGE(OFFSET($BH$3,0,0,'Données projet'!$E$11+1,1))-AVERAGE(OFFSET($H$3,0,0,'Données projet'!$E$11+1,1))</f>
        <v>245.09257882574383</v>
      </c>
      <c r="BJ100" s="62">
        <f t="shared" si="92"/>
        <v>342.30266518164211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0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4.9000000000000004</v>
      </c>
      <c r="BY100" s="13">
        <f>IF('Données projet'!$A$114&gt;35,BY99+BX100-CG99,IF(A100&lt;'Données projet'!$A$114,$BV$205^A100,IF(A100='Données projet'!$A$114,'Données projet'!$B$114,BY99+BX100-CG99)))</f>
        <v>288.29999999999973</v>
      </c>
      <c r="BZ100" s="14">
        <f>BY100*VLOOKUP('Données projet'!$B$12,Paramètres!$A$1:$I$89,3,0)*VLOOKUP('Données projet'!$B$12,Paramètres!$A$1:$I$89,5,0)</f>
        <v>260.85383999999976</v>
      </c>
      <c r="CA100" s="14">
        <f t="shared" si="93"/>
        <v>62.904347395903706</v>
      </c>
      <c r="CB100" s="22">
        <f t="shared" si="64"/>
        <v>563.87884304786519</v>
      </c>
      <c r="CC100" s="62">
        <f t="shared" si="65"/>
        <v>857.21217638119856</v>
      </c>
      <c r="CD100" s="62">
        <f ca="1">AVERAGE(OFFSET($CC$3,0,0,'Données projet'!$E$12+1,1))-AVERAGE(OFFSET($H$3,0,0,'Données projet'!$E$12+1,1))</f>
        <v>429.54141820799617</v>
      </c>
      <c r="CE100" s="62">
        <f t="shared" si="94"/>
        <v>231.36959598460686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0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0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3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4.9000000000000004</v>
      </c>
      <c r="N101" s="14">
        <f>IF('Données projet'!$A$36&gt;35,N100+M101-V100,IF(A101&lt;'Données projet'!$A$36,$K$205^A101,IF(A101='Données projet'!$A$36,'Données projet'!$B$36,N100+M101-V100)))</f>
        <v>293.1999999999997</v>
      </c>
      <c r="O101" s="14">
        <f>N101*VLOOKUP('Données projet'!$B$9,Paramètres!$A$1:$I$89,3,0)*VLOOKUP('Données projet'!$B$9,Paramètres!$A$1:$I$89,5,0)</f>
        <v>297.30479999999972</v>
      </c>
      <c r="P101" s="14">
        <f t="shared" si="87"/>
        <v>70.611149609504849</v>
      </c>
      <c r="Q101" s="22">
        <f t="shared" si="107"/>
        <v>640.78694556988705</v>
      </c>
      <c r="R101" s="62">
        <f t="shared" si="55"/>
        <v>934.12027890322042</v>
      </c>
      <c r="S101" s="62">
        <f ca="1">AVERAGE(OFFSET($R$3,0,0,'Données projet'!$E$9+1,1))-AVERAGE(OFFSET($H$3,0,0,'Données projet'!$E$9+1,1))</f>
        <v>476.25344680259701</v>
      </c>
      <c r="T101" s="62">
        <f t="shared" si="88"/>
        <v>254.25036207346591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3.4615384615384586</v>
      </c>
      <c r="AI101" s="14">
        <f>IF('Données projet'!$A$62&gt;35,AI100+AH101-AQ100,IF(A101&lt;'Données projet'!$A$62,$AF$205^A101,IF(A101='Données projet'!$A$62,'Données projet'!$B$62,AI100+AH101-AQ100)))</f>
        <v>302.69230769230745</v>
      </c>
      <c r="AJ101" s="14">
        <f>AI101*VLOOKUP('Données projet'!$B$10,Paramètres!$A$1:$I$89,3,0)*VLOOKUP('Données projet'!$B$10,Paramètres!$A$1:$I$89,5,0)</f>
        <v>316.37399999999974</v>
      </c>
      <c r="AK101" s="14">
        <f t="shared" si="89"/>
        <v>74.598394184177479</v>
      </c>
      <c r="AL101" s="22">
        <f t="shared" si="58"/>
        <v>680.943586537442</v>
      </c>
      <c r="AM101" s="62">
        <f t="shared" si="59"/>
        <v>974.27691987077537</v>
      </c>
      <c r="AN101" s="62">
        <f ca="1">AVERAGE(OFFSET($AM$3,0,0,'Données projet'!$E$10+1,1))-AVERAGE(OFFSET($H$3,0,0,'Données projet'!$E$10+1,1))</f>
        <v>493.70175665335978</v>
      </c>
      <c r="AO101" s="62">
        <f t="shared" si="90"/>
        <v>325.12357781685949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>
        <f>BD101*VLOOKUP('Données projet'!$B$11,Paramètres!$A$1:$I$89,3,0)*VLOOKUP('Données projet'!$B$11,Paramètres!$A$1:$I$89,5,0)</f>
        <v>0</v>
      </c>
      <c r="BF101" s="14" t="e">
        <f t="shared" si="91"/>
        <v>#NUM!</v>
      </c>
      <c r="BG101" s="22" t="e">
        <f t="shared" si="61"/>
        <v>#NUM!</v>
      </c>
      <c r="BH101" s="62" t="e">
        <f t="shared" si="62"/>
        <v>#NUM!</v>
      </c>
      <c r="BI101" s="62">
        <f ca="1">AVERAGE(OFFSET($BH$3,0,0,'Données projet'!$E$11+1,1))-AVERAGE(OFFSET($H$3,0,0,'Données projet'!$E$11+1,1))</f>
        <v>245.09257882574383</v>
      </c>
      <c r="BJ101" s="62">
        <f t="shared" si="92"/>
        <v>342.30266518164211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0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4.9000000000000004</v>
      </c>
      <c r="BY101" s="13">
        <f>IF('Données projet'!$A$114&gt;35,BY100+BX101-CG100,IF(A101&lt;'Données projet'!$A$114,$BV$205^A101,IF(A101='Données projet'!$A$114,'Données projet'!$B$114,BY100+BX101-CG100)))</f>
        <v>293.1999999999997</v>
      </c>
      <c r="BZ101" s="14">
        <f>BY101*VLOOKUP('Données projet'!$B$12,Paramètres!$A$1:$I$89,3,0)*VLOOKUP('Données projet'!$B$12,Paramètres!$A$1:$I$89,5,0)</f>
        <v>265.28735999999969</v>
      </c>
      <c r="CA101" s="14">
        <f t="shared" si="93"/>
        <v>63.848105500969893</v>
      </c>
      <c r="CB101" s="22">
        <f t="shared" si="64"/>
        <v>573.24426908085536</v>
      </c>
      <c r="CC101" s="62">
        <f t="shared" si="65"/>
        <v>866.57760241418873</v>
      </c>
      <c r="CD101" s="62">
        <f ca="1">AVERAGE(OFFSET($CC$3,0,0,'Données projet'!$E$12+1,1))-AVERAGE(OFFSET($H$3,0,0,'Données projet'!$E$12+1,1))</f>
        <v>429.54141820799617</v>
      </c>
      <c r="CE101" s="62">
        <f t="shared" si="94"/>
        <v>231.36959598460686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0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0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3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4.9000000000000004</v>
      </c>
      <c r="N102" s="14">
        <f>IF('Données projet'!$A$36&gt;35,N101+M102-V101,IF(A102&lt;'Données projet'!$A$36,$K$205^A102,IF(A102='Données projet'!$A$36,'Données projet'!$B$36,N101+M102-V101)))</f>
        <v>298.09999999999968</v>
      </c>
      <c r="O102" s="14">
        <f>N102*VLOOKUP('Données projet'!$B$9,Paramètres!$A$1:$I$89,3,0)*VLOOKUP('Données projet'!$B$9,Paramètres!$A$1:$I$89,5,0)</f>
        <v>302.2733999999997</v>
      </c>
      <c r="P102" s="14">
        <f t="shared" si="87"/>
        <v>71.652845832409668</v>
      </c>
      <c r="Q102" s="22">
        <f t="shared" si="107"/>
        <v>651.25487815811289</v>
      </c>
      <c r="R102" s="62">
        <f t="shared" si="55"/>
        <v>944.58821149144615</v>
      </c>
      <c r="S102" s="62">
        <f ca="1">AVERAGE(OFFSET($R$3,0,0,'Données projet'!$E$9+1,1))-AVERAGE(OFFSET($H$3,0,0,'Données projet'!$E$9+1,1))</f>
        <v>476.25344680259701</v>
      </c>
      <c r="T102" s="62">
        <f t="shared" si="88"/>
        <v>254.25036207346591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3.4615384615384586</v>
      </c>
      <c r="AI102" s="14">
        <f>IF('Données projet'!$A$62&gt;35,AI101+AH102-AQ101,IF(A102&lt;'Données projet'!$A$62,$AF$205^A102,IF(A102='Données projet'!$A$62,'Données projet'!$B$62,AI101+AH102-AQ101)))</f>
        <v>306.1538461538459</v>
      </c>
      <c r="AJ102" s="14">
        <f>AI102*VLOOKUP('Données projet'!$B$10,Paramètres!$A$1:$I$89,3,0)*VLOOKUP('Données projet'!$B$10,Paramètres!$A$1:$I$89,5,0)</f>
        <v>319.99199999999979</v>
      </c>
      <c r="AK102" s="14">
        <f t="shared" si="89"/>
        <v>75.351689104824757</v>
      </c>
      <c r="AL102" s="22">
        <f t="shared" si="58"/>
        <v>688.55692519090269</v>
      </c>
      <c r="AM102" s="62">
        <f t="shared" si="59"/>
        <v>981.89025852423606</v>
      </c>
      <c r="AN102" s="62">
        <f ca="1">AVERAGE(OFFSET($AM$3,0,0,'Données projet'!$E$10+1,1))-AVERAGE(OFFSET($H$3,0,0,'Données projet'!$E$10+1,1))</f>
        <v>493.70175665335978</v>
      </c>
      <c r="AO102" s="62">
        <f t="shared" si="90"/>
        <v>325.12357781685949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>
        <f>BD102*VLOOKUP('Données projet'!$B$11,Paramètres!$A$1:$I$89,3,0)*VLOOKUP('Données projet'!$B$11,Paramètres!$A$1:$I$89,5,0)</f>
        <v>0</v>
      </c>
      <c r="BF102" s="14" t="e">
        <f t="shared" si="91"/>
        <v>#NUM!</v>
      </c>
      <c r="BG102" s="22" t="e">
        <f t="shared" si="61"/>
        <v>#NUM!</v>
      </c>
      <c r="BH102" s="62" t="e">
        <f t="shared" si="62"/>
        <v>#NUM!</v>
      </c>
      <c r="BI102" s="62">
        <f ca="1">AVERAGE(OFFSET($BH$3,0,0,'Données projet'!$E$11+1,1))-AVERAGE(OFFSET($H$3,0,0,'Données projet'!$E$11+1,1))</f>
        <v>245.09257882574383</v>
      </c>
      <c r="BJ102" s="62">
        <f t="shared" si="92"/>
        <v>342.30266518164211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0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4.9000000000000004</v>
      </c>
      <c r="BY102" s="13">
        <f>IF('Données projet'!$A$114&gt;35,BY101+BX102-CG101,IF(A102&lt;'Données projet'!$A$114,$BV$205^A102,IF(A102='Données projet'!$A$114,'Données projet'!$B$114,BY101+BX102-CG101)))</f>
        <v>298.09999999999968</v>
      </c>
      <c r="BZ102" s="14">
        <f>BY102*VLOOKUP('Données projet'!$B$12,Paramètres!$A$1:$I$89,3,0)*VLOOKUP('Données projet'!$B$12,Paramètres!$A$1:$I$89,5,0)</f>
        <v>269.72087999999968</v>
      </c>
      <c r="CA102" s="14">
        <f t="shared" si="93"/>
        <v>64.790029413946883</v>
      </c>
      <c r="CB102" s="22">
        <f t="shared" si="64"/>
        <v>582.60650056262364</v>
      </c>
      <c r="CC102" s="62">
        <f t="shared" si="65"/>
        <v>875.93983389595701</v>
      </c>
      <c r="CD102" s="62">
        <f ca="1">AVERAGE(OFFSET($CC$3,0,0,'Données projet'!$E$12+1,1))-AVERAGE(OFFSET($H$3,0,0,'Données projet'!$E$12+1,1))</f>
        <v>429.54141820799617</v>
      </c>
      <c r="CE102" s="62">
        <f t="shared" si="94"/>
        <v>231.36959598460686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0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0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3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>
        <f>VLOOKUP(A103,'Données projet'!$A$35:$I$55,2,0)</f>
        <v>303</v>
      </c>
      <c r="L103" s="13">
        <f>VLOOKUP(A103,'Données projet'!$A$35:$I$55,9,0)</f>
        <v>4.9000000000000004</v>
      </c>
      <c r="M103" s="13">
        <f t="array" ref="M103">INDEX(L:L,MIN(IF(ISNUMBER(L103:L299),ROW(L103:L299),"")))</f>
        <v>4.9000000000000004</v>
      </c>
      <c r="N103" s="14">
        <f>IF('Données projet'!$A$36&gt;35,N102+M103-V102,IF(A103&lt;'Données projet'!$A$36,$K$205^A103,IF(A103='Données projet'!$A$36,'Données projet'!$B$36,N102+M103-V102)))</f>
        <v>302.99999999999966</v>
      </c>
      <c r="O103" s="14">
        <f>N103*VLOOKUP('Données projet'!$B$9,Paramètres!$A$1:$I$89,3,0)*VLOOKUP('Données projet'!$B$9,Paramètres!$A$1:$I$89,5,0)</f>
        <v>307.24199999999968</v>
      </c>
      <c r="P103" s="14">
        <f t="shared" si="87"/>
        <v>72.692550770207717</v>
      </c>
      <c r="Q103" s="22">
        <f t="shared" si="107"/>
        <v>661.7193425914445</v>
      </c>
      <c r="R103" s="62">
        <f t="shared" si="55"/>
        <v>955.05267592477776</v>
      </c>
      <c r="S103" s="62">
        <f ca="1">AVERAGE(OFFSET($R$3,0,0,'Données projet'!$E$9+1,1))-AVERAGE(OFFSET($H$3,0,0,'Données projet'!$E$9+1,1))</f>
        <v>476.25344680259701</v>
      </c>
      <c r="T103" s="62">
        <f t="shared" si="88"/>
        <v>254.25036207346591</v>
      </c>
      <c r="U103" s="16">
        <f>IF(ISNA(VLOOKUP(A103,'Données projet'!$A$35:$I$55,3,0)),0,VLOOKUP(A103,'Données projet'!$A$35:$I$55,3,0))</f>
        <v>8</v>
      </c>
      <c r="V103" s="16">
        <f>IF(ISNA(VLOOKUP(A103,'Données projet'!$A$35:$I$55,4,0)),0,VLOOKUP(A103,'Données projet'!$A$35:$I$55,4,0))</f>
        <v>42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>
        <f>VLOOKUP(A103,'Données projet'!$A$61:$I$81,2,0)</f>
        <v>309.61538461538458</v>
      </c>
      <c r="AG103" s="13">
        <f>VLOOKUP(A103,'Données projet'!$A$61:$I$81,9,0)</f>
        <v>3.4615384615384586</v>
      </c>
      <c r="AH103" s="13">
        <f t="array" ref="AH103">INDEX(AG:AG,MIN(IF(ISNUMBER(AG103:AG299),ROW(AG103:AG299),"")))</f>
        <v>3.4615384615384586</v>
      </c>
      <c r="AI103" s="14">
        <f>IF('Données projet'!$A$62&gt;35,AI102+AH103-AQ102,IF(A103&lt;'Données projet'!$A$62,$AF$205^A103,IF(A103='Données projet'!$A$62,'Données projet'!$B$62,AI102+AH103-AQ102)))</f>
        <v>309.61538461538436</v>
      </c>
      <c r="AJ103" s="14">
        <f>AI103*VLOOKUP('Données projet'!$B$10,Paramètres!$A$1:$I$89,3,0)*VLOOKUP('Données projet'!$B$10,Paramètres!$A$1:$I$89,5,0)</f>
        <v>323.60999999999979</v>
      </c>
      <c r="AK103" s="14">
        <f t="shared" si="89"/>
        <v>76.103993258558603</v>
      </c>
      <c r="AL103" s="22">
        <f t="shared" si="58"/>
        <v>696.16853825865599</v>
      </c>
      <c r="AM103" s="62">
        <f t="shared" si="59"/>
        <v>989.50187159198936</v>
      </c>
      <c r="AN103" s="62">
        <f ca="1">AVERAGE(OFFSET($AM$3,0,0,'Données projet'!$E$10+1,1))-AVERAGE(OFFSET($H$3,0,0,'Données projet'!$E$10+1,1))</f>
        <v>493.70175665335978</v>
      </c>
      <c r="AO103" s="62">
        <f t="shared" si="90"/>
        <v>325.12357781685949</v>
      </c>
      <c r="AP103" s="16">
        <f>IF(ISNA(VLOOKUP(A103,'Données projet'!$A$61:$I$81,3,0)),0,VLOOKUP(A103,'Données projet'!$A$61:$I$81,3,0))</f>
        <v>8</v>
      </c>
      <c r="AQ103" s="16">
        <f>IF(ISNA(VLOOKUP(A103,'Données projet'!$A$61:$I$81,4,0)),0,VLOOKUP(A103,'Données projet'!$A$61:$I$81,4,0))</f>
        <v>20.512820512820511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>
        <f>BD103*VLOOKUP('Données projet'!$B$11,Paramètres!$A$1:$I$89,3,0)*VLOOKUP('Données projet'!$B$11,Paramètres!$A$1:$I$89,5,0)</f>
        <v>0</v>
      </c>
      <c r="BF103" s="14" t="e">
        <f t="shared" si="91"/>
        <v>#NUM!</v>
      </c>
      <c r="BG103" s="22" t="e">
        <f t="shared" si="61"/>
        <v>#NUM!</v>
      </c>
      <c r="BH103" s="62" t="e">
        <f t="shared" si="62"/>
        <v>#NUM!</v>
      </c>
      <c r="BI103" s="62">
        <f ca="1">AVERAGE(OFFSET($BH$3,0,0,'Données projet'!$E$11+1,1))-AVERAGE(OFFSET($H$3,0,0,'Données projet'!$E$11+1,1))</f>
        <v>245.09257882574383</v>
      </c>
      <c r="BJ103" s="62">
        <f t="shared" si="92"/>
        <v>342.30266518164211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0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>
        <f>VLOOKUP(A103,'Données projet'!$A$113:$I$133,2,0)</f>
        <v>303</v>
      </c>
      <c r="BW103" s="13">
        <f>VLOOKUP(A103,'Données projet'!$A$113:$I$133,9,0)</f>
        <v>4.9000000000000004</v>
      </c>
      <c r="BX103" s="13">
        <f t="array" ref="BX103">INDEX(BW:BW,MIN(IF(ISNUMBER(BW103:BW299),ROW(BW103:BW299),"")))</f>
        <v>4.9000000000000004</v>
      </c>
      <c r="BY103" s="13">
        <f>IF('Données projet'!$A$114&gt;35,BY102+BX103-CG102,IF(A103&lt;'Données projet'!$A$114,$BV$205^A103,IF(A103='Données projet'!$A$114,'Données projet'!$B$114,BY102+BX103-CG102)))</f>
        <v>302.99999999999966</v>
      </c>
      <c r="BZ103" s="14">
        <f>BY103*VLOOKUP('Données projet'!$B$12,Paramètres!$A$1:$I$89,3,0)*VLOOKUP('Données projet'!$B$12,Paramètres!$A$1:$I$89,5,0)</f>
        <v>274.15439999999967</v>
      </c>
      <c r="CA103" s="14">
        <f t="shared" si="93"/>
        <v>65.730152764515779</v>
      </c>
      <c r="CB103" s="22">
        <f t="shared" si="64"/>
        <v>591.96559606486437</v>
      </c>
      <c r="CC103" s="62">
        <f t="shared" si="65"/>
        <v>885.29892939819774</v>
      </c>
      <c r="CD103" s="62">
        <f ca="1">AVERAGE(OFFSET($CC$3,0,0,'Données projet'!$E$12+1,1))-AVERAGE(OFFSET($H$3,0,0,'Données projet'!$E$12+1,1))</f>
        <v>429.54141820799617</v>
      </c>
      <c r="CE103" s="62">
        <f t="shared" si="94"/>
        <v>231.36959598460686</v>
      </c>
      <c r="CF103" s="16">
        <f>IF(ISNA(VLOOKUP(A103,'Données projet'!$A$113:$I$133,3,0)),0,VLOOKUP(A103,'Données projet'!$A$113:$I$133,3,0))</f>
        <v>8</v>
      </c>
      <c r="CG103" s="16">
        <f>IF(ISNA(VLOOKUP(A103,'Données projet'!$A$113:$I$133,4,0)),0,VLOOKUP(A103,'Données projet'!$A$113:$I$133,4,0))</f>
        <v>42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0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0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3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4.4000000000000004</v>
      </c>
      <c r="N104" s="14">
        <f>IF('Données projet'!$A$36&gt;35,N103+M104-V103,IF(A104&lt;'Données projet'!$A$36,$K$205^A104,IF(A104='Données projet'!$A$36,'Données projet'!$B$36,N103+M104-V103)))</f>
        <v>265.39999999999964</v>
      </c>
      <c r="O104" s="14">
        <f>N104*VLOOKUP('Données projet'!$B$9,Paramètres!$A$1:$I$89,3,0)*VLOOKUP('Données projet'!$B$9,Paramètres!$A$1:$I$89,5,0)</f>
        <v>269.11559999999963</v>
      </c>
      <c r="P104" s="14">
        <f t="shared" si="87"/>
        <v>64.661541462287019</v>
      </c>
      <c r="Q104" s="22">
        <f t="shared" si="107"/>
        <v>581.32852138014925</v>
      </c>
      <c r="R104" s="62">
        <f t="shared" si="55"/>
        <v>874.66185471348263</v>
      </c>
      <c r="S104" s="62">
        <f ca="1">AVERAGE(OFFSET($R$3,0,0,'Données projet'!$E$9+1,1))-AVERAGE(OFFSET($H$3,0,0,'Données projet'!$E$9+1,1))</f>
        <v>476.25344680259701</v>
      </c>
      <c r="T104" s="62">
        <f t="shared" si="88"/>
        <v>254.25036207346591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3.2051282051282044</v>
      </c>
      <c r="AI104" s="14">
        <f>IF('Données projet'!$A$62&gt;35,AI103+AH104-AQ103,IF(A104&lt;'Données projet'!$A$62,$AF$205^A104,IF(A104='Données projet'!$A$62,'Données projet'!$B$62,AI103+AH104-AQ103)))</f>
        <v>292.30769230769209</v>
      </c>
      <c r="AJ104" s="14">
        <f>AI104*VLOOKUP('Données projet'!$B$10,Paramètres!$A$1:$I$89,3,0)*VLOOKUP('Données projet'!$B$10,Paramètres!$A$1:$I$89,5,0)</f>
        <v>305.51999999999981</v>
      </c>
      <c r="AK104" s="14">
        <f t="shared" si="89"/>
        <v>72.332436678206648</v>
      </c>
      <c r="AL104" s="22">
        <f t="shared" si="58"/>
        <v>658.09299388120962</v>
      </c>
      <c r="AM104" s="62">
        <f t="shared" si="59"/>
        <v>951.42632721454288</v>
      </c>
      <c r="AN104" s="62">
        <f ca="1">AVERAGE(OFFSET($AM$3,0,0,'Données projet'!$E$10+1,1))-AVERAGE(OFFSET($H$3,0,0,'Données projet'!$E$10+1,1))</f>
        <v>493.70175665335978</v>
      </c>
      <c r="AO104" s="62">
        <f t="shared" si="90"/>
        <v>325.12357781685949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>
        <f>BD104*VLOOKUP('Données projet'!$B$11,Paramètres!$A$1:$I$89,3,0)*VLOOKUP('Données projet'!$B$11,Paramètres!$A$1:$I$89,5,0)</f>
        <v>0</v>
      </c>
      <c r="BF104" s="14" t="e">
        <f t="shared" si="91"/>
        <v>#NUM!</v>
      </c>
      <c r="BG104" s="22" t="e">
        <f t="shared" si="61"/>
        <v>#NUM!</v>
      </c>
      <c r="BH104" s="62" t="e">
        <f t="shared" si="62"/>
        <v>#NUM!</v>
      </c>
      <c r="BI104" s="62">
        <f ca="1">AVERAGE(OFFSET($BH$3,0,0,'Données projet'!$E$11+1,1))-AVERAGE(OFFSET($H$3,0,0,'Données projet'!$E$11+1,1))</f>
        <v>245.09257882574383</v>
      </c>
      <c r="BJ104" s="62">
        <f t="shared" si="92"/>
        <v>342.30266518164211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0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4.4000000000000004</v>
      </c>
      <c r="BY104" s="13">
        <f>IF('Données projet'!$A$114&gt;35,BY103+BX104-CG103,IF(A104&lt;'Données projet'!$A$114,$BV$205^A104,IF(A104='Données projet'!$A$114,'Données projet'!$B$114,BY103+BX104-CG103)))</f>
        <v>265.39999999999964</v>
      </c>
      <c r="BZ104" s="14">
        <f>BY104*VLOOKUP('Données projet'!$B$12,Paramètres!$A$1:$I$89,3,0)*VLOOKUP('Données projet'!$B$12,Paramètres!$A$1:$I$89,5,0)</f>
        <v>240.13391999999968</v>
      </c>
      <c r="CA104" s="14">
        <f t="shared" si="93"/>
        <v>58.46834308704851</v>
      </c>
      <c r="CB104" s="22">
        <f t="shared" si="64"/>
        <v>520.0656082099423</v>
      </c>
      <c r="CC104" s="62">
        <f t="shared" si="65"/>
        <v>813.39894154327567</v>
      </c>
      <c r="CD104" s="62">
        <f ca="1">AVERAGE(OFFSET($CC$3,0,0,'Données projet'!$E$12+1,1))-AVERAGE(OFFSET($H$3,0,0,'Données projet'!$E$12+1,1))</f>
        <v>429.54141820799617</v>
      </c>
      <c r="CE104" s="62">
        <f t="shared" si="94"/>
        <v>231.36959598460686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0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0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3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4.4000000000000004</v>
      </c>
      <c r="N105" s="14">
        <f>IF('Données projet'!$A$36&gt;35,N104+M105-V104,IF(A105&lt;'Données projet'!$A$36,$K$205^A105,IF(A105='Données projet'!$A$36,'Données projet'!$B$36,N104+M105-V104)))</f>
        <v>269.79999999999961</v>
      </c>
      <c r="O105" s="14">
        <f>N105*VLOOKUP('Données projet'!$B$9,Paramètres!$A$1:$I$89,3,0)*VLOOKUP('Données projet'!$B$9,Paramètres!$A$1:$I$89,5,0)</f>
        <v>273.57719999999961</v>
      </c>
      <c r="P105" s="14">
        <f t="shared" si="87"/>
        <v>65.607858889914979</v>
      </c>
      <c r="Q105" s="22">
        <f t="shared" si="107"/>
        <v>590.74731089993452</v>
      </c>
      <c r="R105" s="62">
        <f t="shared" si="55"/>
        <v>884.08064423326778</v>
      </c>
      <c r="S105" s="62">
        <f ca="1">AVERAGE(OFFSET($R$3,0,0,'Données projet'!$E$9+1,1))-AVERAGE(OFFSET($H$3,0,0,'Données projet'!$E$9+1,1))</f>
        <v>476.25344680259701</v>
      </c>
      <c r="T105" s="62">
        <f t="shared" si="88"/>
        <v>254.25036207346591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3.2051282051282044</v>
      </c>
      <c r="AI105" s="14">
        <f>IF('Données projet'!$A$62&gt;35,AI104+AH105-AQ104,IF(A105&lt;'Données projet'!$A$62,$AF$205^A105,IF(A105='Données projet'!$A$62,'Données projet'!$B$62,AI104+AH105-AQ104)))</f>
        <v>295.51282051282033</v>
      </c>
      <c r="AJ105" s="14">
        <f>AI105*VLOOKUP('Données projet'!$B$10,Paramètres!$A$1:$I$89,3,0)*VLOOKUP('Données projet'!$B$10,Paramètres!$A$1:$I$89,5,0)</f>
        <v>308.86999999999983</v>
      </c>
      <c r="AK105" s="14">
        <f t="shared" si="89"/>
        <v>73.032791063818379</v>
      </c>
      <c r="AL105" s="22">
        <f t="shared" si="58"/>
        <v>665.14736110281672</v>
      </c>
      <c r="AM105" s="62">
        <f t="shared" si="59"/>
        <v>958.48069443615009</v>
      </c>
      <c r="AN105" s="62">
        <f ca="1">AVERAGE(OFFSET($AM$3,0,0,'Données projet'!$E$10+1,1))-AVERAGE(OFFSET($H$3,0,0,'Données projet'!$E$10+1,1))</f>
        <v>493.70175665335978</v>
      </c>
      <c r="AO105" s="62">
        <f t="shared" si="90"/>
        <v>325.12357781685949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>
        <f>BD105*VLOOKUP('Données projet'!$B$11,Paramètres!$A$1:$I$89,3,0)*VLOOKUP('Données projet'!$B$11,Paramètres!$A$1:$I$89,5,0)</f>
        <v>0</v>
      </c>
      <c r="BF105" s="14" t="e">
        <f t="shared" si="91"/>
        <v>#NUM!</v>
      </c>
      <c r="BG105" s="22" t="e">
        <f t="shared" si="61"/>
        <v>#NUM!</v>
      </c>
      <c r="BH105" s="62" t="e">
        <f t="shared" si="62"/>
        <v>#NUM!</v>
      </c>
      <c r="BI105" s="62">
        <f ca="1">AVERAGE(OFFSET($BH$3,0,0,'Données projet'!$E$11+1,1))-AVERAGE(OFFSET($H$3,0,0,'Données projet'!$E$11+1,1))</f>
        <v>245.09257882574383</v>
      </c>
      <c r="BJ105" s="62">
        <f t="shared" si="92"/>
        <v>342.30266518164211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0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4.4000000000000004</v>
      </c>
      <c r="BY105" s="13">
        <f>IF('Données projet'!$A$114&gt;35,BY104+BX105-CG104,IF(A105&lt;'Données projet'!$A$114,$BV$205^A105,IF(A105='Données projet'!$A$114,'Données projet'!$B$114,BY104+BX105-CG104)))</f>
        <v>269.79999999999961</v>
      </c>
      <c r="BZ105" s="14">
        <f>BY105*VLOOKUP('Données projet'!$B$12,Paramètres!$A$1:$I$89,3,0)*VLOOKUP('Données projet'!$B$12,Paramètres!$A$1:$I$89,5,0)</f>
        <v>244.11503999999962</v>
      </c>
      <c r="CA105" s="14">
        <f t="shared" si="93"/>
        <v>59.324023461758955</v>
      </c>
      <c r="CB105" s="22">
        <f t="shared" si="64"/>
        <v>528.48970219589614</v>
      </c>
      <c r="CC105" s="62">
        <f t="shared" si="65"/>
        <v>821.8230355292294</v>
      </c>
      <c r="CD105" s="62">
        <f ca="1">AVERAGE(OFFSET($CC$3,0,0,'Données projet'!$E$12+1,1))-AVERAGE(OFFSET($H$3,0,0,'Données projet'!$E$12+1,1))</f>
        <v>429.54141820799617</v>
      </c>
      <c r="CE105" s="62">
        <f t="shared" si="94"/>
        <v>231.36959598460686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0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0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3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4.4000000000000004</v>
      </c>
      <c r="N106" s="14">
        <f>IF('Données projet'!$A$36&gt;35,N105+M106-V105,IF(A106&lt;'Données projet'!$A$36,$K$205^A106,IF(A106='Données projet'!$A$36,'Données projet'!$B$36,N105+M106-V105)))</f>
        <v>274.19999999999959</v>
      </c>
      <c r="O106" s="14">
        <f>N106*VLOOKUP('Données projet'!$B$9,Paramètres!$A$1:$I$89,3,0)*VLOOKUP('Données projet'!$B$9,Paramètres!$A$1:$I$89,5,0)</f>
        <v>278.03879999999958</v>
      </c>
      <c r="P106" s="14">
        <f t="shared" si="87"/>
        <v>66.552381547717687</v>
      </c>
      <c r="Q106" s="22">
        <f t="shared" si="107"/>
        <v>600.16297452894094</v>
      </c>
      <c r="R106" s="62">
        <f t="shared" si="55"/>
        <v>893.49630786227431</v>
      </c>
      <c r="S106" s="62">
        <f ca="1">AVERAGE(OFFSET($R$3,0,0,'Données projet'!$E$9+1,1))-AVERAGE(OFFSET($H$3,0,0,'Données projet'!$E$9+1,1))</f>
        <v>476.25344680259701</v>
      </c>
      <c r="T106" s="62">
        <f t="shared" si="88"/>
        <v>254.25036207346591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3.2051282051282044</v>
      </c>
      <c r="AI106" s="14">
        <f>IF('Données projet'!$A$62&gt;35,AI105+AH106-AQ105,IF(A106&lt;'Données projet'!$A$62,$AF$205^A106,IF(A106='Données projet'!$A$62,'Données projet'!$B$62,AI105+AH106-AQ105)))</f>
        <v>298.7179487179485</v>
      </c>
      <c r="AJ106" s="14">
        <f>AI106*VLOOKUP('Données projet'!$B$10,Paramètres!$A$1:$I$89,3,0)*VLOOKUP('Données projet'!$B$10,Paramètres!$A$1:$I$89,5,0)</f>
        <v>312.2199999999998</v>
      </c>
      <c r="AK106" s="14">
        <f t="shared" si="89"/>
        <v>73.732261810577455</v>
      </c>
      <c r="AL106" s="22">
        <f t="shared" si="58"/>
        <v>672.20018932008873</v>
      </c>
      <c r="AM106" s="62">
        <f t="shared" si="59"/>
        <v>965.5335226534221</v>
      </c>
      <c r="AN106" s="62">
        <f ca="1">AVERAGE(OFFSET($AM$3,0,0,'Données projet'!$E$10+1,1))-AVERAGE(OFFSET($H$3,0,0,'Données projet'!$E$10+1,1))</f>
        <v>493.70175665335978</v>
      </c>
      <c r="AO106" s="62">
        <f t="shared" si="90"/>
        <v>325.12357781685949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>
        <f>BD106*VLOOKUP('Données projet'!$B$11,Paramètres!$A$1:$I$89,3,0)*VLOOKUP('Données projet'!$B$11,Paramètres!$A$1:$I$89,5,0)</f>
        <v>0</v>
      </c>
      <c r="BF106" s="14" t="e">
        <f t="shared" si="91"/>
        <v>#NUM!</v>
      </c>
      <c r="BG106" s="22" t="e">
        <f t="shared" si="61"/>
        <v>#NUM!</v>
      </c>
      <c r="BH106" s="62" t="e">
        <f t="shared" si="62"/>
        <v>#NUM!</v>
      </c>
      <c r="BI106" s="62">
        <f ca="1">AVERAGE(OFFSET($BH$3,0,0,'Données projet'!$E$11+1,1))-AVERAGE(OFFSET($H$3,0,0,'Données projet'!$E$11+1,1))</f>
        <v>245.09257882574383</v>
      </c>
      <c r="BJ106" s="62">
        <f t="shared" si="92"/>
        <v>342.30266518164211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0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4.4000000000000004</v>
      </c>
      <c r="BY106" s="13">
        <f>IF('Données projet'!$A$114&gt;35,BY105+BX106-CG105,IF(A106&lt;'Données projet'!$A$114,$BV$205^A106,IF(A106='Données projet'!$A$114,'Données projet'!$B$114,BY105+BX106-CG105)))</f>
        <v>274.19999999999959</v>
      </c>
      <c r="BZ106" s="14">
        <f>BY106*VLOOKUP('Données projet'!$B$12,Paramètres!$A$1:$I$89,3,0)*VLOOKUP('Données projet'!$B$12,Paramètres!$A$1:$I$89,5,0)</f>
        <v>248.0961599999996</v>
      </c>
      <c r="CA106" s="14">
        <f t="shared" si="93"/>
        <v>60.178080967364636</v>
      </c>
      <c r="CB106" s="22">
        <f t="shared" si="64"/>
        <v>536.910969684826</v>
      </c>
      <c r="CC106" s="62">
        <f t="shared" si="65"/>
        <v>830.24430301815937</v>
      </c>
      <c r="CD106" s="62">
        <f ca="1">AVERAGE(OFFSET($CC$3,0,0,'Données projet'!$E$12+1,1))-AVERAGE(OFFSET($H$3,0,0,'Données projet'!$E$12+1,1))</f>
        <v>429.54141820799617</v>
      </c>
      <c r="CE106" s="62">
        <f t="shared" si="94"/>
        <v>231.36959598460686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0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0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3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4.4000000000000004</v>
      </c>
      <c r="N107" s="14">
        <f>IF('Données projet'!$A$36&gt;35,N106+M107-V106,IF(A107&lt;'Données projet'!$A$36,$K$205^A107,IF(A107='Données projet'!$A$36,'Données projet'!$B$36,N106+M107-V106)))</f>
        <v>278.59999999999957</v>
      </c>
      <c r="O107" s="14">
        <f>N107*VLOOKUP('Données projet'!$B$9,Paramètres!$A$1:$I$89,3,0)*VLOOKUP('Données projet'!$B$9,Paramètres!$A$1:$I$89,5,0)</f>
        <v>282.50039999999956</v>
      </c>
      <c r="P107" s="14">
        <f t="shared" si="87"/>
        <v>67.495141560894311</v>
      </c>
      <c r="Q107" s="22">
        <f t="shared" si="107"/>
        <v>609.57556821855678</v>
      </c>
      <c r="R107" s="62">
        <f t="shared" si="55"/>
        <v>902.90890155189004</v>
      </c>
      <c r="S107" s="62">
        <f ca="1">AVERAGE(OFFSET($R$3,0,0,'Données projet'!$E$9+1,1))-AVERAGE(OFFSET($H$3,0,0,'Données projet'!$E$9+1,1))</f>
        <v>476.25344680259701</v>
      </c>
      <c r="T107" s="62">
        <f t="shared" si="88"/>
        <v>254.25036207346591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3.2051282051282044</v>
      </c>
      <c r="AI107" s="14">
        <f>IF('Données projet'!$A$62&gt;35,AI106+AH107-AQ106,IF(A107&lt;'Données projet'!$A$62,$AF$205^A107,IF(A107='Données projet'!$A$62,'Données projet'!$B$62,AI106+AH107-AQ106)))</f>
        <v>301.92307692307668</v>
      </c>
      <c r="AJ107" s="14">
        <f>AI107*VLOOKUP('Données projet'!$B$10,Paramètres!$A$1:$I$89,3,0)*VLOOKUP('Données projet'!$B$10,Paramètres!$A$1:$I$89,5,0)</f>
        <v>315.56999999999977</v>
      </c>
      <c r="AK107" s="14">
        <f t="shared" si="89"/>
        <v>74.430859496988774</v>
      </c>
      <c r="AL107" s="22">
        <f t="shared" si="58"/>
        <v>679.25149695725497</v>
      </c>
      <c r="AM107" s="62">
        <f t="shared" si="59"/>
        <v>972.58483029058834</v>
      </c>
      <c r="AN107" s="62">
        <f ca="1">AVERAGE(OFFSET($AM$3,0,0,'Données projet'!$E$10+1,1))-AVERAGE(OFFSET($H$3,0,0,'Données projet'!$E$10+1,1))</f>
        <v>493.70175665335978</v>
      </c>
      <c r="AO107" s="62">
        <f t="shared" si="90"/>
        <v>325.12357781685949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>
        <f>BD107*VLOOKUP('Données projet'!$B$11,Paramètres!$A$1:$I$89,3,0)*VLOOKUP('Données projet'!$B$11,Paramètres!$A$1:$I$89,5,0)</f>
        <v>0</v>
      </c>
      <c r="BF107" s="14" t="e">
        <f t="shared" si="91"/>
        <v>#NUM!</v>
      </c>
      <c r="BG107" s="22" t="e">
        <f t="shared" si="61"/>
        <v>#NUM!</v>
      </c>
      <c r="BH107" s="62" t="e">
        <f t="shared" si="62"/>
        <v>#NUM!</v>
      </c>
      <c r="BI107" s="62">
        <f ca="1">AVERAGE(OFFSET($BH$3,0,0,'Données projet'!$E$11+1,1))-AVERAGE(OFFSET($H$3,0,0,'Données projet'!$E$11+1,1))</f>
        <v>245.09257882574383</v>
      </c>
      <c r="BJ107" s="62">
        <f t="shared" si="92"/>
        <v>342.30266518164211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0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4.4000000000000004</v>
      </c>
      <c r="BY107" s="13">
        <f>IF('Données projet'!$A$114&gt;35,BY106+BX107-CG106,IF(A107&lt;'Données projet'!$A$114,$BV$205^A107,IF(A107='Données projet'!$A$114,'Données projet'!$B$114,BY106+BX107-CG106)))</f>
        <v>278.59999999999957</v>
      </c>
      <c r="BZ107" s="14">
        <f>BY107*VLOOKUP('Données projet'!$B$12,Paramètres!$A$1:$I$89,3,0)*VLOOKUP('Données projet'!$B$12,Paramètres!$A$1:$I$89,5,0)</f>
        <v>252.0772799999996</v>
      </c>
      <c r="CA107" s="14">
        <f t="shared" si="93"/>
        <v>61.03054465215493</v>
      </c>
      <c r="CB107" s="22">
        <f t="shared" si="64"/>
        <v>545.3294612691692</v>
      </c>
      <c r="CC107" s="62">
        <f t="shared" si="65"/>
        <v>838.66279460250257</v>
      </c>
      <c r="CD107" s="62">
        <f ca="1">AVERAGE(OFFSET($CC$3,0,0,'Données projet'!$E$12+1,1))-AVERAGE(OFFSET($H$3,0,0,'Données projet'!$E$12+1,1))</f>
        <v>429.54141820799617</v>
      </c>
      <c r="CE107" s="62">
        <f t="shared" si="94"/>
        <v>231.36959598460686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0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0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3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4.4000000000000004</v>
      </c>
      <c r="N108" s="14">
        <f>IF('Données projet'!$A$36&gt;35,N107+M108-V107,IF(A108&lt;'Données projet'!$A$36,$K$205^A108,IF(A108='Données projet'!$A$36,'Données projet'!$B$36,N107+M108-V107)))</f>
        <v>282.99999999999955</v>
      </c>
      <c r="O108" s="14">
        <f>N108*VLOOKUP('Données projet'!$B$9,Paramètres!$A$1:$I$89,3,0)*VLOOKUP('Données projet'!$B$9,Paramètres!$A$1:$I$89,5,0)</f>
        <v>286.96199999999953</v>
      </c>
      <c r="P108" s="14">
        <f t="shared" si="87"/>
        <v>68.43616998171774</v>
      </c>
      <c r="Q108" s="22">
        <f t="shared" si="107"/>
        <v>618.98514605149091</v>
      </c>
      <c r="R108" s="62">
        <f t="shared" si="55"/>
        <v>912.31847938482429</v>
      </c>
      <c r="S108" s="62">
        <f ca="1">AVERAGE(OFFSET($R$3,0,0,'Données projet'!$E$9+1,1))-AVERAGE(OFFSET($H$3,0,0,'Données projet'!$E$9+1,1))</f>
        <v>476.25344680259701</v>
      </c>
      <c r="T108" s="62">
        <f t="shared" si="88"/>
        <v>254.25036207346591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3.2051282051282044</v>
      </c>
      <c r="AI108" s="14">
        <f>IF('Données projet'!$A$62&gt;35,AI107+AH108-AQ107,IF(A108&lt;'Données projet'!$A$62,$AF$205^A108,IF(A108='Données projet'!$A$62,'Données projet'!$B$62,AI107+AH108-AQ107)))</f>
        <v>305.12820512820485</v>
      </c>
      <c r="AJ108" s="14">
        <f>AI108*VLOOKUP('Données projet'!$B$10,Paramètres!$A$1:$I$89,3,0)*VLOOKUP('Données projet'!$B$10,Paramètres!$A$1:$I$89,5,0)</f>
        <v>318.91999999999973</v>
      </c>
      <c r="AK108" s="14">
        <f t="shared" si="89"/>
        <v>75.128594464022456</v>
      </c>
      <c r="AL108" s="22">
        <f t="shared" si="58"/>
        <v>686.30130202483861</v>
      </c>
      <c r="AM108" s="62">
        <f t="shared" si="59"/>
        <v>979.63463535817186</v>
      </c>
      <c r="AN108" s="62">
        <f ca="1">AVERAGE(OFFSET($AM$3,0,0,'Données projet'!$E$10+1,1))-AVERAGE(OFFSET($H$3,0,0,'Données projet'!$E$10+1,1))</f>
        <v>493.70175665335978</v>
      </c>
      <c r="AO108" s="62">
        <f t="shared" si="90"/>
        <v>325.12357781685949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>
        <f>BD108*VLOOKUP('Données projet'!$B$11,Paramètres!$A$1:$I$89,3,0)*VLOOKUP('Données projet'!$B$11,Paramètres!$A$1:$I$89,5,0)</f>
        <v>0</v>
      </c>
      <c r="BF108" s="14" t="e">
        <f t="shared" si="91"/>
        <v>#NUM!</v>
      </c>
      <c r="BG108" s="22" t="e">
        <f t="shared" si="61"/>
        <v>#NUM!</v>
      </c>
      <c r="BH108" s="62" t="e">
        <f t="shared" si="62"/>
        <v>#NUM!</v>
      </c>
      <c r="BI108" s="62">
        <f ca="1">AVERAGE(OFFSET($BH$3,0,0,'Données projet'!$E$11+1,1))-AVERAGE(OFFSET($H$3,0,0,'Données projet'!$E$11+1,1))</f>
        <v>245.09257882574383</v>
      </c>
      <c r="BJ108" s="62">
        <f t="shared" si="92"/>
        <v>342.30266518164211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0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4.4000000000000004</v>
      </c>
      <c r="BY108" s="13">
        <f>IF('Données projet'!$A$114&gt;35,BY107+BX108-CG107,IF(A108&lt;'Données projet'!$A$114,$BV$205^A108,IF(A108='Données projet'!$A$114,'Données projet'!$B$114,BY107+BX108-CG107)))</f>
        <v>282.99999999999955</v>
      </c>
      <c r="BZ108" s="14">
        <f>BY108*VLOOKUP('Données projet'!$B$12,Paramètres!$A$1:$I$89,3,0)*VLOOKUP('Données projet'!$B$12,Paramètres!$A$1:$I$89,5,0)</f>
        <v>256.05839999999961</v>
      </c>
      <c r="CA108" s="14">
        <f t="shared" si="93"/>
        <v>61.881442594256377</v>
      </c>
      <c r="CB108" s="22">
        <f t="shared" si="64"/>
        <v>553.74522585166244</v>
      </c>
      <c r="CC108" s="62">
        <f t="shared" si="65"/>
        <v>847.07855918499581</v>
      </c>
      <c r="CD108" s="62">
        <f ca="1">AVERAGE(OFFSET($CC$3,0,0,'Données projet'!$E$12+1,1))-AVERAGE(OFFSET($H$3,0,0,'Données projet'!$E$12+1,1))</f>
        <v>429.54141820799617</v>
      </c>
      <c r="CE108" s="62">
        <f t="shared" si="94"/>
        <v>231.36959598460686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0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0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3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4.4000000000000004</v>
      </c>
      <c r="N109" s="14">
        <f>IF('Données projet'!$A$36&gt;35,N108+M109-V108,IF(A109&lt;'Données projet'!$A$36,$K$205^A109,IF(A109='Données projet'!$A$36,'Données projet'!$B$36,N108+M109-V108)))</f>
        <v>287.39999999999952</v>
      </c>
      <c r="O109" s="14">
        <f>N109*VLOOKUP('Données projet'!$B$9,Paramètres!$A$1:$I$89,3,0)*VLOOKUP('Données projet'!$B$9,Paramètres!$A$1:$I$89,5,0)</f>
        <v>291.42359999999951</v>
      </c>
      <c r="P109" s="14">
        <f t="shared" si="87"/>
        <v>69.375496841482104</v>
      </c>
      <c r="Q109" s="22">
        <f t="shared" si="107"/>
        <v>628.39176033224715</v>
      </c>
      <c r="R109" s="62">
        <f t="shared" si="55"/>
        <v>921.72509366558052</v>
      </c>
      <c r="S109" s="62">
        <f ca="1">AVERAGE(OFFSET($R$3,0,0,'Données projet'!$E$9+1,1))-AVERAGE(OFFSET($H$3,0,0,'Données projet'!$E$9+1,1))</f>
        <v>476.25344680259701</v>
      </c>
      <c r="T109" s="62">
        <f t="shared" si="88"/>
        <v>254.25036207346591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3.2051282051282044</v>
      </c>
      <c r="AI109" s="14">
        <f>IF('Données projet'!$A$62&gt;35,AI108+AH109-AQ108,IF(A109&lt;'Données projet'!$A$62,$AF$205^A109,IF(A109='Données projet'!$A$62,'Données projet'!$B$62,AI108+AH109-AQ108)))</f>
        <v>308.33333333333303</v>
      </c>
      <c r="AJ109" s="14">
        <f>AI109*VLOOKUP('Données projet'!$B$10,Paramètres!$A$1:$I$89,3,0)*VLOOKUP('Données projet'!$B$10,Paramètres!$A$1:$I$89,5,0)</f>
        <v>322.2699999999997</v>
      </c>
      <c r="AK109" s="14">
        <f t="shared" si="89"/>
        <v>75.825476822885705</v>
      </c>
      <c r="AL109" s="22">
        <f t="shared" si="58"/>
        <v>693.34962213319204</v>
      </c>
      <c r="AM109" s="62">
        <f t="shared" si="59"/>
        <v>986.6829554665253</v>
      </c>
      <c r="AN109" s="62">
        <f ca="1">AVERAGE(OFFSET($AM$3,0,0,'Données projet'!$E$10+1,1))-AVERAGE(OFFSET($H$3,0,0,'Données projet'!$E$10+1,1))</f>
        <v>493.70175665335978</v>
      </c>
      <c r="AO109" s="62">
        <f t="shared" si="90"/>
        <v>325.12357781685949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>
        <f>BD109*VLOOKUP('Données projet'!$B$11,Paramètres!$A$1:$I$89,3,0)*VLOOKUP('Données projet'!$B$11,Paramètres!$A$1:$I$89,5,0)</f>
        <v>0</v>
      </c>
      <c r="BF109" s="14" t="e">
        <f t="shared" si="91"/>
        <v>#NUM!</v>
      </c>
      <c r="BG109" s="22" t="e">
        <f t="shared" si="61"/>
        <v>#NUM!</v>
      </c>
      <c r="BH109" s="62" t="e">
        <f t="shared" si="62"/>
        <v>#NUM!</v>
      </c>
      <c r="BI109" s="62">
        <f ca="1">AVERAGE(OFFSET($BH$3,0,0,'Données projet'!$E$11+1,1))-AVERAGE(OFFSET($H$3,0,0,'Données projet'!$E$11+1,1))</f>
        <v>245.09257882574383</v>
      </c>
      <c r="BJ109" s="62">
        <f t="shared" si="92"/>
        <v>342.30266518164211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0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4.4000000000000004</v>
      </c>
      <c r="BY109" s="13">
        <f>IF('Données projet'!$A$114&gt;35,BY108+BX109-CG108,IF(A109&lt;'Données projet'!$A$114,$BV$205^A109,IF(A109='Données projet'!$A$114,'Données projet'!$B$114,BY108+BX109-CG108)))</f>
        <v>287.39999999999952</v>
      </c>
      <c r="BZ109" s="14">
        <f>BY109*VLOOKUP('Données projet'!$B$12,Paramètres!$A$1:$I$89,3,0)*VLOOKUP('Données projet'!$B$12,Paramètres!$A$1:$I$89,5,0)</f>
        <v>260.03951999999958</v>
      </c>
      <c r="CA109" s="14">
        <f t="shared" si="93"/>
        <v>62.730801948604821</v>
      </c>
      <c r="CB109" s="22">
        <f t="shared" si="64"/>
        <v>562.15831072715275</v>
      </c>
      <c r="CC109" s="62">
        <f t="shared" si="65"/>
        <v>855.49164406048612</v>
      </c>
      <c r="CD109" s="62">
        <f ca="1">AVERAGE(OFFSET($CC$3,0,0,'Données projet'!$E$12+1,1))-AVERAGE(OFFSET($H$3,0,0,'Données projet'!$E$12+1,1))</f>
        <v>429.54141820799617</v>
      </c>
      <c r="CE109" s="62">
        <f t="shared" si="94"/>
        <v>231.36959598460686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0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0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3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4.4000000000000004</v>
      </c>
      <c r="N110" s="14">
        <f>IF('Données projet'!$A$36&gt;35,N109+M110-V109,IF(A110&lt;'Données projet'!$A$36,$K$205^A110,IF(A110='Données projet'!$A$36,'Données projet'!$B$36,N109+M110-V109)))</f>
        <v>291.7999999999995</v>
      </c>
      <c r="O110" s="14">
        <f>N110*VLOOKUP('Données projet'!$B$9,Paramètres!$A$1:$I$89,3,0)*VLOOKUP('Données projet'!$B$9,Paramètres!$A$1:$I$89,5,0)</f>
        <v>295.88519999999949</v>
      </c>
      <c r="P110" s="14">
        <f t="shared" si="87"/>
        <v>70.313151199178691</v>
      </c>
      <c r="Q110" s="22">
        <f t="shared" si="107"/>
        <v>637.79546167190199</v>
      </c>
      <c r="R110" s="62">
        <f t="shared" si="55"/>
        <v>931.12879500523536</v>
      </c>
      <c r="S110" s="62">
        <f ca="1">AVERAGE(OFFSET($R$3,0,0,'Données projet'!$E$9+1,1))-AVERAGE(OFFSET($H$3,0,0,'Données projet'!$E$9+1,1))</f>
        <v>476.25344680259701</v>
      </c>
      <c r="T110" s="62">
        <f t="shared" si="88"/>
        <v>254.25036207346591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3.2051282051282044</v>
      </c>
      <c r="AI110" s="14">
        <f>IF('Données projet'!$A$62&gt;35,AI109+AH110-AQ109,IF(A110&lt;'Données projet'!$A$62,$AF$205^A110,IF(A110='Données projet'!$A$62,'Données projet'!$B$62,AI109+AH110-AQ109)))</f>
        <v>311.53846153846121</v>
      </c>
      <c r="AJ110" s="14">
        <f>AI110*VLOOKUP('Données projet'!$B$10,Paramètres!$A$1:$I$89,3,0)*VLOOKUP('Données projet'!$B$10,Paramètres!$A$1:$I$89,5,0)</f>
        <v>325.61999999999972</v>
      </c>
      <c r="AK110" s="14">
        <f t="shared" si="89"/>
        <v>76.521516462461591</v>
      </c>
      <c r="AL110" s="22">
        <f t="shared" si="58"/>
        <v>700.39647450545351</v>
      </c>
      <c r="AM110" s="62">
        <f t="shared" si="59"/>
        <v>993.72980783878688</v>
      </c>
      <c r="AN110" s="62">
        <f ca="1">AVERAGE(OFFSET($AM$3,0,0,'Données projet'!$E$10+1,1))-AVERAGE(OFFSET($H$3,0,0,'Données projet'!$E$10+1,1))</f>
        <v>493.70175665335978</v>
      </c>
      <c r="AO110" s="62">
        <f t="shared" si="90"/>
        <v>325.12357781685949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>
        <f>BD110*VLOOKUP('Données projet'!$B$11,Paramètres!$A$1:$I$89,3,0)*VLOOKUP('Données projet'!$B$11,Paramètres!$A$1:$I$89,5,0)</f>
        <v>0</v>
      </c>
      <c r="BF110" s="14" t="e">
        <f t="shared" si="91"/>
        <v>#NUM!</v>
      </c>
      <c r="BG110" s="22" t="e">
        <f t="shared" si="61"/>
        <v>#NUM!</v>
      </c>
      <c r="BH110" s="62" t="e">
        <f t="shared" si="62"/>
        <v>#NUM!</v>
      </c>
      <c r="BI110" s="62">
        <f ca="1">AVERAGE(OFFSET($BH$3,0,0,'Données projet'!$E$11+1,1))-AVERAGE(OFFSET($H$3,0,0,'Données projet'!$E$11+1,1))</f>
        <v>245.09257882574383</v>
      </c>
      <c r="BJ110" s="62">
        <f t="shared" si="92"/>
        <v>342.30266518164211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0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4.4000000000000004</v>
      </c>
      <c r="BY110" s="13">
        <f>IF('Données projet'!$A$114&gt;35,BY109+BX110-CG109,IF(A110&lt;'Données projet'!$A$114,$BV$205^A110,IF(A110='Données projet'!$A$114,'Données projet'!$B$114,BY109+BX110-CG109)))</f>
        <v>291.7999999999995</v>
      </c>
      <c r="BZ110" s="14">
        <f>BY110*VLOOKUP('Données projet'!$B$12,Paramètres!$A$1:$I$89,3,0)*VLOOKUP('Données projet'!$B$12,Paramètres!$A$1:$I$89,5,0)</f>
        <v>264.0206399999995</v>
      </c>
      <c r="CA110" s="14">
        <f t="shared" si="93"/>
        <v>63.57864899095906</v>
      </c>
      <c r="CB110" s="22">
        <f t="shared" si="64"/>
        <v>570.56876165925269</v>
      </c>
      <c r="CC110" s="62">
        <f t="shared" si="65"/>
        <v>863.90209499258594</v>
      </c>
      <c r="CD110" s="62">
        <f ca="1">AVERAGE(OFFSET($CC$3,0,0,'Données projet'!$E$12+1,1))-AVERAGE(OFFSET($H$3,0,0,'Données projet'!$E$12+1,1))</f>
        <v>429.54141820799617</v>
      </c>
      <c r="CE110" s="62">
        <f t="shared" si="94"/>
        <v>231.36959598460686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0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0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3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4.4000000000000004</v>
      </c>
      <c r="N111" s="14">
        <f>IF('Données projet'!$A$36&gt;35,N110+M111-V110,IF(A111&lt;'Données projet'!$A$36,$K$205^A111,IF(A111='Données projet'!$A$36,'Données projet'!$B$36,N110+M111-V110)))</f>
        <v>296.19999999999948</v>
      </c>
      <c r="O111" s="14">
        <f>N111*VLOOKUP('Données projet'!$B$9,Paramètres!$A$1:$I$89,3,0)*VLOOKUP('Données projet'!$B$9,Paramètres!$A$1:$I$89,5,0)</f>
        <v>300.34679999999946</v>
      </c>
      <c r="P111" s="14">
        <f t="shared" si="87"/>
        <v>71.249161187153234</v>
      </c>
      <c r="Q111" s="22">
        <f t="shared" si="107"/>
        <v>647.19629906762418</v>
      </c>
      <c r="R111" s="62">
        <f t="shared" si="55"/>
        <v>940.52963240095755</v>
      </c>
      <c r="S111" s="62">
        <f ca="1">AVERAGE(OFFSET($R$3,0,0,'Données projet'!$E$9+1,1))-AVERAGE(OFFSET($H$3,0,0,'Données projet'!$E$9+1,1))</f>
        <v>476.25344680259701</v>
      </c>
      <c r="T111" s="62">
        <f t="shared" si="88"/>
        <v>254.25036207346591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3.2051282051282044</v>
      </c>
      <c r="AI111" s="14">
        <f>IF('Données projet'!$A$62&gt;35,AI110+AH111-AQ110,IF(A111&lt;'Données projet'!$A$62,$AF$205^A111,IF(A111='Données projet'!$A$62,'Données projet'!$B$62,AI110+AH111-AQ110)))</f>
        <v>314.74358974358938</v>
      </c>
      <c r="AJ111" s="14">
        <f>AI111*VLOOKUP('Données projet'!$B$10,Paramètres!$A$1:$I$89,3,0)*VLOOKUP('Données projet'!$B$10,Paramètres!$A$1:$I$89,5,0)</f>
        <v>328.96999999999969</v>
      </c>
      <c r="AK111" s="14">
        <f t="shared" si="89"/>
        <v>77.216723056433693</v>
      </c>
      <c r="AL111" s="22">
        <f t="shared" si="58"/>
        <v>707.44187598995484</v>
      </c>
      <c r="AM111" s="62">
        <f t="shared" si="59"/>
        <v>1000.7752093232882</v>
      </c>
      <c r="AN111" s="62">
        <f ca="1">AVERAGE(OFFSET($AM$3,0,0,'Données projet'!$E$10+1,1))-AVERAGE(OFFSET($H$3,0,0,'Données projet'!$E$10+1,1))</f>
        <v>493.70175665335978</v>
      </c>
      <c r="AO111" s="62">
        <f t="shared" si="90"/>
        <v>325.12357781685949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>
        <f>BD111*VLOOKUP('Données projet'!$B$11,Paramètres!$A$1:$I$89,3,0)*VLOOKUP('Données projet'!$B$11,Paramètres!$A$1:$I$89,5,0)</f>
        <v>0</v>
      </c>
      <c r="BF111" s="14" t="e">
        <f t="shared" si="91"/>
        <v>#NUM!</v>
      </c>
      <c r="BG111" s="22" t="e">
        <f t="shared" si="61"/>
        <v>#NUM!</v>
      </c>
      <c r="BH111" s="62" t="e">
        <f t="shared" si="62"/>
        <v>#NUM!</v>
      </c>
      <c r="BI111" s="62">
        <f ca="1">AVERAGE(OFFSET($BH$3,0,0,'Données projet'!$E$11+1,1))-AVERAGE(OFFSET($H$3,0,0,'Données projet'!$E$11+1,1))</f>
        <v>245.09257882574383</v>
      </c>
      <c r="BJ111" s="62">
        <f t="shared" si="92"/>
        <v>342.30266518164211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0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4.4000000000000004</v>
      </c>
      <c r="BY111" s="13">
        <f>IF('Données projet'!$A$114&gt;35,BY110+BX111-CG110,IF(A111&lt;'Données projet'!$A$114,$BV$205^A111,IF(A111='Données projet'!$A$114,'Données projet'!$B$114,BY110+BX111-CG110)))</f>
        <v>296.19999999999948</v>
      </c>
      <c r="BZ111" s="14">
        <f>BY111*VLOOKUP('Données projet'!$B$12,Paramètres!$A$1:$I$89,3,0)*VLOOKUP('Données projet'!$B$12,Paramètres!$A$1:$I$89,5,0)</f>
        <v>268.00175999999954</v>
      </c>
      <c r="CA111" s="14">
        <f t="shared" si="93"/>
        <v>64.425009159185521</v>
      </c>
      <c r="CB111" s="22">
        <f t="shared" si="64"/>
        <v>578.97662295224723</v>
      </c>
      <c r="CC111" s="62">
        <f t="shared" si="65"/>
        <v>872.30995628558048</v>
      </c>
      <c r="CD111" s="62">
        <f ca="1">AVERAGE(OFFSET($CC$3,0,0,'Données projet'!$E$12+1,1))-AVERAGE(OFFSET($H$3,0,0,'Données projet'!$E$12+1,1))</f>
        <v>429.54141820799617</v>
      </c>
      <c r="CE111" s="62">
        <f t="shared" si="94"/>
        <v>231.36959598460686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0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0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3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4.4000000000000004</v>
      </c>
      <c r="N112" s="14">
        <f>IF('Données projet'!$A$36&gt;35,N111+M112-V111,IF(A112&lt;'Données projet'!$A$36,$K$205^A112,IF(A112='Données projet'!$A$36,'Données projet'!$B$36,N111+M112-V111)))</f>
        <v>300.59999999999945</v>
      </c>
      <c r="O112" s="14">
        <f>N112*VLOOKUP('Données projet'!$B$9,Paramètres!$A$1:$I$89,3,0)*VLOOKUP('Données projet'!$B$9,Paramètres!$A$1:$I$89,5,0)</f>
        <v>304.80839999999944</v>
      </c>
      <c r="P112" s="14">
        <f t="shared" si="87"/>
        <v>72.183554053972657</v>
      </c>
      <c r="Q112" s="22">
        <f t="shared" si="107"/>
        <v>656.59431997733475</v>
      </c>
      <c r="R112" s="62">
        <f t="shared" si="55"/>
        <v>949.92765331066812</v>
      </c>
      <c r="S112" s="62">
        <f ca="1">AVERAGE(OFFSET($R$3,0,0,'Données projet'!$E$9+1,1))-AVERAGE(OFFSET($H$3,0,0,'Données projet'!$E$9+1,1))</f>
        <v>476.25344680259701</v>
      </c>
      <c r="T112" s="62">
        <f t="shared" si="88"/>
        <v>254.25036207346591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3.2051282051282044</v>
      </c>
      <c r="AI112" s="14">
        <f>IF('Données projet'!$A$62&gt;35,AI111+AH112-AQ111,IF(A112&lt;'Données projet'!$A$62,$AF$205^A112,IF(A112='Données projet'!$A$62,'Données projet'!$B$62,AI111+AH112-AQ111)))</f>
        <v>317.94871794871756</v>
      </c>
      <c r="AJ112" s="14">
        <f>AI112*VLOOKUP('Données projet'!$B$10,Paramètres!$A$1:$I$89,3,0)*VLOOKUP('Données projet'!$B$10,Paramètres!$A$1:$I$89,5,0)</f>
        <v>332.3199999999996</v>
      </c>
      <c r="AK112" s="14">
        <f t="shared" si="89"/>
        <v>77.911106070111614</v>
      </c>
      <c r="AL112" s="22">
        <f t="shared" si="58"/>
        <v>714.48584307211024</v>
      </c>
      <c r="AM112" s="62">
        <f t="shared" si="59"/>
        <v>1007.8191764054436</v>
      </c>
      <c r="AN112" s="62">
        <f ca="1">AVERAGE(OFFSET($AM$3,0,0,'Données projet'!$E$10+1,1))-AVERAGE(OFFSET($H$3,0,0,'Données projet'!$E$10+1,1))</f>
        <v>493.70175665335978</v>
      </c>
      <c r="AO112" s="62">
        <f t="shared" si="90"/>
        <v>325.12357781685949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>
        <f>BD112*VLOOKUP('Données projet'!$B$11,Paramètres!$A$1:$I$89,3,0)*VLOOKUP('Données projet'!$B$11,Paramètres!$A$1:$I$89,5,0)</f>
        <v>0</v>
      </c>
      <c r="BF112" s="14" t="e">
        <f t="shared" si="91"/>
        <v>#NUM!</v>
      </c>
      <c r="BG112" s="22" t="e">
        <f t="shared" si="61"/>
        <v>#NUM!</v>
      </c>
      <c r="BH112" s="62" t="e">
        <f t="shared" si="62"/>
        <v>#NUM!</v>
      </c>
      <c r="BI112" s="62">
        <f ca="1">AVERAGE(OFFSET($BH$3,0,0,'Données projet'!$E$11+1,1))-AVERAGE(OFFSET($H$3,0,0,'Données projet'!$E$11+1,1))</f>
        <v>245.09257882574383</v>
      </c>
      <c r="BJ112" s="62">
        <f t="shared" si="92"/>
        <v>342.30266518164211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0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4.4000000000000004</v>
      </c>
      <c r="BY112" s="13">
        <f>IF('Données projet'!$A$114&gt;35,BY111+BX112-CG111,IF(A112&lt;'Données projet'!$A$114,$BV$205^A112,IF(A112='Données projet'!$A$114,'Données projet'!$B$114,BY111+BX112-CG111)))</f>
        <v>300.59999999999945</v>
      </c>
      <c r="BZ112" s="14">
        <f>BY112*VLOOKUP('Données projet'!$B$12,Paramètres!$A$1:$I$89,3,0)*VLOOKUP('Données projet'!$B$12,Paramètres!$A$1:$I$89,5,0)</f>
        <v>271.98287999999951</v>
      </c>
      <c r="CA112" s="14">
        <f t="shared" si="93"/>
        <v>65.269907092018627</v>
      </c>
      <c r="CB112" s="22">
        <f t="shared" si="64"/>
        <v>587.38193751859819</v>
      </c>
      <c r="CC112" s="62">
        <f t="shared" si="65"/>
        <v>880.71527085193156</v>
      </c>
      <c r="CD112" s="62">
        <f ca="1">AVERAGE(OFFSET($CC$3,0,0,'Données projet'!$E$12+1,1))-AVERAGE(OFFSET($H$3,0,0,'Données projet'!$E$12+1,1))</f>
        <v>429.54141820799617</v>
      </c>
      <c r="CE112" s="62">
        <f t="shared" si="94"/>
        <v>231.36959598460686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0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0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3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>
        <f>VLOOKUP(A113,'Données projet'!$A$35:$I$55,2,0)</f>
        <v>305</v>
      </c>
      <c r="L113" s="13">
        <f>VLOOKUP(A113,'Données projet'!$A$35:$I$55,9,0)</f>
        <v>4.4000000000000004</v>
      </c>
      <c r="M113" s="13">
        <f t="array" ref="M113">INDEX(L:L,MIN(IF(ISNUMBER(L113:L309),ROW(L113:L309),"")))</f>
        <v>4.4000000000000004</v>
      </c>
      <c r="N113" s="14">
        <f>IF('Données projet'!$A$36&gt;35,N112+M113-V112,IF(A113&lt;'Données projet'!$A$36,$K$205^A113,IF(A113='Données projet'!$A$36,'Données projet'!$B$36,N112+M113-V112)))</f>
        <v>304.99999999999943</v>
      </c>
      <c r="O113" s="14">
        <f>N113*VLOOKUP('Données projet'!$B$9,Paramètres!$A$1:$I$89,3,0)*VLOOKUP('Données projet'!$B$9,Paramètres!$A$1:$I$89,5,0)</f>
        <v>309.26999999999941</v>
      </c>
      <c r="P113" s="14">
        <f t="shared" si="87"/>
        <v>73.116356204710968</v>
      </c>
      <c r="Q113" s="22">
        <f t="shared" si="107"/>
        <v>665.98957038987055</v>
      </c>
      <c r="R113" s="62">
        <f t="shared" si="55"/>
        <v>959.32290372320381</v>
      </c>
      <c r="S113" s="62">
        <f ca="1">AVERAGE(OFFSET($R$3,0,0,'Données projet'!$E$9+1,1))-AVERAGE(OFFSET($H$3,0,0,'Données projet'!$E$9+1,1))</f>
        <v>476.25344680259701</v>
      </c>
      <c r="T113" s="62">
        <f t="shared" si="88"/>
        <v>254.25036207346591</v>
      </c>
      <c r="U113" s="16">
        <f>IF(ISNA(VLOOKUP(A113,'Données projet'!$A$35:$I$55,3,0)),0,VLOOKUP(A113,'Données projet'!$A$35:$I$55,3,0))</f>
        <v>9</v>
      </c>
      <c r="V113" s="16">
        <f>IF(ISNA(VLOOKUP(A113,'Données projet'!$A$35:$I$55,4,0)),0,VLOOKUP(A113,'Données projet'!$A$35:$I$55,4,0))</f>
        <v>39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>
        <f>VLOOKUP(A113,'Données projet'!$A$61:$I$81,2,0)</f>
        <v>321.15384615384613</v>
      </c>
      <c r="AG113" s="13">
        <f>VLOOKUP(A113,'Données projet'!$A$61:$I$81,9,0)</f>
        <v>3.2051282051282044</v>
      </c>
      <c r="AH113" s="13">
        <f t="array" ref="AH113">INDEX(AG:AG,MIN(IF(ISNUMBER(AG113:AG309),ROW(AG113:AG309),"")))</f>
        <v>3.2051282051282044</v>
      </c>
      <c r="AI113" s="14">
        <f>IF('Données projet'!$A$62&gt;35,AI112+AH113-AQ112,IF(A113&lt;'Données projet'!$A$62,$AF$205^A113,IF(A113='Données projet'!$A$62,'Données projet'!$B$62,AI112+AH113-AQ112)))</f>
        <v>321.15384615384573</v>
      </c>
      <c r="AJ113" s="14">
        <f>AI113*VLOOKUP('Données projet'!$B$10,Paramètres!$A$1:$I$89,3,0)*VLOOKUP('Données projet'!$B$10,Paramètres!$A$1:$I$89,5,0)</f>
        <v>335.66999999999956</v>
      </c>
      <c r="AK113" s="14">
        <f t="shared" si="89"/>
        <v>78.604674766974242</v>
      </c>
      <c r="AL113" s="22">
        <f t="shared" si="58"/>
        <v>721.52839188581265</v>
      </c>
      <c r="AM113" s="62">
        <f t="shared" si="59"/>
        <v>1014.8617252191459</v>
      </c>
      <c r="AN113" s="62">
        <f ca="1">AVERAGE(OFFSET($AM$3,0,0,'Données projet'!$E$10+1,1))-AVERAGE(OFFSET($H$3,0,0,'Données projet'!$E$10+1,1))</f>
        <v>493.70175665335978</v>
      </c>
      <c r="AO113" s="62">
        <f t="shared" si="90"/>
        <v>325.12357781685949</v>
      </c>
      <c r="AP113" s="16">
        <f>IF(ISNA(VLOOKUP(A113,'Données projet'!$A$61:$I$81,3,0)),0,VLOOKUP(A113,'Données projet'!$A$61:$I$81,3,0))</f>
        <v>9</v>
      </c>
      <c r="AQ113" s="16">
        <f>IF(ISNA(VLOOKUP(A113,'Données projet'!$A$61:$I$81,4,0)),0,VLOOKUP(A113,'Données projet'!$A$61:$I$81,4,0))</f>
        <v>19.23076923076923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>
        <f>BD113*VLOOKUP('Données projet'!$B$11,Paramètres!$A$1:$I$89,3,0)*VLOOKUP('Données projet'!$B$11,Paramètres!$A$1:$I$89,5,0)</f>
        <v>0</v>
      </c>
      <c r="BF113" s="14" t="e">
        <f t="shared" si="91"/>
        <v>#NUM!</v>
      </c>
      <c r="BG113" s="22" t="e">
        <f t="shared" si="61"/>
        <v>#NUM!</v>
      </c>
      <c r="BH113" s="62" t="e">
        <f t="shared" si="62"/>
        <v>#NUM!</v>
      </c>
      <c r="BI113" s="62">
        <f ca="1">AVERAGE(OFFSET($BH$3,0,0,'Données projet'!$E$11+1,1))-AVERAGE(OFFSET($H$3,0,0,'Données projet'!$E$11+1,1))</f>
        <v>245.09257882574383</v>
      </c>
      <c r="BJ113" s="62">
        <f t="shared" si="92"/>
        <v>342.30266518164211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0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>
        <f>VLOOKUP(A113,'Données projet'!$A$113:$I$133,2,0)</f>
        <v>305</v>
      </c>
      <c r="BW113" s="13">
        <f>VLOOKUP(A113,'Données projet'!$A$113:$I$133,9,0)</f>
        <v>4.4000000000000004</v>
      </c>
      <c r="BX113" s="13">
        <f t="array" ref="BX113">INDEX(BW:BW,MIN(IF(ISNUMBER(BW113:BW309),ROW(BW113:BW309),"")))</f>
        <v>4.4000000000000004</v>
      </c>
      <c r="BY113" s="13">
        <f>IF('Données projet'!$A$114&gt;35,BY112+BX113-CG112,IF(A113&lt;'Données projet'!$A$114,$BV$205^A113,IF(A113='Données projet'!$A$114,'Données projet'!$B$114,BY112+BX113-CG112)))</f>
        <v>304.99999999999943</v>
      </c>
      <c r="BZ113" s="14">
        <f>BY113*VLOOKUP('Données projet'!$B$12,Paramètres!$A$1:$I$89,3,0)*VLOOKUP('Données projet'!$B$12,Paramètres!$A$1:$I$89,5,0)</f>
        <v>275.96399999999949</v>
      </c>
      <c r="CA113" s="14">
        <f t="shared" si="93"/>
        <v>66.113366665488797</v>
      </c>
      <c r="CB113" s="22">
        <f t="shared" si="64"/>
        <v>595.78474694239208</v>
      </c>
      <c r="CC113" s="62">
        <f t="shared" si="65"/>
        <v>889.11808027572533</v>
      </c>
      <c r="CD113" s="62">
        <f ca="1">AVERAGE(OFFSET($CC$3,0,0,'Données projet'!$E$12+1,1))-AVERAGE(OFFSET($H$3,0,0,'Données projet'!$E$12+1,1))</f>
        <v>429.54141820799617</v>
      </c>
      <c r="CE113" s="62">
        <f t="shared" si="94"/>
        <v>231.36959598460686</v>
      </c>
      <c r="CF113" s="16">
        <f>IF(ISNA(VLOOKUP(A113,'Données projet'!$A$113:$I$133,3,0)),0,VLOOKUP(A113,'Données projet'!$A$113:$I$133,3,0))</f>
        <v>9</v>
      </c>
      <c r="CG113" s="16">
        <f>IF(ISNA(VLOOKUP(A113,'Données projet'!$A$113:$I$133,4,0)),0,VLOOKUP(A113,'Données projet'!$A$113:$I$133,4,0))</f>
        <v>39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0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0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3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3.7</v>
      </c>
      <c r="N114" s="14">
        <f>IF('Données projet'!$A$36&gt;35,N113+M114-V113,IF(A114&lt;'Données projet'!$A$36,$K$205^A114,IF(A114='Données projet'!$A$36,'Données projet'!$B$36,N113+M114-V113)))</f>
        <v>269.69999999999942</v>
      </c>
      <c r="O114" s="14">
        <f>N114*VLOOKUP('Données projet'!$B$9,Paramètres!$A$1:$I$89,3,0)*VLOOKUP('Données projet'!$B$9,Paramètres!$A$1:$I$89,5,0)</f>
        <v>273.47579999999942</v>
      </c>
      <c r="P114" s="14">
        <f t="shared" si="87"/>
        <v>65.586371730977476</v>
      </c>
      <c r="Q114" s="22">
        <f t="shared" si="107"/>
        <v>590.53328243145143</v>
      </c>
      <c r="R114" s="62">
        <f t="shared" si="55"/>
        <v>883.86661576478468</v>
      </c>
      <c r="S114" s="62">
        <f ca="1">AVERAGE(OFFSET($R$3,0,0,'Données projet'!$E$9+1,1))-AVERAGE(OFFSET($H$3,0,0,'Données projet'!$E$9+1,1))</f>
        <v>476.25344680259701</v>
      </c>
      <c r="T114" s="62">
        <f t="shared" si="88"/>
        <v>254.25036207346591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2.8846153846153868</v>
      </c>
      <c r="AI114" s="14">
        <f>IF('Données projet'!$A$62&gt;35,AI113+AH114-AQ113,IF(A114&lt;'Données projet'!$A$62,$AF$205^A114,IF(A114='Données projet'!$A$62,'Données projet'!$B$62,AI113+AH114-AQ113)))</f>
        <v>304.80769230769187</v>
      </c>
      <c r="AJ114" s="14">
        <f>AI114*VLOOKUP('Données projet'!$B$10,Paramètres!$A$1:$I$89,3,0)*VLOOKUP('Données projet'!$B$10,Paramètres!$A$1:$I$89,5,0)</f>
        <v>318.58499999999958</v>
      </c>
      <c r="AK114" s="14">
        <f t="shared" si="89"/>
        <v>75.058859499755215</v>
      </c>
      <c r="AL114" s="22">
        <f t="shared" si="58"/>
        <v>685.59638862873953</v>
      </c>
      <c r="AM114" s="62">
        <f t="shared" si="59"/>
        <v>978.92972196207279</v>
      </c>
      <c r="AN114" s="62">
        <f ca="1">AVERAGE(OFFSET($AM$3,0,0,'Données projet'!$E$10+1,1))-AVERAGE(OFFSET($H$3,0,0,'Données projet'!$E$10+1,1))</f>
        <v>493.70175665335978</v>
      </c>
      <c r="AO114" s="62">
        <f t="shared" si="90"/>
        <v>325.12357781685949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>
        <f>BD114*VLOOKUP('Données projet'!$B$11,Paramètres!$A$1:$I$89,3,0)*VLOOKUP('Données projet'!$B$11,Paramètres!$A$1:$I$89,5,0)</f>
        <v>0</v>
      </c>
      <c r="BF114" s="14" t="e">
        <f t="shared" si="91"/>
        <v>#NUM!</v>
      </c>
      <c r="BG114" s="22" t="e">
        <f t="shared" si="61"/>
        <v>#NUM!</v>
      </c>
      <c r="BH114" s="62" t="e">
        <f t="shared" si="62"/>
        <v>#NUM!</v>
      </c>
      <c r="BI114" s="62">
        <f ca="1">AVERAGE(OFFSET($BH$3,0,0,'Données projet'!$E$11+1,1))-AVERAGE(OFFSET($H$3,0,0,'Données projet'!$E$11+1,1))</f>
        <v>245.09257882574383</v>
      </c>
      <c r="BJ114" s="62">
        <f t="shared" si="92"/>
        <v>342.30266518164211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0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3.7</v>
      </c>
      <c r="BY114" s="13">
        <f>IF('Données projet'!$A$114&gt;35,BY113+BX114-CG113,IF(A114&lt;'Données projet'!$A$114,$BV$205^A114,IF(A114='Données projet'!$A$114,'Données projet'!$B$114,BY113+BX114-CG113)))</f>
        <v>269.69999999999942</v>
      </c>
      <c r="BZ114" s="14">
        <f>BY114*VLOOKUP('Données projet'!$B$12,Paramètres!$A$1:$I$89,3,0)*VLOOKUP('Données projet'!$B$12,Paramètres!$A$1:$I$89,5,0)</f>
        <v>244.02455999999947</v>
      </c>
      <c r="CA114" s="14">
        <f t="shared" si="93"/>
        <v>59.304594314969179</v>
      </c>
      <c r="CB114" s="22">
        <f t="shared" si="64"/>
        <v>528.29827709857045</v>
      </c>
      <c r="CC114" s="62">
        <f t="shared" si="65"/>
        <v>821.63161043190371</v>
      </c>
      <c r="CD114" s="62">
        <f ca="1">AVERAGE(OFFSET($CC$3,0,0,'Données projet'!$E$12+1,1))-AVERAGE(OFFSET($H$3,0,0,'Données projet'!$E$12+1,1))</f>
        <v>429.54141820799617</v>
      </c>
      <c r="CE114" s="62">
        <f t="shared" si="94"/>
        <v>231.36959598460686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0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0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3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3.7</v>
      </c>
      <c r="N115" s="14">
        <f>IF('Données projet'!$A$36&gt;35,N114+M115-V114,IF(A115&lt;'Données projet'!$A$36,$K$205^A115,IF(A115='Données projet'!$A$36,'Données projet'!$B$36,N114+M115-V114)))</f>
        <v>273.39999999999941</v>
      </c>
      <c r="O115" s="14">
        <f>N115*VLOOKUP('Données projet'!$B$9,Paramètres!$A$1:$I$89,3,0)*VLOOKUP('Données projet'!$B$9,Paramètres!$A$1:$I$89,5,0)</f>
        <v>277.22759999999943</v>
      </c>
      <c r="P115" s="14">
        <f t="shared" si="87"/>
        <v>66.380782187895392</v>
      </c>
      <c r="Q115" s="22">
        <f t="shared" si="107"/>
        <v>598.45126564391683</v>
      </c>
      <c r="R115" s="62">
        <f t="shared" si="55"/>
        <v>891.7845989772502</v>
      </c>
      <c r="S115" s="62">
        <f ca="1">AVERAGE(OFFSET($R$3,0,0,'Données projet'!$E$9+1,1))-AVERAGE(OFFSET($H$3,0,0,'Données projet'!$E$9+1,1))</f>
        <v>476.25344680259701</v>
      </c>
      <c r="T115" s="62">
        <f t="shared" si="88"/>
        <v>254.25036207346591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2.8846153846153868</v>
      </c>
      <c r="AI115" s="14">
        <f>IF('Données projet'!$A$62&gt;35,AI114+AH115-AQ114,IF(A115&lt;'Données projet'!$A$62,$AF$205^A115,IF(A115='Données projet'!$A$62,'Données projet'!$B$62,AI114+AH115-AQ114)))</f>
        <v>307.69230769230728</v>
      </c>
      <c r="AJ115" s="14">
        <f>AI115*VLOOKUP('Données projet'!$B$10,Paramètres!$A$1:$I$89,3,0)*VLOOKUP('Données projet'!$B$10,Paramètres!$A$1:$I$89,5,0)</f>
        <v>321.59999999999962</v>
      </c>
      <c r="AK115" s="14">
        <f t="shared" si="89"/>
        <v>75.686168081957248</v>
      </c>
      <c r="AL115" s="22">
        <f t="shared" si="58"/>
        <v>691.94007607607489</v>
      </c>
      <c r="AM115" s="62">
        <f t="shared" si="59"/>
        <v>985.27340940940826</v>
      </c>
      <c r="AN115" s="62">
        <f ca="1">AVERAGE(OFFSET($AM$3,0,0,'Données projet'!$E$10+1,1))-AVERAGE(OFFSET($H$3,0,0,'Données projet'!$E$10+1,1))</f>
        <v>493.70175665335978</v>
      </c>
      <c r="AO115" s="62">
        <f t="shared" si="90"/>
        <v>325.12357781685949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>
        <f>BD115*VLOOKUP('Données projet'!$B$11,Paramètres!$A$1:$I$89,3,0)*VLOOKUP('Données projet'!$B$11,Paramètres!$A$1:$I$89,5,0)</f>
        <v>0</v>
      </c>
      <c r="BF115" s="14" t="e">
        <f t="shared" si="91"/>
        <v>#NUM!</v>
      </c>
      <c r="BG115" s="22" t="e">
        <f t="shared" si="61"/>
        <v>#NUM!</v>
      </c>
      <c r="BH115" s="62" t="e">
        <f t="shared" si="62"/>
        <v>#NUM!</v>
      </c>
      <c r="BI115" s="62">
        <f ca="1">AVERAGE(OFFSET($BH$3,0,0,'Données projet'!$E$11+1,1))-AVERAGE(OFFSET($H$3,0,0,'Données projet'!$E$11+1,1))</f>
        <v>245.09257882574383</v>
      </c>
      <c r="BJ115" s="62">
        <f t="shared" si="92"/>
        <v>342.30266518164211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0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3.7</v>
      </c>
      <c r="BY115" s="13">
        <f>IF('Données projet'!$A$114&gt;35,BY114+BX115-CG114,IF(A115&lt;'Données projet'!$A$114,$BV$205^A115,IF(A115='Données projet'!$A$114,'Données projet'!$B$114,BY114+BX115-CG114)))</f>
        <v>273.39999999999941</v>
      </c>
      <c r="BZ115" s="14">
        <f>BY115*VLOOKUP('Données projet'!$B$12,Paramètres!$A$1:$I$89,3,0)*VLOOKUP('Données projet'!$B$12,Paramètres!$A$1:$I$89,5,0)</f>
        <v>247.37231999999943</v>
      </c>
      <c r="CA115" s="14">
        <f t="shared" si="93"/>
        <v>60.022917171130885</v>
      </c>
      <c r="CB115" s="22">
        <f t="shared" si="64"/>
        <v>535.38003807305199</v>
      </c>
      <c r="CC115" s="62">
        <f t="shared" si="65"/>
        <v>828.71337140638525</v>
      </c>
      <c r="CD115" s="62">
        <f ca="1">AVERAGE(OFFSET($CC$3,0,0,'Données projet'!$E$12+1,1))-AVERAGE(OFFSET($H$3,0,0,'Données projet'!$E$12+1,1))</f>
        <v>429.54141820799617</v>
      </c>
      <c r="CE115" s="62">
        <f t="shared" si="94"/>
        <v>231.36959598460686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0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0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3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3.7</v>
      </c>
      <c r="N116" s="14">
        <f>IF('Données projet'!$A$36&gt;35,N115+M116-V115,IF(A116&lt;'Données projet'!$A$36,$K$205^A116,IF(A116='Données projet'!$A$36,'Données projet'!$B$36,N115+M116-V115)))</f>
        <v>277.0999999999994</v>
      </c>
      <c r="O116" s="14">
        <f>N116*VLOOKUP('Données projet'!$B$9,Paramètres!$A$1:$I$89,3,0)*VLOOKUP('Données projet'!$B$9,Paramètres!$A$1:$I$89,5,0)</f>
        <v>280.97939999999943</v>
      </c>
      <c r="P116" s="14">
        <f t="shared" si="87"/>
        <v>67.173942175199301</v>
      </c>
      <c r="Q116" s="22">
        <f t="shared" si="107"/>
        <v>606.36707095513782</v>
      </c>
      <c r="R116" s="62">
        <f t="shared" si="55"/>
        <v>899.70040428847119</v>
      </c>
      <c r="S116" s="62">
        <f ca="1">AVERAGE(OFFSET($R$3,0,0,'Données projet'!$E$9+1,1))-AVERAGE(OFFSET($H$3,0,0,'Données projet'!$E$9+1,1))</f>
        <v>476.25344680259701</v>
      </c>
      <c r="T116" s="62">
        <f t="shared" si="88"/>
        <v>254.25036207346591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2.8846153846153868</v>
      </c>
      <c r="AI116" s="14">
        <f>IF('Données projet'!$A$62&gt;35,AI115+AH116-AQ115,IF(A116&lt;'Données projet'!$A$62,$AF$205^A116,IF(A116='Données projet'!$A$62,'Données projet'!$B$62,AI115+AH116-AQ115)))</f>
        <v>310.57692307692264</v>
      </c>
      <c r="AJ116" s="14">
        <f>AI116*VLOOKUP('Données projet'!$B$10,Paramètres!$A$1:$I$89,3,0)*VLOOKUP('Données projet'!$B$10,Paramètres!$A$1:$I$89,5,0)</f>
        <v>324.61499999999955</v>
      </c>
      <c r="AK116" s="14">
        <f t="shared" si="89"/>
        <v>76.312792476440805</v>
      </c>
      <c r="AL116" s="22">
        <f t="shared" si="58"/>
        <v>698.28257189646683</v>
      </c>
      <c r="AM116" s="62">
        <f t="shared" si="59"/>
        <v>991.61590522980009</v>
      </c>
      <c r="AN116" s="62">
        <f ca="1">AVERAGE(OFFSET($AM$3,0,0,'Données projet'!$E$10+1,1))-AVERAGE(OFFSET($H$3,0,0,'Données projet'!$E$10+1,1))</f>
        <v>493.70175665335978</v>
      </c>
      <c r="AO116" s="62">
        <f t="shared" si="90"/>
        <v>325.12357781685949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>
        <f>BD116*VLOOKUP('Données projet'!$B$11,Paramètres!$A$1:$I$89,3,0)*VLOOKUP('Données projet'!$B$11,Paramètres!$A$1:$I$89,5,0)</f>
        <v>0</v>
      </c>
      <c r="BF116" s="14" t="e">
        <f t="shared" si="91"/>
        <v>#NUM!</v>
      </c>
      <c r="BG116" s="22" t="e">
        <f t="shared" si="61"/>
        <v>#NUM!</v>
      </c>
      <c r="BH116" s="62" t="e">
        <f t="shared" si="62"/>
        <v>#NUM!</v>
      </c>
      <c r="BI116" s="62">
        <f ca="1">AVERAGE(OFFSET($BH$3,0,0,'Données projet'!$E$11+1,1))-AVERAGE(OFFSET($H$3,0,0,'Données projet'!$E$11+1,1))</f>
        <v>245.09257882574383</v>
      </c>
      <c r="BJ116" s="62">
        <f t="shared" si="92"/>
        <v>342.30266518164211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0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3.7</v>
      </c>
      <c r="BY116" s="13">
        <f>IF('Données projet'!$A$114&gt;35,BY115+BX116-CG115,IF(A116&lt;'Données projet'!$A$114,$BV$205^A116,IF(A116='Données projet'!$A$114,'Données projet'!$B$114,BY115+BX116-CG115)))</f>
        <v>277.0999999999994</v>
      </c>
      <c r="BZ116" s="14">
        <f>BY116*VLOOKUP('Données projet'!$B$12,Paramètres!$A$1:$I$89,3,0)*VLOOKUP('Données projet'!$B$12,Paramètres!$A$1:$I$89,5,0)</f>
        <v>250.72007999999946</v>
      </c>
      <c r="CA116" s="14">
        <f t="shared" si="93"/>
        <v>60.740109326032709</v>
      </c>
      <c r="CB116" s="22">
        <f t="shared" si="64"/>
        <v>542.45982974283925</v>
      </c>
      <c r="CC116" s="62">
        <f t="shared" si="65"/>
        <v>835.7931630761725</v>
      </c>
      <c r="CD116" s="62">
        <f ca="1">AVERAGE(OFFSET($CC$3,0,0,'Données projet'!$E$12+1,1))-AVERAGE(OFFSET($H$3,0,0,'Données projet'!$E$12+1,1))</f>
        <v>429.54141820799617</v>
      </c>
      <c r="CE116" s="62">
        <f t="shared" si="94"/>
        <v>231.36959598460686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0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0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3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3.7</v>
      </c>
      <c r="N117" s="14">
        <f>IF('Données projet'!$A$36&gt;35,N116+M117-V116,IF(A117&lt;'Données projet'!$A$36,$K$205^A117,IF(A117='Données projet'!$A$36,'Données projet'!$B$36,N116+M117-V116)))</f>
        <v>280.79999999999939</v>
      </c>
      <c r="O117" s="14">
        <f>N117*VLOOKUP('Données projet'!$B$9,Paramètres!$A$1:$I$89,3,0)*VLOOKUP('Données projet'!$B$9,Paramètres!$A$1:$I$89,5,0)</f>
        <v>284.73119999999943</v>
      </c>
      <c r="P117" s="14">
        <f t="shared" si="87"/>
        <v>67.965870320050826</v>
      </c>
      <c r="Q117" s="22">
        <f t="shared" si="107"/>
        <v>614.28073080742081</v>
      </c>
      <c r="R117" s="62">
        <f t="shared" si="55"/>
        <v>907.61406414075418</v>
      </c>
      <c r="S117" s="62">
        <f ca="1">AVERAGE(OFFSET($R$3,0,0,'Données projet'!$E$9+1,1))-AVERAGE(OFFSET($H$3,0,0,'Données projet'!$E$9+1,1))</f>
        <v>476.25344680259701</v>
      </c>
      <c r="T117" s="62">
        <f t="shared" si="88"/>
        <v>254.25036207346591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2.8846153846153868</v>
      </c>
      <c r="AI117" s="14">
        <f>IF('Données projet'!$A$62&gt;35,AI116+AH117-AQ116,IF(A117&lt;'Données projet'!$A$62,$AF$205^A117,IF(A117='Données projet'!$A$62,'Données projet'!$B$62,AI116+AH117-AQ116)))</f>
        <v>313.461538461538</v>
      </c>
      <c r="AJ117" s="14">
        <f>AI117*VLOOKUP('Données projet'!$B$10,Paramètres!$A$1:$I$89,3,0)*VLOOKUP('Données projet'!$B$10,Paramètres!$A$1:$I$89,5,0)</f>
        <v>327.62999999999954</v>
      </c>
      <c r="AK117" s="14">
        <f t="shared" si="89"/>
        <v>76.938739773947404</v>
      </c>
      <c r="AL117" s="22">
        <f t="shared" si="58"/>
        <v>704.62388843962435</v>
      </c>
      <c r="AM117" s="62">
        <f t="shared" si="59"/>
        <v>997.95722177295761</v>
      </c>
      <c r="AN117" s="62">
        <f ca="1">AVERAGE(OFFSET($AM$3,0,0,'Données projet'!$E$10+1,1))-AVERAGE(OFFSET($H$3,0,0,'Données projet'!$E$10+1,1))</f>
        <v>493.70175665335978</v>
      </c>
      <c r="AO117" s="62">
        <f t="shared" si="90"/>
        <v>325.12357781685949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>
        <f>BD117*VLOOKUP('Données projet'!$B$11,Paramètres!$A$1:$I$89,3,0)*VLOOKUP('Données projet'!$B$11,Paramètres!$A$1:$I$89,5,0)</f>
        <v>0</v>
      </c>
      <c r="BF117" s="14" t="e">
        <f t="shared" si="91"/>
        <v>#NUM!</v>
      </c>
      <c r="BG117" s="22" t="e">
        <f t="shared" si="61"/>
        <v>#NUM!</v>
      </c>
      <c r="BH117" s="62" t="e">
        <f t="shared" si="62"/>
        <v>#NUM!</v>
      </c>
      <c r="BI117" s="62">
        <f ca="1">AVERAGE(OFFSET($BH$3,0,0,'Données projet'!$E$11+1,1))-AVERAGE(OFFSET($H$3,0,0,'Données projet'!$E$11+1,1))</f>
        <v>245.09257882574383</v>
      </c>
      <c r="BJ117" s="62">
        <f t="shared" si="92"/>
        <v>342.30266518164211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0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3.7</v>
      </c>
      <c r="BY117" s="13">
        <f>IF('Données projet'!$A$114&gt;35,BY116+BX117-CG116,IF(A117&lt;'Données projet'!$A$114,$BV$205^A117,IF(A117='Données projet'!$A$114,'Données projet'!$B$114,BY116+BX117-CG116)))</f>
        <v>280.79999999999939</v>
      </c>
      <c r="BZ117" s="14">
        <f>BY117*VLOOKUP('Données projet'!$B$12,Paramètres!$A$1:$I$89,3,0)*VLOOKUP('Données projet'!$B$12,Paramètres!$A$1:$I$89,5,0)</f>
        <v>254.06783999999945</v>
      </c>
      <c r="CA117" s="14">
        <f t="shared" si="93"/>
        <v>61.456187622750612</v>
      </c>
      <c r="CB117" s="22">
        <f t="shared" si="64"/>
        <v>549.53768144295634</v>
      </c>
      <c r="CC117" s="62">
        <f t="shared" si="65"/>
        <v>842.87101477628971</v>
      </c>
      <c r="CD117" s="62">
        <f ca="1">AVERAGE(OFFSET($CC$3,0,0,'Données projet'!$E$12+1,1))-AVERAGE(OFFSET($H$3,0,0,'Données projet'!$E$12+1,1))</f>
        <v>429.54141820799617</v>
      </c>
      <c r="CE117" s="62">
        <f t="shared" si="94"/>
        <v>231.36959598460686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0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0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3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3.7</v>
      </c>
      <c r="N118" s="14">
        <f>IF('Données projet'!$A$36&gt;35,N117+M118-V117,IF(A118&lt;'Données projet'!$A$36,$K$205^A118,IF(A118='Données projet'!$A$36,'Données projet'!$B$36,N117+M118-V117)))</f>
        <v>284.49999999999937</v>
      </c>
      <c r="O118" s="14">
        <f>N118*VLOOKUP('Données projet'!$B$9,Paramètres!$A$1:$I$89,3,0)*VLOOKUP('Données projet'!$B$9,Paramètres!$A$1:$I$89,5,0)</f>
        <v>288.48299999999938</v>
      </c>
      <c r="P118" s="14">
        <f t="shared" si="87"/>
        <v>68.756584730508578</v>
      </c>
      <c r="Q118" s="22">
        <f t="shared" si="107"/>
        <v>622.19227673896796</v>
      </c>
      <c r="R118" s="62">
        <f t="shared" si="55"/>
        <v>915.52561007230133</v>
      </c>
      <c r="S118" s="62">
        <f ca="1">AVERAGE(OFFSET($R$3,0,0,'Données projet'!$E$9+1,1))-AVERAGE(OFFSET($H$3,0,0,'Données projet'!$E$9+1,1))</f>
        <v>476.25344680259701</v>
      </c>
      <c r="T118" s="62">
        <f t="shared" si="88"/>
        <v>254.25036207346591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2.8846153846153868</v>
      </c>
      <c r="AI118" s="14">
        <f>IF('Données projet'!$A$62&gt;35,AI117+AH118-AQ117,IF(A118&lt;'Données projet'!$A$62,$AF$205^A118,IF(A118='Données projet'!$A$62,'Données projet'!$B$62,AI117+AH118-AQ117)))</f>
        <v>316.34615384615336</v>
      </c>
      <c r="AJ118" s="14">
        <f>AI118*VLOOKUP('Données projet'!$B$10,Paramètres!$A$1:$I$89,3,0)*VLOOKUP('Données projet'!$B$10,Paramètres!$A$1:$I$89,5,0)</f>
        <v>330.64499999999953</v>
      </c>
      <c r="AK118" s="14">
        <f t="shared" si="89"/>
        <v>77.564016927186358</v>
      </c>
      <c r="AL118" s="22">
        <f t="shared" si="58"/>
        <v>710.96403781484867</v>
      </c>
      <c r="AM118" s="62">
        <f t="shared" si="59"/>
        <v>1004.297371148182</v>
      </c>
      <c r="AN118" s="62">
        <f ca="1">AVERAGE(OFFSET($AM$3,0,0,'Données projet'!$E$10+1,1))-AVERAGE(OFFSET($H$3,0,0,'Données projet'!$E$10+1,1))</f>
        <v>493.70175665335978</v>
      </c>
      <c r="AO118" s="62">
        <f t="shared" si="90"/>
        <v>325.12357781685949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>
        <f>BD118*VLOOKUP('Données projet'!$B$11,Paramètres!$A$1:$I$89,3,0)*VLOOKUP('Données projet'!$B$11,Paramètres!$A$1:$I$89,5,0)</f>
        <v>0</v>
      </c>
      <c r="BF118" s="14" t="e">
        <f t="shared" si="91"/>
        <v>#NUM!</v>
      </c>
      <c r="BG118" s="22" t="e">
        <f t="shared" si="61"/>
        <v>#NUM!</v>
      </c>
      <c r="BH118" s="62" t="e">
        <f t="shared" si="62"/>
        <v>#NUM!</v>
      </c>
      <c r="BI118" s="62">
        <f ca="1">AVERAGE(OFFSET($BH$3,0,0,'Données projet'!$E$11+1,1))-AVERAGE(OFFSET($H$3,0,0,'Données projet'!$E$11+1,1))</f>
        <v>245.09257882574383</v>
      </c>
      <c r="BJ118" s="62">
        <f t="shared" si="92"/>
        <v>342.30266518164211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0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3.7</v>
      </c>
      <c r="BY118" s="13">
        <f>IF('Données projet'!$A$114&gt;35,BY117+BX118-CG117,IF(A118&lt;'Données projet'!$A$114,$BV$205^A118,IF(A118='Données projet'!$A$114,'Données projet'!$B$114,BY117+BX118-CG117)))</f>
        <v>284.49999999999937</v>
      </c>
      <c r="BZ118" s="14">
        <f>BY118*VLOOKUP('Données projet'!$B$12,Paramètres!$A$1:$I$89,3,0)*VLOOKUP('Données projet'!$B$12,Paramètres!$A$1:$I$89,5,0)</f>
        <v>257.41559999999942</v>
      </c>
      <c r="CA118" s="14">
        <f t="shared" si="93"/>
        <v>62.171168434977012</v>
      </c>
      <c r="CB118" s="22">
        <f t="shared" si="64"/>
        <v>556.61362169091728</v>
      </c>
      <c r="CC118" s="62">
        <f t="shared" si="65"/>
        <v>849.94695502425066</v>
      </c>
      <c r="CD118" s="62">
        <f ca="1">AVERAGE(OFFSET($CC$3,0,0,'Données projet'!$E$12+1,1))-AVERAGE(OFFSET($H$3,0,0,'Données projet'!$E$12+1,1))</f>
        <v>429.54141820799617</v>
      </c>
      <c r="CE118" s="62">
        <f t="shared" si="94"/>
        <v>231.36959598460686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0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0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3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3.7</v>
      </c>
      <c r="N119" s="14">
        <f>IF('Données projet'!$A$36&gt;35,N118+M119-V118,IF(A119&lt;'Données projet'!$A$36,$K$205^A119,IF(A119='Données projet'!$A$36,'Données projet'!$B$36,N118+M119-V118)))</f>
        <v>288.19999999999936</v>
      </c>
      <c r="O119" s="14">
        <f>N119*VLOOKUP('Données projet'!$B$9,Paramètres!$A$1:$I$89,3,0)*VLOOKUP('Données projet'!$B$9,Paramètres!$A$1:$I$89,5,0)</f>
        <v>292.23479999999938</v>
      </c>
      <c r="P119" s="14">
        <f t="shared" si="87"/>
        <v>69.546103016553644</v>
      </c>
      <c r="Q119" s="22">
        <f t="shared" si="107"/>
        <v>630.10173942049653</v>
      </c>
      <c r="R119" s="62">
        <f t="shared" si="55"/>
        <v>923.4350727538299</v>
      </c>
      <c r="S119" s="62">
        <f ca="1">AVERAGE(OFFSET($R$3,0,0,'Données projet'!$E$9+1,1))-AVERAGE(OFFSET($H$3,0,0,'Données projet'!$E$9+1,1))</f>
        <v>476.25344680259701</v>
      </c>
      <c r="T119" s="62">
        <f t="shared" si="88"/>
        <v>254.25036207346591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2.8846153846153868</v>
      </c>
      <c r="AI119" s="14">
        <f>IF('Données projet'!$A$62&gt;35,AI118+AH119-AQ118,IF(A119&lt;'Données projet'!$A$62,$AF$205^A119,IF(A119='Données projet'!$A$62,'Données projet'!$B$62,AI118+AH119-AQ118)))</f>
        <v>319.23076923076871</v>
      </c>
      <c r="AJ119" s="14">
        <f>AI119*VLOOKUP('Données projet'!$B$10,Paramètres!$A$1:$I$89,3,0)*VLOOKUP('Données projet'!$B$10,Paramètres!$A$1:$I$89,5,0)</f>
        <v>333.65999999999946</v>
      </c>
      <c r="AK119" s="14">
        <f t="shared" si="89"/>
        <v>78.188630754756275</v>
      </c>
      <c r="AL119" s="22">
        <f t="shared" si="58"/>
        <v>717.30303189786616</v>
      </c>
      <c r="AM119" s="62">
        <f t="shared" si="59"/>
        <v>1010.6363652311995</v>
      </c>
      <c r="AN119" s="62">
        <f ca="1">AVERAGE(OFFSET($AM$3,0,0,'Données projet'!$E$10+1,1))-AVERAGE(OFFSET($H$3,0,0,'Données projet'!$E$10+1,1))</f>
        <v>493.70175665335978</v>
      </c>
      <c r="AO119" s="62">
        <f t="shared" si="90"/>
        <v>325.12357781685949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>
        <f>BD119*VLOOKUP('Données projet'!$B$11,Paramètres!$A$1:$I$89,3,0)*VLOOKUP('Données projet'!$B$11,Paramètres!$A$1:$I$89,5,0)</f>
        <v>0</v>
      </c>
      <c r="BF119" s="14" t="e">
        <f t="shared" si="91"/>
        <v>#NUM!</v>
      </c>
      <c r="BG119" s="22" t="e">
        <f t="shared" si="61"/>
        <v>#NUM!</v>
      </c>
      <c r="BH119" s="62" t="e">
        <f t="shared" si="62"/>
        <v>#NUM!</v>
      </c>
      <c r="BI119" s="62">
        <f ca="1">AVERAGE(OFFSET($BH$3,0,0,'Données projet'!$E$11+1,1))-AVERAGE(OFFSET($H$3,0,0,'Données projet'!$E$11+1,1))</f>
        <v>245.09257882574383</v>
      </c>
      <c r="BJ119" s="62">
        <f t="shared" si="92"/>
        <v>342.30266518164211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0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3.7</v>
      </c>
      <c r="BY119" s="13">
        <f>IF('Données projet'!$A$114&gt;35,BY118+BX119-CG118,IF(A119&lt;'Données projet'!$A$114,$BV$205^A119,IF(A119='Données projet'!$A$114,'Données projet'!$B$114,BY118+BX119-CG118)))</f>
        <v>288.19999999999936</v>
      </c>
      <c r="BZ119" s="14">
        <f>BY119*VLOOKUP('Données projet'!$B$12,Paramètres!$A$1:$I$89,3,0)*VLOOKUP('Données projet'!$B$12,Paramètres!$A$1:$I$89,5,0)</f>
        <v>260.76335999999941</v>
      </c>
      <c r="CA119" s="14">
        <f t="shared" si="93"/>
        <v>62.885067686031846</v>
      </c>
      <c r="CB119" s="22">
        <f t="shared" si="64"/>
        <v>563.68767821983772</v>
      </c>
      <c r="CC119" s="62">
        <f t="shared" si="65"/>
        <v>857.02101155317109</v>
      </c>
      <c r="CD119" s="62">
        <f ca="1">AVERAGE(OFFSET($CC$3,0,0,'Données projet'!$E$12+1,1))-AVERAGE(OFFSET($H$3,0,0,'Données projet'!$E$12+1,1))</f>
        <v>429.54141820799617</v>
      </c>
      <c r="CE119" s="62">
        <f t="shared" si="94"/>
        <v>231.36959598460686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0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0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3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3.7</v>
      </c>
      <c r="N120" s="14">
        <f>IF('Données projet'!$A$36&gt;35,N119+M120-V119,IF(A120&lt;'Données projet'!$A$36,$K$205^A120,IF(A120='Données projet'!$A$36,'Données projet'!$B$36,N119+M120-V119)))</f>
        <v>291.89999999999935</v>
      </c>
      <c r="O120" s="14">
        <f>N120*VLOOKUP('Données projet'!$B$9,Paramètres!$A$1:$I$89,3,0)*VLOOKUP('Données projet'!$B$9,Paramètres!$A$1:$I$89,5,0)</f>
        <v>295.98659999999938</v>
      </c>
      <c r="P120" s="14">
        <f t="shared" si="87"/>
        <v>70.334442310004604</v>
      </c>
      <c r="Q120" s="22">
        <f t="shared" si="107"/>
        <v>638.00914868992356</v>
      </c>
      <c r="R120" s="62">
        <f t="shared" si="55"/>
        <v>931.34248202325693</v>
      </c>
      <c r="S120" s="62">
        <f ca="1">AVERAGE(OFFSET($R$3,0,0,'Données projet'!$E$9+1,1))-AVERAGE(OFFSET($H$3,0,0,'Données projet'!$E$9+1,1))</f>
        <v>476.25344680259701</v>
      </c>
      <c r="T120" s="62">
        <f t="shared" si="88"/>
        <v>254.25036207346591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2.8846153846153868</v>
      </c>
      <c r="AI120" s="14">
        <f>IF('Données projet'!$A$62&gt;35,AI119+AH120-AQ119,IF(A120&lt;'Données projet'!$A$62,$AF$205^A120,IF(A120='Données projet'!$A$62,'Données projet'!$B$62,AI119+AH120-AQ119)))</f>
        <v>322.11538461538407</v>
      </c>
      <c r="AJ120" s="14">
        <f>AI120*VLOOKUP('Données projet'!$B$10,Paramètres!$A$1:$I$89,3,0)*VLOOKUP('Données projet'!$B$10,Paramètres!$A$1:$I$89,5,0)</f>
        <v>336.67499999999944</v>
      </c>
      <c r="AK120" s="14">
        <f t="shared" si="89"/>
        <v>78.8125879449194</v>
      </c>
      <c r="AL120" s="22">
        <f t="shared" si="58"/>
        <v>723.64088233740028</v>
      </c>
      <c r="AM120" s="62">
        <f t="shared" si="59"/>
        <v>1016.9742156707337</v>
      </c>
      <c r="AN120" s="62">
        <f ca="1">AVERAGE(OFFSET($AM$3,0,0,'Données projet'!$E$10+1,1))-AVERAGE(OFFSET($H$3,0,0,'Données projet'!$E$10+1,1))</f>
        <v>493.70175665335978</v>
      </c>
      <c r="AO120" s="62">
        <f t="shared" si="90"/>
        <v>325.12357781685949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>
        <f>BD120*VLOOKUP('Données projet'!$B$11,Paramètres!$A$1:$I$89,3,0)*VLOOKUP('Données projet'!$B$11,Paramètres!$A$1:$I$89,5,0)</f>
        <v>0</v>
      </c>
      <c r="BF120" s="14" t="e">
        <f t="shared" si="91"/>
        <v>#NUM!</v>
      </c>
      <c r="BG120" s="22" t="e">
        <f t="shared" si="61"/>
        <v>#NUM!</v>
      </c>
      <c r="BH120" s="62" t="e">
        <f t="shared" si="62"/>
        <v>#NUM!</v>
      </c>
      <c r="BI120" s="62">
        <f ca="1">AVERAGE(OFFSET($BH$3,0,0,'Données projet'!$E$11+1,1))-AVERAGE(OFFSET($H$3,0,0,'Données projet'!$E$11+1,1))</f>
        <v>245.09257882574383</v>
      </c>
      <c r="BJ120" s="62">
        <f t="shared" si="92"/>
        <v>342.30266518164211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0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3.7</v>
      </c>
      <c r="BY120" s="13">
        <f>IF('Données projet'!$A$114&gt;35,BY119+BX120-CG119,IF(A120&lt;'Données projet'!$A$114,$BV$205^A120,IF(A120='Données projet'!$A$114,'Données projet'!$B$114,BY119+BX120-CG119)))</f>
        <v>291.89999999999935</v>
      </c>
      <c r="BZ120" s="14">
        <f>BY120*VLOOKUP('Données projet'!$B$12,Paramètres!$A$1:$I$89,3,0)*VLOOKUP('Données projet'!$B$12,Paramètres!$A$1:$I$89,5,0)</f>
        <v>264.1111199999994</v>
      </c>
      <c r="CA120" s="14">
        <f t="shared" si="93"/>
        <v>63.597900866870546</v>
      </c>
      <c r="CB120" s="22">
        <f t="shared" si="64"/>
        <v>570.7598780097984</v>
      </c>
      <c r="CC120" s="62">
        <f t="shared" si="65"/>
        <v>864.09321134313177</v>
      </c>
      <c r="CD120" s="62">
        <f ca="1">AVERAGE(OFFSET($CC$3,0,0,'Données projet'!$E$12+1,1))-AVERAGE(OFFSET($H$3,0,0,'Données projet'!$E$12+1,1))</f>
        <v>429.54141820799617</v>
      </c>
      <c r="CE120" s="62">
        <f t="shared" si="94"/>
        <v>231.36959598460686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0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0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3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3.7</v>
      </c>
      <c r="N121" s="14">
        <f>IF('Données projet'!$A$36&gt;35,N120+M121-V120,IF(A121&lt;'Données projet'!$A$36,$K$205^A121,IF(A121='Données projet'!$A$36,'Données projet'!$B$36,N120+M121-V120)))</f>
        <v>295.59999999999934</v>
      </c>
      <c r="O121" s="14">
        <f>N121*VLOOKUP('Données projet'!$B$9,Paramètres!$A$1:$I$89,3,0)*VLOOKUP('Données projet'!$B$9,Paramètres!$A$1:$I$89,5,0)</f>
        <v>299.73839999999939</v>
      </c>
      <c r="P121" s="14">
        <f t="shared" si="87"/>
        <v>71.121619283394296</v>
      </c>
      <c r="Q121" s="22">
        <f t="shared" si="107"/>
        <v>645.91453358524393</v>
      </c>
      <c r="R121" s="62">
        <f t="shared" si="55"/>
        <v>939.2478669185773</v>
      </c>
      <c r="S121" s="62">
        <f ca="1">AVERAGE(OFFSET($R$3,0,0,'Données projet'!$E$9+1,1))-AVERAGE(OFFSET($H$3,0,0,'Données projet'!$E$9+1,1))</f>
        <v>476.25344680259701</v>
      </c>
      <c r="T121" s="62">
        <f t="shared" si="88"/>
        <v>254.25036207346591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2.8846153846153868</v>
      </c>
      <c r="AI121" s="14">
        <f>IF('Données projet'!$A$62&gt;35,AI120+AH121-AQ120,IF(A121&lt;'Données projet'!$A$62,$AF$205^A121,IF(A121='Données projet'!$A$62,'Données projet'!$B$62,AI120+AH121-AQ120)))</f>
        <v>324.99999999999943</v>
      </c>
      <c r="AJ121" s="14">
        <f>AI121*VLOOKUP('Données projet'!$B$10,Paramètres!$A$1:$I$89,3,0)*VLOOKUP('Données projet'!$B$10,Paramètres!$A$1:$I$89,5,0)</f>
        <v>339.68999999999943</v>
      </c>
      <c r="AK121" s="14">
        <f t="shared" si="89"/>
        <v>79.435895059237467</v>
      </c>
      <c r="AL121" s="22">
        <f t="shared" si="58"/>
        <v>729.97760056150412</v>
      </c>
      <c r="AM121" s="62">
        <f t="shared" si="59"/>
        <v>1023.3109338948375</v>
      </c>
      <c r="AN121" s="62">
        <f ca="1">AVERAGE(OFFSET($AM$3,0,0,'Données projet'!$E$10+1,1))-AVERAGE(OFFSET($H$3,0,0,'Données projet'!$E$10+1,1))</f>
        <v>493.70175665335978</v>
      </c>
      <c r="AO121" s="62">
        <f t="shared" si="90"/>
        <v>325.12357781685949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>
        <f>BD121*VLOOKUP('Données projet'!$B$11,Paramètres!$A$1:$I$89,3,0)*VLOOKUP('Données projet'!$B$11,Paramètres!$A$1:$I$89,5,0)</f>
        <v>0</v>
      </c>
      <c r="BF121" s="14" t="e">
        <f t="shared" si="91"/>
        <v>#NUM!</v>
      </c>
      <c r="BG121" s="22" t="e">
        <f t="shared" si="61"/>
        <v>#NUM!</v>
      </c>
      <c r="BH121" s="62" t="e">
        <f t="shared" si="62"/>
        <v>#NUM!</v>
      </c>
      <c r="BI121" s="62">
        <f ca="1">AVERAGE(OFFSET($BH$3,0,0,'Données projet'!$E$11+1,1))-AVERAGE(OFFSET($H$3,0,0,'Données projet'!$E$11+1,1))</f>
        <v>245.09257882574383</v>
      </c>
      <c r="BJ121" s="62">
        <f t="shared" si="92"/>
        <v>342.30266518164211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0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3.7</v>
      </c>
      <c r="BY121" s="13">
        <f>IF('Données projet'!$A$114&gt;35,BY120+BX121-CG120,IF(A121&lt;'Données projet'!$A$114,$BV$205^A121,IF(A121='Données projet'!$A$114,'Données projet'!$B$114,BY120+BX121-CG120)))</f>
        <v>295.59999999999934</v>
      </c>
      <c r="BZ121" s="14">
        <f>BY121*VLOOKUP('Données projet'!$B$12,Paramètres!$A$1:$I$89,3,0)*VLOOKUP('Données projet'!$B$12,Paramètres!$A$1:$I$89,5,0)</f>
        <v>267.4588799999994</v>
      </c>
      <c r="CA121" s="14">
        <f t="shared" si="93"/>
        <v>64.30968305315227</v>
      </c>
      <c r="CB121" s="22">
        <f t="shared" si="64"/>
        <v>577.83024731757246</v>
      </c>
      <c r="CC121" s="62">
        <f t="shared" si="65"/>
        <v>871.16358065090571</v>
      </c>
      <c r="CD121" s="62">
        <f ca="1">AVERAGE(OFFSET($CC$3,0,0,'Données projet'!$E$12+1,1))-AVERAGE(OFFSET($H$3,0,0,'Données projet'!$E$12+1,1))</f>
        <v>429.54141820799617</v>
      </c>
      <c r="CE121" s="62">
        <f t="shared" si="94"/>
        <v>231.36959598460686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0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0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3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3.7</v>
      </c>
      <c r="N122" s="14">
        <f>IF('Données projet'!$A$36&gt;35,N121+M122-V121,IF(A122&lt;'Données projet'!$A$36,$K$205^A122,IF(A122='Données projet'!$A$36,'Données projet'!$B$36,N121+M122-V121)))</f>
        <v>299.29999999999933</v>
      </c>
      <c r="O122" s="14">
        <f>N122*VLOOKUP('Données projet'!$B$9,Paramètres!$A$1:$I$89,3,0)*VLOOKUP('Données projet'!$B$9,Paramètres!$A$1:$I$89,5,0)</f>
        <v>303.49019999999933</v>
      </c>
      <c r="P122" s="14">
        <f t="shared" si="87"/>
        <v>71.907650167874067</v>
      </c>
      <c r="Q122" s="22">
        <f t="shared" si="107"/>
        <v>653.81792237571278</v>
      </c>
      <c r="R122" s="62">
        <f t="shared" si="55"/>
        <v>947.15125570904615</v>
      </c>
      <c r="S122" s="62">
        <f ca="1">AVERAGE(OFFSET($R$3,0,0,'Données projet'!$E$9+1,1))-AVERAGE(OFFSET($H$3,0,0,'Données projet'!$E$9+1,1))</f>
        <v>476.25344680259701</v>
      </c>
      <c r="T122" s="62">
        <f t="shared" si="88"/>
        <v>254.25036207346591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2.8846153846153868</v>
      </c>
      <c r="AI122" s="14">
        <f>IF('Données projet'!$A$62&gt;35,AI121+AH122-AQ121,IF(A122&lt;'Données projet'!$A$62,$AF$205^A122,IF(A122='Données projet'!$A$62,'Données projet'!$B$62,AI121+AH122-AQ121)))</f>
        <v>327.88461538461479</v>
      </c>
      <c r="AJ122" s="14">
        <f>AI122*VLOOKUP('Données projet'!$B$10,Paramètres!$A$1:$I$89,3,0)*VLOOKUP('Données projet'!$B$10,Paramètres!$A$1:$I$89,5,0)</f>
        <v>342.70499999999942</v>
      </c>
      <c r="AK122" s="14">
        <f t="shared" si="89"/>
        <v>80.058558536074614</v>
      </c>
      <c r="AL122" s="22">
        <f t="shared" si="58"/>
        <v>736.31319778366208</v>
      </c>
      <c r="AM122" s="62">
        <f t="shared" si="59"/>
        <v>1029.6465311169954</v>
      </c>
      <c r="AN122" s="62">
        <f ca="1">AVERAGE(OFFSET($AM$3,0,0,'Données projet'!$E$10+1,1))-AVERAGE(OFFSET($H$3,0,0,'Données projet'!$E$10+1,1))</f>
        <v>493.70175665335978</v>
      </c>
      <c r="AO122" s="62">
        <f t="shared" si="90"/>
        <v>325.12357781685949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>
        <f>BD122*VLOOKUP('Données projet'!$B$11,Paramètres!$A$1:$I$89,3,0)*VLOOKUP('Données projet'!$B$11,Paramètres!$A$1:$I$89,5,0)</f>
        <v>0</v>
      </c>
      <c r="BF122" s="14" t="e">
        <f t="shared" si="91"/>
        <v>#NUM!</v>
      </c>
      <c r="BG122" s="22" t="e">
        <f t="shared" si="61"/>
        <v>#NUM!</v>
      </c>
      <c r="BH122" s="62" t="e">
        <f t="shared" si="62"/>
        <v>#NUM!</v>
      </c>
      <c r="BI122" s="62">
        <f ca="1">AVERAGE(OFFSET($BH$3,0,0,'Données projet'!$E$11+1,1))-AVERAGE(OFFSET($H$3,0,0,'Données projet'!$E$11+1,1))</f>
        <v>245.09257882574383</v>
      </c>
      <c r="BJ122" s="62">
        <f t="shared" si="92"/>
        <v>342.30266518164211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0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3.7</v>
      </c>
      <c r="BY122" s="13">
        <f>IF('Données projet'!$A$114&gt;35,BY121+BX122-CG121,IF(A122&lt;'Données projet'!$A$114,$BV$205^A122,IF(A122='Données projet'!$A$114,'Données projet'!$B$114,BY121+BX122-CG121)))</f>
        <v>299.29999999999933</v>
      </c>
      <c r="BZ122" s="14">
        <f>BY122*VLOOKUP('Données projet'!$B$12,Paramètres!$A$1:$I$89,3,0)*VLOOKUP('Données projet'!$B$12,Paramètres!$A$1:$I$89,5,0)</f>
        <v>270.80663999999939</v>
      </c>
      <c r="CA122" s="14">
        <f t="shared" si="93"/>
        <v>65.020428921429854</v>
      </c>
      <c r="CB122" s="22">
        <f t="shared" si="64"/>
        <v>584.89881170482261</v>
      </c>
      <c r="CC122" s="62">
        <f t="shared" si="65"/>
        <v>878.23214503815598</v>
      </c>
      <c r="CD122" s="62">
        <f ca="1">AVERAGE(OFFSET($CC$3,0,0,'Données projet'!$E$12+1,1))-AVERAGE(OFFSET($H$3,0,0,'Données projet'!$E$12+1,1))</f>
        <v>429.54141820799617</v>
      </c>
      <c r="CE122" s="62">
        <f t="shared" si="94"/>
        <v>231.36959598460686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0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0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3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>
        <f>VLOOKUP(A123,'Données projet'!$A$35:$I$55,2,0)</f>
        <v>303</v>
      </c>
      <c r="L123" s="13">
        <f>VLOOKUP(A123,'Données projet'!$A$35:$I$55,9,0)</f>
        <v>3.7</v>
      </c>
      <c r="M123" s="13">
        <f t="array" ref="M123">INDEX(L:L,MIN(IF(ISNUMBER(L123:L319),ROW(L123:L319),"")))</f>
        <v>3.7</v>
      </c>
      <c r="N123" s="14">
        <f>IF('Données projet'!$A$36&gt;35,N122+M123-V122,IF(A123&lt;'Données projet'!$A$36,$K$205^A123,IF(A123='Données projet'!$A$36,'Données projet'!$B$36,N122+M123-V122)))</f>
        <v>302.99999999999932</v>
      </c>
      <c r="O123" s="14">
        <f>N123*VLOOKUP('Données projet'!$B$9,Paramètres!$A$1:$I$89,3,0)*VLOOKUP('Données projet'!$B$9,Paramètres!$A$1:$I$89,5,0)</f>
        <v>307.24199999999934</v>
      </c>
      <c r="P123" s="14">
        <f t="shared" si="87"/>
        <v>72.692550770207646</v>
      </c>
      <c r="Q123" s="22">
        <f t="shared" si="107"/>
        <v>661.71934259144393</v>
      </c>
      <c r="R123" s="62">
        <f t="shared" si="55"/>
        <v>955.0526759247773</v>
      </c>
      <c r="S123" s="62">
        <f ca="1">AVERAGE(OFFSET($R$3,0,0,'Données projet'!$E$9+1,1))-AVERAGE(OFFSET($H$3,0,0,'Données projet'!$E$9+1,1))</f>
        <v>476.25344680259701</v>
      </c>
      <c r="T123" s="62">
        <f t="shared" si="88"/>
        <v>254.25036207346591</v>
      </c>
      <c r="U123" s="16">
        <f>IF(ISNA(VLOOKUP(A123,'Données projet'!$A$35:$I$55,3,0)),0,VLOOKUP(A123,'Données projet'!$A$35:$I$55,3,0))</f>
        <v>10</v>
      </c>
      <c r="V123" s="16">
        <f>IF(ISNA(VLOOKUP(A123,'Données projet'!$A$35:$I$55,4,0)),0,VLOOKUP(A123,'Données projet'!$A$35:$I$55,4,0))</f>
        <v>35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>
        <f>VLOOKUP(A123,'Données projet'!$A$61:$I$81,2,0)</f>
        <v>330.76923076923077</v>
      </c>
      <c r="AG123" s="13">
        <f>VLOOKUP(A123,'Données projet'!$A$61:$I$81,9,0)</f>
        <v>2.8846153846153868</v>
      </c>
      <c r="AH123" s="13">
        <f t="array" ref="AH123">INDEX(AG:AG,MIN(IF(ISNUMBER(AG123:AG319),ROW(AG123:AG319),"")))</f>
        <v>2.8846153846153868</v>
      </c>
      <c r="AI123" s="14">
        <f>IF('Données projet'!$A$62&gt;35,AI122+AH123-AQ122,IF(A123&lt;'Données projet'!$A$62,$AF$205^A123,IF(A123='Données projet'!$A$62,'Données projet'!$B$62,AI122+AH123-AQ122)))</f>
        <v>330.76923076923015</v>
      </c>
      <c r="AJ123" s="14">
        <f>AI123*VLOOKUP('Données projet'!$B$10,Paramètres!$A$1:$I$89,3,0)*VLOOKUP('Données projet'!$B$10,Paramètres!$A$1:$I$89,5,0)</f>
        <v>345.7199999999994</v>
      </c>
      <c r="AK123" s="14">
        <f t="shared" si="89"/>
        <v>80.6805846939736</v>
      </c>
      <c r="AL123" s="22">
        <f t="shared" si="58"/>
        <v>742.64768500866955</v>
      </c>
      <c r="AM123" s="62">
        <f t="shared" si="59"/>
        <v>1035.9810183420029</v>
      </c>
      <c r="AN123" s="62">
        <f ca="1">AVERAGE(OFFSET($AM$3,0,0,'Données projet'!$E$10+1,1))-AVERAGE(OFFSET($H$3,0,0,'Données projet'!$E$10+1,1))</f>
        <v>493.70175665335978</v>
      </c>
      <c r="AO123" s="62">
        <f t="shared" si="90"/>
        <v>325.12357781685949</v>
      </c>
      <c r="AP123" s="16">
        <f>IF(ISNA(VLOOKUP(A123,'Données projet'!$A$61:$I$81,3,0)),0,VLOOKUP(A123,'Données projet'!$A$61:$I$81,3,0))</f>
        <v>10</v>
      </c>
      <c r="AQ123" s="16">
        <f>IF(ISNA(VLOOKUP(A123,'Données projet'!$A$61:$I$81,4,0)),0,VLOOKUP(A123,'Données projet'!$A$61:$I$81,4,0))</f>
        <v>17.948717948717949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>
        <f>BD123*VLOOKUP('Données projet'!$B$11,Paramètres!$A$1:$I$89,3,0)*VLOOKUP('Données projet'!$B$11,Paramètres!$A$1:$I$89,5,0)</f>
        <v>0</v>
      </c>
      <c r="BF123" s="14" t="e">
        <f t="shared" si="91"/>
        <v>#NUM!</v>
      </c>
      <c r="BG123" s="22" t="e">
        <f t="shared" si="61"/>
        <v>#NUM!</v>
      </c>
      <c r="BH123" s="62" t="e">
        <f t="shared" si="62"/>
        <v>#NUM!</v>
      </c>
      <c r="BI123" s="62">
        <f ca="1">AVERAGE(OFFSET($BH$3,0,0,'Données projet'!$E$11+1,1))-AVERAGE(OFFSET($H$3,0,0,'Données projet'!$E$11+1,1))</f>
        <v>245.09257882574383</v>
      </c>
      <c r="BJ123" s="62">
        <f t="shared" si="92"/>
        <v>342.30266518164211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0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>
        <f>VLOOKUP(A123,'Données projet'!$A$113:$I$133,2,0)</f>
        <v>303</v>
      </c>
      <c r="BW123" s="13">
        <f>VLOOKUP(A123,'Données projet'!$A$113:$I$133,9,0)</f>
        <v>3.7</v>
      </c>
      <c r="BX123" s="13">
        <f t="array" ref="BX123">INDEX(BW:BW,MIN(IF(ISNUMBER(BW123:BW319),ROW(BW123:BW319),"")))</f>
        <v>3.7</v>
      </c>
      <c r="BY123" s="13">
        <f>IF('Données projet'!$A$114&gt;35,BY122+BX123-CG122,IF(A123&lt;'Données projet'!$A$114,$BV$205^A123,IF(A123='Données projet'!$A$114,'Données projet'!$B$114,BY122+BX123-CG122)))</f>
        <v>302.99999999999932</v>
      </c>
      <c r="BZ123" s="14">
        <f>BY123*VLOOKUP('Données projet'!$B$12,Paramètres!$A$1:$I$89,3,0)*VLOOKUP('Données projet'!$B$12,Paramètres!$A$1:$I$89,5,0)</f>
        <v>274.15439999999938</v>
      </c>
      <c r="CA123" s="14">
        <f t="shared" si="93"/>
        <v>65.730152764515722</v>
      </c>
      <c r="CB123" s="22">
        <f t="shared" si="64"/>
        <v>591.9655960648638</v>
      </c>
      <c r="CC123" s="62">
        <f t="shared" si="65"/>
        <v>885.29892939819706</v>
      </c>
      <c r="CD123" s="62">
        <f ca="1">AVERAGE(OFFSET($CC$3,0,0,'Données projet'!$E$12+1,1))-AVERAGE(OFFSET($H$3,0,0,'Données projet'!$E$12+1,1))</f>
        <v>429.54141820799617</v>
      </c>
      <c r="CE123" s="62">
        <f t="shared" si="94"/>
        <v>231.36959598460686</v>
      </c>
      <c r="CF123" s="16">
        <f>IF(ISNA(VLOOKUP(A123,'Données projet'!$A$113:$I$133,3,0)),0,VLOOKUP(A123,'Données projet'!$A$113:$I$133,3,0))</f>
        <v>10</v>
      </c>
      <c r="CG123" s="16">
        <f>IF(ISNA(VLOOKUP(A123,'Données projet'!$A$113:$I$133,4,0)),0,VLOOKUP(A123,'Données projet'!$A$113:$I$133,4,0))</f>
        <v>35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0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0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3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3.2</v>
      </c>
      <c r="N124" s="14">
        <f>IF('Données projet'!$A$36&gt;35,N123+M124-V123,IF(A124&lt;'Données projet'!$A$36,$K$205^A124,IF(A124='Données projet'!$A$36,'Données projet'!$B$36,N123+M124-V123)))</f>
        <v>271.19999999999931</v>
      </c>
      <c r="O124" s="14">
        <f>N124*VLOOKUP('Données projet'!$B$9,Paramètres!$A$1:$I$89,3,0)*VLOOKUP('Données projet'!$B$9,Paramètres!$A$1:$I$89,5,0)</f>
        <v>274.99679999999933</v>
      </c>
      <c r="P124" s="14">
        <f t="shared" si="87"/>
        <v>65.908581953881495</v>
      </c>
      <c r="Q124" s="22">
        <f t="shared" si="107"/>
        <v>593.74354023634237</v>
      </c>
      <c r="R124" s="62">
        <f t="shared" si="55"/>
        <v>887.07687356967563</v>
      </c>
      <c r="S124" s="62">
        <f ca="1">AVERAGE(OFFSET($R$3,0,0,'Données projet'!$E$9+1,1))-AVERAGE(OFFSET($H$3,0,0,'Données projet'!$E$9+1,1))</f>
        <v>476.25344680259701</v>
      </c>
      <c r="T124" s="62">
        <f t="shared" si="88"/>
        <v>254.25036207346591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2.6282051282051269</v>
      </c>
      <c r="AI124" s="14">
        <f>IF('Données projet'!$A$62&gt;35,AI123+AH124-AQ123,IF(A124&lt;'Données projet'!$A$62,$AF$205^A124,IF(A124='Données projet'!$A$62,'Données projet'!$B$62,AI123+AH124-AQ123)))</f>
        <v>315.44871794871733</v>
      </c>
      <c r="AJ124" s="14">
        <f>AI124*VLOOKUP('Données projet'!$B$10,Paramètres!$A$1:$I$89,3,0)*VLOOKUP('Données projet'!$B$10,Paramètres!$A$1:$I$89,5,0)</f>
        <v>329.70699999999937</v>
      </c>
      <c r="AK124" s="14">
        <f t="shared" si="89"/>
        <v>77.369557656320978</v>
      </c>
      <c r="AL124" s="22">
        <f t="shared" si="58"/>
        <v>708.99167125142458</v>
      </c>
      <c r="AM124" s="62">
        <f t="shared" si="59"/>
        <v>1002.3250045847578</v>
      </c>
      <c r="AN124" s="62">
        <f ca="1">AVERAGE(OFFSET($AM$3,0,0,'Données projet'!$E$10+1,1))-AVERAGE(OFFSET($H$3,0,0,'Données projet'!$E$10+1,1))</f>
        <v>493.70175665335978</v>
      </c>
      <c r="AO124" s="62">
        <f t="shared" si="90"/>
        <v>325.12357781685949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>
        <f>BD124*VLOOKUP('Données projet'!$B$11,Paramètres!$A$1:$I$89,3,0)*VLOOKUP('Données projet'!$B$11,Paramètres!$A$1:$I$89,5,0)</f>
        <v>0</v>
      </c>
      <c r="BF124" s="14" t="e">
        <f t="shared" si="91"/>
        <v>#NUM!</v>
      </c>
      <c r="BG124" s="22" t="e">
        <f t="shared" si="61"/>
        <v>#NUM!</v>
      </c>
      <c r="BH124" s="62" t="e">
        <f t="shared" si="62"/>
        <v>#NUM!</v>
      </c>
      <c r="BI124" s="62">
        <f ca="1">AVERAGE(OFFSET($BH$3,0,0,'Données projet'!$E$11+1,1))-AVERAGE(OFFSET($H$3,0,0,'Données projet'!$E$11+1,1))</f>
        <v>245.09257882574383</v>
      </c>
      <c r="BJ124" s="62">
        <f t="shared" si="92"/>
        <v>342.30266518164211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0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3.2</v>
      </c>
      <c r="BY124" s="13">
        <f>IF('Données projet'!$A$114&gt;35,BY123+BX124-CG123,IF(A124&lt;'Données projet'!$A$114,$BV$205^A124,IF(A124='Données projet'!$A$114,'Données projet'!$B$114,BY123+BX124-CG123)))</f>
        <v>271.19999999999931</v>
      </c>
      <c r="BZ124" s="14">
        <f>BY124*VLOOKUP('Données projet'!$B$12,Paramètres!$A$1:$I$89,3,0)*VLOOKUP('Données projet'!$B$12,Paramètres!$A$1:$I$89,5,0)</f>
        <v>245.38175999999939</v>
      </c>
      <c r="CA124" s="14">
        <f t="shared" si="93"/>
        <v>59.595943661626663</v>
      </c>
      <c r="CB124" s="22">
        <f t="shared" si="64"/>
        <v>531.16950054399865</v>
      </c>
      <c r="CC124" s="62">
        <f t="shared" si="65"/>
        <v>824.50283387733202</v>
      </c>
      <c r="CD124" s="62">
        <f ca="1">AVERAGE(OFFSET($CC$3,0,0,'Données projet'!$E$12+1,1))-AVERAGE(OFFSET($H$3,0,0,'Données projet'!$E$12+1,1))</f>
        <v>429.54141820799617</v>
      </c>
      <c r="CE124" s="62">
        <f t="shared" si="94"/>
        <v>231.36959598460686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0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0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3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3.2</v>
      </c>
      <c r="N125" s="14">
        <f>IF('Données projet'!$A$36&gt;35,N124+M125-V124,IF(A125&lt;'Données projet'!$A$36,$K$205^A125,IF(A125='Données projet'!$A$36,'Données projet'!$B$36,N124+M125-V124)))</f>
        <v>274.3999999999993</v>
      </c>
      <c r="O125" s="14">
        <f>N125*VLOOKUP('Données projet'!$B$9,Paramètres!$A$1:$I$89,3,0)*VLOOKUP('Données projet'!$B$9,Paramètres!$A$1:$I$89,5,0)</f>
        <v>278.24159999999932</v>
      </c>
      <c r="P125" s="14">
        <f t="shared" si="87"/>
        <v>66.595272276139625</v>
      </c>
      <c r="Q125" s="22">
        <f t="shared" si="107"/>
        <v>600.59088588094198</v>
      </c>
      <c r="R125" s="62">
        <f t="shared" si="55"/>
        <v>893.92421921427535</v>
      </c>
      <c r="S125" s="62">
        <f ca="1">AVERAGE(OFFSET($R$3,0,0,'Données projet'!$E$9+1,1))-AVERAGE(OFFSET($H$3,0,0,'Données projet'!$E$9+1,1))</f>
        <v>476.25344680259701</v>
      </c>
      <c r="T125" s="62">
        <f t="shared" si="88"/>
        <v>254.25036207346591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2.6282051282051269</v>
      </c>
      <c r="AI125" s="14">
        <f>IF('Données projet'!$A$62&gt;35,AI124+AH125-AQ124,IF(A125&lt;'Données projet'!$A$62,$AF$205^A125,IF(A125='Données projet'!$A$62,'Données projet'!$B$62,AI124+AH125-AQ124)))</f>
        <v>318.07692307692247</v>
      </c>
      <c r="AJ125" s="14">
        <f>AI125*VLOOKUP('Données projet'!$B$10,Paramètres!$A$1:$I$89,3,0)*VLOOKUP('Données projet'!$B$10,Paramètres!$A$1:$I$89,5,0)</f>
        <v>332.45399999999938</v>
      </c>
      <c r="AK125" s="14">
        <f t="shared" si="89"/>
        <v>77.938864391883257</v>
      </c>
      <c r="AL125" s="22">
        <f t="shared" si="58"/>
        <v>714.76757214919553</v>
      </c>
      <c r="AM125" s="62">
        <f t="shared" si="59"/>
        <v>1008.1009054825288</v>
      </c>
      <c r="AN125" s="62">
        <f ca="1">AVERAGE(OFFSET($AM$3,0,0,'Données projet'!$E$10+1,1))-AVERAGE(OFFSET($H$3,0,0,'Données projet'!$E$10+1,1))</f>
        <v>493.70175665335978</v>
      </c>
      <c r="AO125" s="62">
        <f t="shared" si="90"/>
        <v>325.12357781685949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>
        <f>BD125*VLOOKUP('Données projet'!$B$11,Paramètres!$A$1:$I$89,3,0)*VLOOKUP('Données projet'!$B$11,Paramètres!$A$1:$I$89,5,0)</f>
        <v>0</v>
      </c>
      <c r="BF125" s="14" t="e">
        <f t="shared" si="91"/>
        <v>#NUM!</v>
      </c>
      <c r="BG125" s="22" t="e">
        <f t="shared" si="61"/>
        <v>#NUM!</v>
      </c>
      <c r="BH125" s="62" t="e">
        <f t="shared" si="62"/>
        <v>#NUM!</v>
      </c>
      <c r="BI125" s="62">
        <f ca="1">AVERAGE(OFFSET($BH$3,0,0,'Données projet'!$E$11+1,1))-AVERAGE(OFFSET($H$3,0,0,'Données projet'!$E$11+1,1))</f>
        <v>245.09257882574383</v>
      </c>
      <c r="BJ125" s="62">
        <f t="shared" si="92"/>
        <v>342.30266518164211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0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3.2</v>
      </c>
      <c r="BY125" s="13">
        <f>IF('Données projet'!$A$114&gt;35,BY124+BX125-CG124,IF(A125&lt;'Données projet'!$A$114,$BV$205^A125,IF(A125='Données projet'!$A$114,'Données projet'!$B$114,BY124+BX125-CG124)))</f>
        <v>274.3999999999993</v>
      </c>
      <c r="BZ125" s="14">
        <f>BY125*VLOOKUP('Données projet'!$B$12,Paramètres!$A$1:$I$89,3,0)*VLOOKUP('Données projet'!$B$12,Paramètres!$A$1:$I$89,5,0)</f>
        <v>248.27711999999937</v>
      </c>
      <c r="CA125" s="14">
        <f t="shared" si="93"/>
        <v>60.216863677580257</v>
      </c>
      <c r="CB125" s="22">
        <f t="shared" si="64"/>
        <v>537.29368823845118</v>
      </c>
      <c r="CC125" s="62">
        <f t="shared" si="65"/>
        <v>830.62702157178455</v>
      </c>
      <c r="CD125" s="62">
        <f ca="1">AVERAGE(OFFSET($CC$3,0,0,'Données projet'!$E$12+1,1))-AVERAGE(OFFSET($H$3,0,0,'Données projet'!$E$12+1,1))</f>
        <v>429.54141820799617</v>
      </c>
      <c r="CE125" s="62">
        <f t="shared" si="94"/>
        <v>231.36959598460686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0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0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3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3.2</v>
      </c>
      <c r="N126" s="14">
        <f>IF('Données projet'!$A$36&gt;35,N125+M126-V125,IF(A126&lt;'Données projet'!$A$36,$K$205^A126,IF(A126='Données projet'!$A$36,'Données projet'!$B$36,N125+M126-V125)))</f>
        <v>277.59999999999928</v>
      </c>
      <c r="O126" s="14">
        <f>N126*VLOOKUP('Données projet'!$B$9,Paramètres!$A$1:$I$89,3,0)*VLOOKUP('Données projet'!$B$9,Paramètres!$A$1:$I$89,5,0)</f>
        <v>281.48639999999932</v>
      </c>
      <c r="P126" s="14">
        <f t="shared" si="87"/>
        <v>67.281031071373178</v>
      </c>
      <c r="Q126" s="22">
        <f t="shared" si="107"/>
        <v>607.43660911597374</v>
      </c>
      <c r="R126" s="62">
        <f t="shared" si="55"/>
        <v>900.76994244930711</v>
      </c>
      <c r="S126" s="62">
        <f ca="1">AVERAGE(OFFSET($R$3,0,0,'Données projet'!$E$9+1,1))-AVERAGE(OFFSET($H$3,0,0,'Données projet'!$E$9+1,1))</f>
        <v>476.25344680259701</v>
      </c>
      <c r="T126" s="62">
        <f t="shared" si="88"/>
        <v>254.25036207346591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2.6282051282051269</v>
      </c>
      <c r="AI126" s="14">
        <f>IF('Données projet'!$A$62&gt;35,AI125+AH126-AQ125,IF(A126&lt;'Données projet'!$A$62,$AF$205^A126,IF(A126='Données projet'!$A$62,'Données projet'!$B$62,AI125+AH126-AQ125)))</f>
        <v>320.70512820512761</v>
      </c>
      <c r="AJ126" s="14">
        <f>AI126*VLOOKUP('Données projet'!$B$10,Paramètres!$A$1:$I$89,3,0)*VLOOKUP('Données projet'!$B$10,Paramètres!$A$1:$I$89,5,0)</f>
        <v>335.2009999999994</v>
      </c>
      <c r="AK126" s="14">
        <f t="shared" si="89"/>
        <v>78.507623830791573</v>
      </c>
      <c r="AL126" s="22">
        <f t="shared" si="58"/>
        <v>720.54251983862753</v>
      </c>
      <c r="AM126" s="62">
        <f t="shared" si="59"/>
        <v>1013.8758531719609</v>
      </c>
      <c r="AN126" s="62">
        <f ca="1">AVERAGE(OFFSET($AM$3,0,0,'Données projet'!$E$10+1,1))-AVERAGE(OFFSET($H$3,0,0,'Données projet'!$E$10+1,1))</f>
        <v>493.70175665335978</v>
      </c>
      <c r="AO126" s="62">
        <f t="shared" si="90"/>
        <v>325.12357781685949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>
        <f>BD126*VLOOKUP('Données projet'!$B$11,Paramètres!$A$1:$I$89,3,0)*VLOOKUP('Données projet'!$B$11,Paramètres!$A$1:$I$89,5,0)</f>
        <v>0</v>
      </c>
      <c r="BF126" s="14" t="e">
        <f t="shared" si="91"/>
        <v>#NUM!</v>
      </c>
      <c r="BG126" s="22" t="e">
        <f t="shared" si="61"/>
        <v>#NUM!</v>
      </c>
      <c r="BH126" s="62" t="e">
        <f t="shared" si="62"/>
        <v>#NUM!</v>
      </c>
      <c r="BI126" s="62">
        <f ca="1">AVERAGE(OFFSET($BH$3,0,0,'Données projet'!$E$11+1,1))-AVERAGE(OFFSET($H$3,0,0,'Données projet'!$E$11+1,1))</f>
        <v>245.09257882574383</v>
      </c>
      <c r="BJ126" s="62">
        <f t="shared" si="92"/>
        <v>342.30266518164211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0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3.2</v>
      </c>
      <c r="BY126" s="13">
        <f>IF('Données projet'!$A$114&gt;35,BY125+BX126-CG125,IF(A126&lt;'Données projet'!$A$114,$BV$205^A126,IF(A126='Données projet'!$A$114,'Données projet'!$B$114,BY125+BX126-CG125)))</f>
        <v>277.59999999999928</v>
      </c>
      <c r="BZ126" s="14">
        <f>BY126*VLOOKUP('Données projet'!$B$12,Paramètres!$A$1:$I$89,3,0)*VLOOKUP('Données projet'!$B$12,Paramètres!$A$1:$I$89,5,0)</f>
        <v>251.17247999999935</v>
      </c>
      <c r="CA126" s="14">
        <f t="shared" si="93"/>
        <v>60.836941386956575</v>
      </c>
      <c r="CB126" s="22">
        <f t="shared" si="64"/>
        <v>543.41640891561485</v>
      </c>
      <c r="CC126" s="62">
        <f t="shared" si="65"/>
        <v>836.74974224894822</v>
      </c>
      <c r="CD126" s="62">
        <f ca="1">AVERAGE(OFFSET($CC$3,0,0,'Données projet'!$E$12+1,1))-AVERAGE(OFFSET($H$3,0,0,'Données projet'!$E$12+1,1))</f>
        <v>429.54141820799617</v>
      </c>
      <c r="CE126" s="62">
        <f t="shared" si="94"/>
        <v>231.36959598460686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0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0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3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3.2</v>
      </c>
      <c r="N127" s="14">
        <f>IF('Données projet'!$A$36&gt;35,N126+M127-V126,IF(A127&lt;'Données projet'!$A$36,$K$205^A127,IF(A127='Données projet'!$A$36,'Données projet'!$B$36,N126+M127-V126)))</f>
        <v>280.79999999999927</v>
      </c>
      <c r="O127" s="14">
        <f>N127*VLOOKUP('Données projet'!$B$9,Paramètres!$A$1:$I$89,3,0)*VLOOKUP('Données projet'!$B$9,Paramètres!$A$1:$I$89,5,0)</f>
        <v>284.73119999999926</v>
      </c>
      <c r="P127" s="14">
        <f t="shared" si="87"/>
        <v>67.965870320050826</v>
      </c>
      <c r="Q127" s="22">
        <f t="shared" si="107"/>
        <v>614.28073080742058</v>
      </c>
      <c r="R127" s="62">
        <f t="shared" si="55"/>
        <v>907.61406414075395</v>
      </c>
      <c r="S127" s="62">
        <f ca="1">AVERAGE(OFFSET($R$3,0,0,'Données projet'!$E$9+1,1))-AVERAGE(OFFSET($H$3,0,0,'Données projet'!$E$9+1,1))</f>
        <v>476.25344680259701</v>
      </c>
      <c r="T127" s="62">
        <f t="shared" si="88"/>
        <v>254.25036207346591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2.6282051282051269</v>
      </c>
      <c r="AI127" s="14">
        <f>IF('Données projet'!$A$62&gt;35,AI126+AH127-AQ126,IF(A127&lt;'Données projet'!$A$62,$AF$205^A127,IF(A127='Données projet'!$A$62,'Données projet'!$B$62,AI126+AH127-AQ126)))</f>
        <v>323.33333333333275</v>
      </c>
      <c r="AJ127" s="14">
        <f>AI127*VLOOKUP('Données projet'!$B$10,Paramètres!$A$1:$I$89,3,0)*VLOOKUP('Données projet'!$B$10,Paramètres!$A$1:$I$89,5,0)</f>
        <v>337.94799999999941</v>
      </c>
      <c r="AK127" s="14">
        <f t="shared" si="89"/>
        <v>79.075840977982864</v>
      </c>
      <c r="AL127" s="22">
        <f t="shared" si="58"/>
        <v>726.31652303665248</v>
      </c>
      <c r="AM127" s="62">
        <f t="shared" si="59"/>
        <v>1019.6498563699859</v>
      </c>
      <c r="AN127" s="62">
        <f ca="1">AVERAGE(OFFSET($AM$3,0,0,'Données projet'!$E$10+1,1))-AVERAGE(OFFSET($H$3,0,0,'Données projet'!$E$10+1,1))</f>
        <v>493.70175665335978</v>
      </c>
      <c r="AO127" s="62">
        <f t="shared" si="90"/>
        <v>325.12357781685949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>
        <f>BD127*VLOOKUP('Données projet'!$B$11,Paramètres!$A$1:$I$89,3,0)*VLOOKUP('Données projet'!$B$11,Paramètres!$A$1:$I$89,5,0)</f>
        <v>0</v>
      </c>
      <c r="BF127" s="14" t="e">
        <f t="shared" si="91"/>
        <v>#NUM!</v>
      </c>
      <c r="BG127" s="22" t="e">
        <f t="shared" si="61"/>
        <v>#NUM!</v>
      </c>
      <c r="BH127" s="62" t="e">
        <f t="shared" si="62"/>
        <v>#NUM!</v>
      </c>
      <c r="BI127" s="62">
        <f ca="1">AVERAGE(OFFSET($BH$3,0,0,'Données projet'!$E$11+1,1))-AVERAGE(OFFSET($H$3,0,0,'Données projet'!$E$11+1,1))</f>
        <v>245.09257882574383</v>
      </c>
      <c r="BJ127" s="62">
        <f t="shared" si="92"/>
        <v>342.30266518164211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0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3.2</v>
      </c>
      <c r="BY127" s="13">
        <f>IF('Données projet'!$A$114&gt;35,BY126+BX127-CG126,IF(A127&lt;'Données projet'!$A$114,$BV$205^A127,IF(A127='Données projet'!$A$114,'Données projet'!$B$114,BY126+BX127-CG126)))</f>
        <v>280.79999999999927</v>
      </c>
      <c r="BZ127" s="14">
        <f>BY127*VLOOKUP('Données projet'!$B$12,Paramètres!$A$1:$I$89,3,0)*VLOOKUP('Données projet'!$B$12,Paramètres!$A$1:$I$89,5,0)</f>
        <v>254.06783999999936</v>
      </c>
      <c r="CA127" s="14">
        <f t="shared" si="93"/>
        <v>61.456187622750612</v>
      </c>
      <c r="CB127" s="22">
        <f t="shared" si="64"/>
        <v>549.53768144295623</v>
      </c>
      <c r="CC127" s="62">
        <f t="shared" si="65"/>
        <v>842.87101477628948</v>
      </c>
      <c r="CD127" s="62">
        <f ca="1">AVERAGE(OFFSET($CC$3,0,0,'Données projet'!$E$12+1,1))-AVERAGE(OFFSET($H$3,0,0,'Données projet'!$E$12+1,1))</f>
        <v>429.54141820799617</v>
      </c>
      <c r="CE127" s="62">
        <f t="shared" si="94"/>
        <v>231.36959598460686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0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0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3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3.2</v>
      </c>
      <c r="N128" s="14">
        <f>IF('Données projet'!$A$36&gt;35,N127+M128-V127,IF(A128&lt;'Données projet'!$A$36,$K$205^A128,IF(A128='Données projet'!$A$36,'Données projet'!$B$36,N127+M128-V127)))</f>
        <v>283.99999999999926</v>
      </c>
      <c r="O128" s="14">
        <f>N128*VLOOKUP('Données projet'!$B$9,Paramètres!$A$1:$I$89,3,0)*VLOOKUP('Données projet'!$B$9,Paramètres!$A$1:$I$89,5,0)</f>
        <v>287.97599999999932</v>
      </c>
      <c r="P128" s="14">
        <f t="shared" si="87"/>
        <v>68.649801713862956</v>
      </c>
      <c r="Q128" s="22">
        <f t="shared" si="107"/>
        <v>621.12327131831023</v>
      </c>
      <c r="R128" s="62">
        <f t="shared" si="55"/>
        <v>914.4566046516436</v>
      </c>
      <c r="S128" s="62">
        <f ca="1">AVERAGE(OFFSET($R$3,0,0,'Données projet'!$E$9+1,1))-AVERAGE(OFFSET($H$3,0,0,'Données projet'!$E$9+1,1))</f>
        <v>476.25344680259701</v>
      </c>
      <c r="T128" s="62">
        <f t="shared" si="88"/>
        <v>254.25036207346591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2.6282051282051269</v>
      </c>
      <c r="AI128" s="14">
        <f>IF('Données projet'!$A$62&gt;35,AI127+AH128-AQ127,IF(A128&lt;'Données projet'!$A$62,$AF$205^A128,IF(A128='Données projet'!$A$62,'Données projet'!$B$62,AI127+AH128-AQ127)))</f>
        <v>325.96153846153788</v>
      </c>
      <c r="AJ128" s="14">
        <f>AI128*VLOOKUP('Données projet'!$B$10,Paramètres!$A$1:$I$89,3,0)*VLOOKUP('Données projet'!$B$10,Paramètres!$A$1:$I$89,5,0)</f>
        <v>340.69499999999942</v>
      </c>
      <c r="AK128" s="14">
        <f t="shared" si="89"/>
        <v>79.643520752331625</v>
      </c>
      <c r="AL128" s="22">
        <f t="shared" si="58"/>
        <v>732.08959031030997</v>
      </c>
      <c r="AM128" s="62">
        <f t="shared" si="59"/>
        <v>1025.4229236436433</v>
      </c>
      <c r="AN128" s="62">
        <f ca="1">AVERAGE(OFFSET($AM$3,0,0,'Données projet'!$E$10+1,1))-AVERAGE(OFFSET($H$3,0,0,'Données projet'!$E$10+1,1))</f>
        <v>493.70175665335978</v>
      </c>
      <c r="AO128" s="62">
        <f t="shared" si="90"/>
        <v>325.12357781685949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>
        <f>BD128*VLOOKUP('Données projet'!$B$11,Paramètres!$A$1:$I$89,3,0)*VLOOKUP('Données projet'!$B$11,Paramètres!$A$1:$I$89,5,0)</f>
        <v>0</v>
      </c>
      <c r="BF128" s="14" t="e">
        <f t="shared" si="91"/>
        <v>#NUM!</v>
      </c>
      <c r="BG128" s="22" t="e">
        <f t="shared" si="61"/>
        <v>#NUM!</v>
      </c>
      <c r="BH128" s="62" t="e">
        <f t="shared" si="62"/>
        <v>#NUM!</v>
      </c>
      <c r="BI128" s="62">
        <f ca="1">AVERAGE(OFFSET($BH$3,0,0,'Données projet'!$E$11+1,1))-AVERAGE(OFFSET($H$3,0,0,'Données projet'!$E$11+1,1))</f>
        <v>245.09257882574383</v>
      </c>
      <c r="BJ128" s="62">
        <f t="shared" si="92"/>
        <v>342.30266518164211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0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3.2</v>
      </c>
      <c r="BY128" s="13">
        <f>IF('Données projet'!$A$114&gt;35,BY127+BX128-CG127,IF(A128&lt;'Données projet'!$A$114,$BV$205^A128,IF(A128='Données projet'!$A$114,'Données projet'!$B$114,BY127+BX128-CG127)))</f>
        <v>283.99999999999926</v>
      </c>
      <c r="BZ128" s="14">
        <f>BY128*VLOOKUP('Données projet'!$B$12,Paramètres!$A$1:$I$89,3,0)*VLOOKUP('Données projet'!$B$12,Paramètres!$A$1:$I$89,5,0)</f>
        <v>256.96319999999935</v>
      </c>
      <c r="CA128" s="14">
        <f t="shared" si="93"/>
        <v>62.074612956837854</v>
      </c>
      <c r="CB128" s="22">
        <f t="shared" si="64"/>
        <v>555.65752423315814</v>
      </c>
      <c r="CC128" s="62">
        <f t="shared" si="65"/>
        <v>848.99085756649151</v>
      </c>
      <c r="CD128" s="62">
        <f ca="1">AVERAGE(OFFSET($CC$3,0,0,'Données projet'!$E$12+1,1))-AVERAGE(OFFSET($H$3,0,0,'Données projet'!$E$12+1,1))</f>
        <v>429.54141820799617</v>
      </c>
      <c r="CE128" s="62">
        <f t="shared" si="94"/>
        <v>231.36959598460686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0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0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3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3.2</v>
      </c>
      <c r="N129" s="14">
        <f>IF('Données projet'!$A$36&gt;35,N128+M129-V128,IF(A129&lt;'Données projet'!$A$36,$K$205^A129,IF(A129='Données projet'!$A$36,'Données projet'!$B$36,N128+M129-V128)))</f>
        <v>287.19999999999925</v>
      </c>
      <c r="O129" s="14">
        <f>N129*VLOOKUP('Données projet'!$B$9,Paramètres!$A$1:$I$89,3,0)*VLOOKUP('Données projet'!$B$9,Paramètres!$A$1:$I$89,5,0)</f>
        <v>291.22079999999926</v>
      </c>
      <c r="P129" s="14">
        <f t="shared" si="87"/>
        <v>69.33283666585649</v>
      </c>
      <c r="Q129" s="22">
        <f t="shared" si="107"/>
        <v>627.96425052636539</v>
      </c>
      <c r="R129" s="62">
        <f t="shared" si="55"/>
        <v>921.29758385969876</v>
      </c>
      <c r="S129" s="62">
        <f ca="1">AVERAGE(OFFSET($R$3,0,0,'Données projet'!$E$9+1,1))-AVERAGE(OFFSET($H$3,0,0,'Données projet'!$E$9+1,1))</f>
        <v>476.25344680259701</v>
      </c>
      <c r="T129" s="62">
        <f t="shared" si="88"/>
        <v>254.25036207346591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2.6282051282051269</v>
      </c>
      <c r="AI129" s="14">
        <f>IF('Données projet'!$A$62&gt;35,AI128+AH129-AQ128,IF(A129&lt;'Données projet'!$A$62,$AF$205^A129,IF(A129='Données projet'!$A$62,'Données projet'!$B$62,AI128+AH129-AQ128)))</f>
        <v>328.58974358974302</v>
      </c>
      <c r="AJ129" s="14">
        <f>AI129*VLOOKUP('Données projet'!$B$10,Paramètres!$A$1:$I$89,3,0)*VLOOKUP('Données projet'!$B$10,Paramètres!$A$1:$I$89,5,0)</f>
        <v>343.44199999999944</v>
      </c>
      <c r="AK129" s="14">
        <f t="shared" si="89"/>
        <v>80.210667988811437</v>
      </c>
      <c r="AL129" s="22">
        <f t="shared" si="58"/>
        <v>737.86173008051219</v>
      </c>
      <c r="AM129" s="62">
        <f t="shared" si="59"/>
        <v>1031.1950634138454</v>
      </c>
      <c r="AN129" s="62">
        <f ca="1">AVERAGE(OFFSET($AM$3,0,0,'Données projet'!$E$10+1,1))-AVERAGE(OFFSET($H$3,0,0,'Données projet'!$E$10+1,1))</f>
        <v>493.70175665335978</v>
      </c>
      <c r="AO129" s="62">
        <f t="shared" si="90"/>
        <v>325.12357781685949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>
        <f>BD129*VLOOKUP('Données projet'!$B$11,Paramètres!$A$1:$I$89,3,0)*VLOOKUP('Données projet'!$B$11,Paramètres!$A$1:$I$89,5,0)</f>
        <v>0</v>
      </c>
      <c r="BF129" s="14" t="e">
        <f t="shared" si="91"/>
        <v>#NUM!</v>
      </c>
      <c r="BG129" s="22" t="e">
        <f t="shared" si="61"/>
        <v>#NUM!</v>
      </c>
      <c r="BH129" s="62" t="e">
        <f t="shared" si="62"/>
        <v>#NUM!</v>
      </c>
      <c r="BI129" s="62">
        <f ca="1">AVERAGE(OFFSET($BH$3,0,0,'Données projet'!$E$11+1,1))-AVERAGE(OFFSET($H$3,0,0,'Données projet'!$E$11+1,1))</f>
        <v>245.09257882574383</v>
      </c>
      <c r="BJ129" s="62">
        <f t="shared" si="92"/>
        <v>342.30266518164211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0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3.2</v>
      </c>
      <c r="BY129" s="13">
        <f>IF('Données projet'!$A$114&gt;35,BY128+BX129-CG128,IF(A129&lt;'Données projet'!$A$114,$BV$205^A129,IF(A129='Données projet'!$A$114,'Données projet'!$B$114,BY128+BX129-CG128)))</f>
        <v>287.19999999999925</v>
      </c>
      <c r="BZ129" s="14">
        <f>BY129*VLOOKUP('Données projet'!$B$12,Paramètres!$A$1:$I$89,3,0)*VLOOKUP('Données projet'!$B$12,Paramètres!$A$1:$I$89,5,0)</f>
        <v>259.85855999999933</v>
      </c>
      <c r="CA129" s="14">
        <f t="shared" si="93"/>
        <v>62.692227709138365</v>
      </c>
      <c r="CB129" s="22">
        <f t="shared" si="64"/>
        <v>561.77595526008145</v>
      </c>
      <c r="CC129" s="62">
        <f t="shared" si="65"/>
        <v>855.1092885934147</v>
      </c>
      <c r="CD129" s="62">
        <f ca="1">AVERAGE(OFFSET($CC$3,0,0,'Données projet'!$E$12+1,1))-AVERAGE(OFFSET($H$3,0,0,'Données projet'!$E$12+1,1))</f>
        <v>429.54141820799617</v>
      </c>
      <c r="CE129" s="62">
        <f t="shared" si="94"/>
        <v>231.36959598460686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0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0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3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3.2</v>
      </c>
      <c r="N130" s="14">
        <f>IF('Données projet'!$A$36&gt;35,N129+M130-V129,IF(A130&lt;'Données projet'!$A$36,$K$205^A130,IF(A130='Données projet'!$A$36,'Données projet'!$B$36,N129+M130-V129)))</f>
        <v>290.39999999999924</v>
      </c>
      <c r="O130" s="14">
        <f>N130*VLOOKUP('Données projet'!$B$9,Paramètres!$A$1:$I$89,3,0)*VLOOKUP('Données projet'!$B$9,Paramètres!$A$1:$I$89,5,0)</f>
        <v>294.46559999999926</v>
      </c>
      <c r="P130" s="14">
        <f t="shared" si="87"/>
        <v>70.0149863201041</v>
      </c>
      <c r="Q130" s="22">
        <f t="shared" si="107"/>
        <v>634.80368784084669</v>
      </c>
      <c r="R130" s="62">
        <f t="shared" si="55"/>
        <v>928.13702117418006</v>
      </c>
      <c r="S130" s="62">
        <f ca="1">AVERAGE(OFFSET($R$3,0,0,'Données projet'!$E$9+1,1))-AVERAGE(OFFSET($H$3,0,0,'Données projet'!$E$9+1,1))</f>
        <v>476.25344680259701</v>
      </c>
      <c r="T130" s="62">
        <f t="shared" si="88"/>
        <v>254.25036207346591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2.6282051282051269</v>
      </c>
      <c r="AI130" s="14">
        <f>IF('Données projet'!$A$62&gt;35,AI129+AH130-AQ129,IF(A130&lt;'Données projet'!$A$62,$AF$205^A130,IF(A130='Données projet'!$A$62,'Données projet'!$B$62,AI129+AH130-AQ129)))</f>
        <v>331.21794871794816</v>
      </c>
      <c r="AJ130" s="14">
        <f>AI130*VLOOKUP('Données projet'!$B$10,Paramètres!$A$1:$I$89,3,0)*VLOOKUP('Données projet'!$B$10,Paramètres!$A$1:$I$89,5,0)</f>
        <v>346.18899999999945</v>
      </c>
      <c r="AK130" s="14">
        <f t="shared" si="89"/>
        <v>80.77728744058544</v>
      </c>
      <c r="AL130" s="22">
        <f t="shared" si="58"/>
        <v>743.63295062568523</v>
      </c>
      <c r="AM130" s="62">
        <f t="shared" si="59"/>
        <v>1036.9662839590185</v>
      </c>
      <c r="AN130" s="62">
        <f ca="1">AVERAGE(OFFSET($AM$3,0,0,'Données projet'!$E$10+1,1))-AVERAGE(OFFSET($H$3,0,0,'Données projet'!$E$10+1,1))</f>
        <v>493.70175665335978</v>
      </c>
      <c r="AO130" s="62">
        <f t="shared" si="90"/>
        <v>325.12357781685949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>
        <f>BD130*VLOOKUP('Données projet'!$B$11,Paramètres!$A$1:$I$89,3,0)*VLOOKUP('Données projet'!$B$11,Paramètres!$A$1:$I$89,5,0)</f>
        <v>0</v>
      </c>
      <c r="BF130" s="14" t="e">
        <f t="shared" si="91"/>
        <v>#NUM!</v>
      </c>
      <c r="BG130" s="22" t="e">
        <f t="shared" si="61"/>
        <v>#NUM!</v>
      </c>
      <c r="BH130" s="62" t="e">
        <f t="shared" si="62"/>
        <v>#NUM!</v>
      </c>
      <c r="BI130" s="62">
        <f ca="1">AVERAGE(OFFSET($BH$3,0,0,'Données projet'!$E$11+1,1))-AVERAGE(OFFSET($H$3,0,0,'Données projet'!$E$11+1,1))</f>
        <v>245.09257882574383</v>
      </c>
      <c r="BJ130" s="62">
        <f t="shared" si="92"/>
        <v>342.30266518164211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0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3.2</v>
      </c>
      <c r="BY130" s="13">
        <f>IF('Données projet'!$A$114&gt;35,BY129+BX130-CG129,IF(A130&lt;'Données projet'!$A$114,$BV$205^A130,IF(A130='Données projet'!$A$114,'Données projet'!$B$114,BY129+BX130-CG129)))</f>
        <v>290.39999999999924</v>
      </c>
      <c r="BZ130" s="14">
        <f>BY130*VLOOKUP('Données projet'!$B$12,Paramètres!$A$1:$I$89,3,0)*VLOOKUP('Données projet'!$B$12,Paramètres!$A$1:$I$89,5,0)</f>
        <v>262.75391999999925</v>
      </c>
      <c r="CA130" s="14">
        <f t="shared" si="93"/>
        <v>63.309041956360154</v>
      </c>
      <c r="CB130" s="22">
        <f t="shared" si="64"/>
        <v>567.89299207399256</v>
      </c>
      <c r="CC130" s="62">
        <f t="shared" si="65"/>
        <v>861.22632540732593</v>
      </c>
      <c r="CD130" s="62">
        <f ca="1">AVERAGE(OFFSET($CC$3,0,0,'Données projet'!$E$12+1,1))-AVERAGE(OFFSET($H$3,0,0,'Données projet'!$E$12+1,1))</f>
        <v>429.54141820799617</v>
      </c>
      <c r="CE130" s="62">
        <f t="shared" si="94"/>
        <v>231.36959598460686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0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0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3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3.2</v>
      </c>
      <c r="N131" s="14">
        <f>IF('Données projet'!$A$36&gt;35,N130+M131-V130,IF(A131&lt;'Données projet'!$A$36,$K$205^A131,IF(A131='Données projet'!$A$36,'Données projet'!$B$36,N130+M131-V130)))</f>
        <v>293.59999999999923</v>
      </c>
      <c r="O131" s="14">
        <f>N131*VLOOKUP('Données projet'!$B$9,Paramètres!$A$1:$I$89,3,0)*VLOOKUP('Données projet'!$B$9,Paramètres!$A$1:$I$89,5,0)</f>
        <v>297.7103999999992</v>
      </c>
      <c r="P131" s="14">
        <f t="shared" si="87"/>
        <v>70.696261560936534</v>
      </c>
      <c r="Q131" s="22">
        <f t="shared" ref="Q131:Q153" si="108">(O131+P131)*0.475*44/12</f>
        <v>641.64160221862971</v>
      </c>
      <c r="R131" s="62">
        <f t="shared" ref="R131:R194" si="109">Q131+(I131+J131)*44/12</f>
        <v>934.97493555196297</v>
      </c>
      <c r="S131" s="62">
        <f ca="1">AVERAGE(OFFSET($R$3,0,0,'Données projet'!$E$9+1,1))-AVERAGE(OFFSET($H$3,0,0,'Données projet'!$E$9+1,1))</f>
        <v>476.25344680259701</v>
      </c>
      <c r="T131" s="62">
        <f t="shared" si="88"/>
        <v>254.25036207346591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2.6282051282051269</v>
      </c>
      <c r="AI131" s="14">
        <f>IF('Données projet'!$A$62&gt;35,AI130+AH131-AQ130,IF(A131&lt;'Données projet'!$A$62,$AF$205^A131,IF(A131='Données projet'!$A$62,'Données projet'!$B$62,AI130+AH131-AQ130)))</f>
        <v>333.8461538461533</v>
      </c>
      <c r="AJ131" s="14">
        <f>AI131*VLOOKUP('Données projet'!$B$10,Paramètres!$A$1:$I$89,3,0)*VLOOKUP('Données projet'!$B$10,Paramètres!$A$1:$I$89,5,0)</f>
        <v>348.93599999999947</v>
      </c>
      <c r="AK131" s="14">
        <f t="shared" si="89"/>
        <v>81.343383781028564</v>
      </c>
      <c r="AL131" s="22">
        <f t="shared" si="58"/>
        <v>749.40326008529053</v>
      </c>
      <c r="AM131" s="62">
        <f t="shared" si="59"/>
        <v>1042.7365934186239</v>
      </c>
      <c r="AN131" s="62">
        <f ca="1">AVERAGE(OFFSET($AM$3,0,0,'Données projet'!$E$10+1,1))-AVERAGE(OFFSET($H$3,0,0,'Données projet'!$E$10+1,1))</f>
        <v>493.70175665335978</v>
      </c>
      <c r="AO131" s="62">
        <f t="shared" si="90"/>
        <v>325.12357781685949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>
        <f>BD131*VLOOKUP('Données projet'!$B$11,Paramètres!$A$1:$I$89,3,0)*VLOOKUP('Données projet'!$B$11,Paramètres!$A$1:$I$89,5,0)</f>
        <v>0</v>
      </c>
      <c r="BF131" s="14" t="e">
        <f t="shared" si="91"/>
        <v>#NUM!</v>
      </c>
      <c r="BG131" s="22" t="e">
        <f t="shared" si="61"/>
        <v>#NUM!</v>
      </c>
      <c r="BH131" s="62" t="e">
        <f t="shared" si="62"/>
        <v>#NUM!</v>
      </c>
      <c r="BI131" s="62">
        <f ca="1">AVERAGE(OFFSET($BH$3,0,0,'Données projet'!$E$11+1,1))-AVERAGE(OFFSET($H$3,0,0,'Données projet'!$E$11+1,1))</f>
        <v>245.09257882574383</v>
      </c>
      <c r="BJ131" s="62">
        <f t="shared" si="92"/>
        <v>342.30266518164211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0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3.2</v>
      </c>
      <c r="BY131" s="13">
        <f>IF('Données projet'!$A$114&gt;35,BY130+BX131-CG130,IF(A131&lt;'Données projet'!$A$114,$BV$205^A131,IF(A131='Données projet'!$A$114,'Données projet'!$B$114,BY130+BX131-CG130)))</f>
        <v>293.59999999999923</v>
      </c>
      <c r="BZ131" s="14">
        <f>BY131*VLOOKUP('Données projet'!$B$12,Paramètres!$A$1:$I$89,3,0)*VLOOKUP('Données projet'!$B$12,Paramètres!$A$1:$I$89,5,0)</f>
        <v>265.64927999999929</v>
      </c>
      <c r="CA131" s="14">
        <f t="shared" si="93"/>
        <v>63.925065540346907</v>
      </c>
      <c r="CB131" s="22">
        <f t="shared" si="64"/>
        <v>574.008651816103</v>
      </c>
      <c r="CC131" s="62">
        <f t="shared" si="65"/>
        <v>867.34198514943637</v>
      </c>
      <c r="CD131" s="62">
        <f ca="1">AVERAGE(OFFSET($CC$3,0,0,'Données projet'!$E$12+1,1))-AVERAGE(OFFSET($H$3,0,0,'Données projet'!$E$12+1,1))</f>
        <v>429.54141820799617</v>
      </c>
      <c r="CE131" s="62">
        <f t="shared" si="94"/>
        <v>231.36959598460686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0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0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3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3.2</v>
      </c>
      <c r="N132" s="14">
        <f>IF('Données projet'!$A$36&gt;35,N131+M132-V131,IF(A132&lt;'Données projet'!$A$36,$K$205^A132,IF(A132='Données projet'!$A$36,'Données projet'!$B$36,N131+M132-V131)))</f>
        <v>296.79999999999922</v>
      </c>
      <c r="O132" s="14">
        <f>N132*VLOOKUP('Données projet'!$B$9,Paramètres!$A$1:$I$89,3,0)*VLOOKUP('Données projet'!$B$9,Paramètres!$A$1:$I$89,5,0)</f>
        <v>300.95519999999925</v>
      </c>
      <c r="P132" s="14">
        <f t="shared" si="87"/>
        <v>71.376673021759657</v>
      </c>
      <c r="Q132" s="22">
        <f t="shared" si="108"/>
        <v>648.47801217956339</v>
      </c>
      <c r="R132" s="62">
        <f t="shared" si="109"/>
        <v>941.81134551289665</v>
      </c>
      <c r="S132" s="62">
        <f ca="1">AVERAGE(OFFSET($R$3,0,0,'Données projet'!$E$9+1,1))-AVERAGE(OFFSET($H$3,0,0,'Données projet'!$E$9+1,1))</f>
        <v>476.25344680259701</v>
      </c>
      <c r="T132" s="62">
        <f t="shared" si="88"/>
        <v>254.25036207346591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2.6282051282051269</v>
      </c>
      <c r="AI132" s="14">
        <f>IF('Données projet'!$A$62&gt;35,AI131+AH132-AQ131,IF(A132&lt;'Données projet'!$A$62,$AF$205^A132,IF(A132='Données projet'!$A$62,'Données projet'!$B$62,AI131+AH132-AQ131)))</f>
        <v>336.47435897435844</v>
      </c>
      <c r="AJ132" s="14">
        <f>AI132*VLOOKUP('Données projet'!$B$10,Paramètres!$A$1:$I$89,3,0)*VLOOKUP('Données projet'!$B$10,Paramètres!$A$1:$I$89,5,0)</f>
        <v>351.68299999999948</v>
      </c>
      <c r="AK132" s="14">
        <f t="shared" si="89"/>
        <v>81.908961605684084</v>
      </c>
      <c r="AL132" s="22">
        <f t="shared" ref="AL132:AL153" si="112">(AJ132+AK132)*0.475*44/12</f>
        <v>755.17266646323208</v>
      </c>
      <c r="AM132" s="62">
        <f t="shared" ref="AM132:AM195" si="113">AL132+(AD132+AE132)*44/12</f>
        <v>1048.5059997965654</v>
      </c>
      <c r="AN132" s="62">
        <f ca="1">AVERAGE(OFFSET($AM$3,0,0,'Données projet'!$E$10+1,1))-AVERAGE(OFFSET($H$3,0,0,'Données projet'!$E$10+1,1))</f>
        <v>493.70175665335978</v>
      </c>
      <c r="AO132" s="62">
        <f t="shared" si="90"/>
        <v>325.12357781685949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>
        <f>BD132*VLOOKUP('Données projet'!$B$11,Paramètres!$A$1:$I$89,3,0)*VLOOKUP('Données projet'!$B$11,Paramètres!$A$1:$I$89,5,0)</f>
        <v>0</v>
      </c>
      <c r="BF132" s="14" t="e">
        <f t="shared" si="91"/>
        <v>#NUM!</v>
      </c>
      <c r="BG132" s="22" t="e">
        <f t="shared" ref="BG132:BG153" si="115">(BE132+BF132)*0.475*44/12</f>
        <v>#NUM!</v>
      </c>
      <c r="BH132" s="62" t="e">
        <f t="shared" ref="BH132:BH195" si="116">BG132+(AY132+AZ132)*44/12</f>
        <v>#NUM!</v>
      </c>
      <c r="BI132" s="62">
        <f ca="1">AVERAGE(OFFSET($BH$3,0,0,'Données projet'!$E$11+1,1))-AVERAGE(OFFSET($H$3,0,0,'Données projet'!$E$11+1,1))</f>
        <v>245.09257882574383</v>
      </c>
      <c r="BJ132" s="62">
        <f t="shared" si="92"/>
        <v>342.30266518164211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0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3.2</v>
      </c>
      <c r="BY132" s="13">
        <f>IF('Données projet'!$A$114&gt;35,BY131+BX132-CG131,IF(A132&lt;'Données projet'!$A$114,$BV$205^A132,IF(A132='Données projet'!$A$114,'Données projet'!$B$114,BY131+BX132-CG131)))</f>
        <v>296.79999999999922</v>
      </c>
      <c r="BZ132" s="14">
        <f>BY132*VLOOKUP('Données projet'!$B$12,Paramètres!$A$1:$I$89,3,0)*VLOOKUP('Données projet'!$B$12,Paramètres!$A$1:$I$89,5,0)</f>
        <v>268.54463999999928</v>
      </c>
      <c r="CA132" s="14">
        <f t="shared" si="93"/>
        <v>64.540308076050536</v>
      </c>
      <c r="CB132" s="22">
        <f t="shared" ref="CB132:CB153" si="118">(BZ132+CA132)*0.475*44/12</f>
        <v>580.12295123245337</v>
      </c>
      <c r="CC132" s="62">
        <f t="shared" ref="CC132:CC195" si="119">CB132+(BT132+BU132)*44/12</f>
        <v>873.45628456578675</v>
      </c>
      <c r="CD132" s="62">
        <f ca="1">AVERAGE(OFFSET($CC$3,0,0,'Données projet'!$E$12+1,1))-AVERAGE(OFFSET($H$3,0,0,'Données projet'!$E$12+1,1))</f>
        <v>429.54141820799617</v>
      </c>
      <c r="CE132" s="62">
        <f t="shared" si="94"/>
        <v>231.36959598460686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0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0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3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>
        <f>VLOOKUP(A133,'Données projet'!$A$35:$I$55,2,0)</f>
        <v>300</v>
      </c>
      <c r="L133" s="13">
        <f>VLOOKUP(A133,'Données projet'!$A$35:$I$55,9,0)</f>
        <v>3.2</v>
      </c>
      <c r="M133" s="13">
        <f t="array" ref="M133">INDEX(L:L,MIN(IF(ISNUMBER(L133:L329),ROW(L133:L329),"")))</f>
        <v>3.2</v>
      </c>
      <c r="N133" s="14">
        <f>IF('Données projet'!$A$36&gt;35,N132+M133-V132,IF(A133&lt;'Données projet'!$A$36,$K$205^A133,IF(A133='Données projet'!$A$36,'Données projet'!$B$36,N132+M133-V132)))</f>
        <v>299.9999999999992</v>
      </c>
      <c r="O133" s="14">
        <f>N133*VLOOKUP('Données projet'!$B$9,Paramètres!$A$1:$I$89,3,0)*VLOOKUP('Données projet'!$B$9,Paramètres!$A$1:$I$89,5,0)</f>
        <v>304.19999999999919</v>
      </c>
      <c r="P133" s="14">
        <f t="shared" ref="P133:P196" si="141">EXP(-1.0587+0.8836*LN(O133)+0.284)</f>
        <v>72.056231093480875</v>
      </c>
      <c r="Q133" s="22">
        <f t="shared" si="108"/>
        <v>655.31293582114449</v>
      </c>
      <c r="R133" s="62">
        <f t="shared" si="109"/>
        <v>948.64626915447775</v>
      </c>
      <c r="S133" s="62">
        <f ca="1">AVERAGE(OFFSET($R$3,0,0,'Données projet'!$E$9+1,1))-AVERAGE(OFFSET($H$3,0,0,'Données projet'!$E$9+1,1))</f>
        <v>476.25344680259701</v>
      </c>
      <c r="T133" s="62">
        <f t="shared" ref="T133:T196" si="142">$T$3</f>
        <v>254.25036207346591</v>
      </c>
      <c r="U133" s="16">
        <f>IF(ISNA(VLOOKUP(A133,'Données projet'!$A$35:$I$55,3,0)),0,VLOOKUP(A133,'Données projet'!$A$35:$I$55,3,0))</f>
        <v>11</v>
      </c>
      <c r="V133" s="16">
        <f>IF(ISNA(VLOOKUP(A133,'Données projet'!$A$35:$I$55,4,0)),0,VLOOKUP(A133,'Données projet'!$A$35:$I$55,4,0))</f>
        <v>31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>
        <f>VLOOKUP(A133,'Données projet'!$A$61:$I$81,2,0)</f>
        <v>339.10256410256409</v>
      </c>
      <c r="AG133" s="13">
        <f>VLOOKUP(A133,'Données projet'!$A$61:$I$81,9,0)</f>
        <v>2.6282051282051269</v>
      </c>
      <c r="AH133" s="13">
        <f t="array" ref="AH133">INDEX(AG:AG,MIN(IF(ISNUMBER(AG133:AG329),ROW(AG133:AG329),"")))</f>
        <v>2.6282051282051269</v>
      </c>
      <c r="AI133" s="14">
        <f>IF('Données projet'!$A$62&gt;35,AI132+AH133-AQ132,IF(A133&lt;'Données projet'!$A$62,$AF$205^A133,IF(A133='Données projet'!$A$62,'Données projet'!$B$62,AI132+AH133-AQ132)))</f>
        <v>339.10256410256358</v>
      </c>
      <c r="AJ133" s="14">
        <f>AI133*VLOOKUP('Données projet'!$B$10,Paramètres!$A$1:$I$89,3,0)*VLOOKUP('Données projet'!$B$10,Paramètres!$A$1:$I$89,5,0)</f>
        <v>354.4299999999995</v>
      </c>
      <c r="AK133" s="14">
        <f t="shared" ref="AK133:AK153" si="143">EXP(-1.0587+0.8836*LN(AJ133)+0.284)</f>
        <v>82.474025434157767</v>
      </c>
      <c r="AL133" s="22">
        <f t="shared" si="112"/>
        <v>760.94117763115719</v>
      </c>
      <c r="AM133" s="62">
        <f t="shared" si="113"/>
        <v>1054.2745109644904</v>
      </c>
      <c r="AN133" s="62">
        <f ca="1">AVERAGE(OFFSET($AM$3,0,0,'Données projet'!$E$10+1,1))-AVERAGE(OFFSET($H$3,0,0,'Données projet'!$E$10+1,1))</f>
        <v>493.70175665335978</v>
      </c>
      <c r="AO133" s="62">
        <f t="shared" ref="AO133:AO196" si="144">$AO$3</f>
        <v>325.12357781685949</v>
      </c>
      <c r="AP133" s="16">
        <f>IF(ISNA(VLOOKUP(A133,'Données projet'!$A$61:$I$81,3,0)),0,VLOOKUP(A133,'Données projet'!$A$61:$I$81,3,0))</f>
        <v>11</v>
      </c>
      <c r="AQ133" s="16">
        <f>IF(ISNA(VLOOKUP(A133,'Données projet'!$A$61:$I$81,4,0)),0,VLOOKUP(A133,'Données projet'!$A$61:$I$81,4,0))</f>
        <v>339.10256410256409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>
        <f>BD133*VLOOKUP('Données projet'!$B$11,Paramètres!$A$1:$I$89,3,0)*VLOOKUP('Données projet'!$B$11,Paramètres!$A$1:$I$89,5,0)</f>
        <v>0</v>
      </c>
      <c r="BF133" s="14" t="e">
        <f t="shared" ref="BF133:BF153" si="145">EXP(-1.0587+0.8836*LN(BE133)+0.284)</f>
        <v>#NUM!</v>
      </c>
      <c r="BG133" s="22" t="e">
        <f t="shared" si="115"/>
        <v>#NUM!</v>
      </c>
      <c r="BH133" s="62" t="e">
        <f t="shared" si="116"/>
        <v>#NUM!</v>
      </c>
      <c r="BI133" s="62">
        <f ca="1">AVERAGE(OFFSET($BH$3,0,0,'Données projet'!$E$11+1,1))-AVERAGE(OFFSET($H$3,0,0,'Données projet'!$E$11+1,1))</f>
        <v>245.09257882574383</v>
      </c>
      <c r="BJ133" s="62">
        <f t="shared" ref="BJ133:BJ196" si="146">$BJ$3</f>
        <v>342.30266518164211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0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>
        <f>VLOOKUP(A133,'Données projet'!$A$113:$I$133,2,0)</f>
        <v>300</v>
      </c>
      <c r="BW133" s="13">
        <f>VLOOKUP(A133,'Données projet'!$A$113:$I$133,9,0)</f>
        <v>3.2</v>
      </c>
      <c r="BX133" s="13">
        <f t="array" ref="BX133">INDEX(BW:BW,MIN(IF(ISNUMBER(BW133:BW329),ROW(BW133:BW329),"")))</f>
        <v>3.2</v>
      </c>
      <c r="BY133" s="13">
        <f>IF('Données projet'!$A$114&gt;35,BY132+BX133-CG132,IF(A133&lt;'Données projet'!$A$114,$BV$205^A133,IF(A133='Données projet'!$A$114,'Données projet'!$B$114,BY132+BX133-CG132)))</f>
        <v>299.9999999999992</v>
      </c>
      <c r="BZ133" s="14">
        <f>BY133*VLOOKUP('Données projet'!$B$12,Paramètres!$A$1:$I$89,3,0)*VLOOKUP('Données projet'!$B$12,Paramètres!$A$1:$I$89,5,0)</f>
        <v>271.43999999999926</v>
      </c>
      <c r="CA133" s="14">
        <f t="shared" ref="CA133:CA153" si="147">EXP(-1.0587+0.8836*LN(BZ133)+0.284)</f>
        <v>65.154778959151059</v>
      </c>
      <c r="CB133" s="22">
        <f t="shared" si="118"/>
        <v>586.23590668718668</v>
      </c>
      <c r="CC133" s="62">
        <f t="shared" si="119"/>
        <v>879.56924002052006</v>
      </c>
      <c r="CD133" s="62">
        <f ca="1">AVERAGE(OFFSET($CC$3,0,0,'Données projet'!$E$12+1,1))-AVERAGE(OFFSET($H$3,0,0,'Données projet'!$E$12+1,1))</f>
        <v>429.54141820799617</v>
      </c>
      <c r="CE133" s="62">
        <f t="shared" ref="CE133:CE196" si="148">$CE$3</f>
        <v>231.36959598460686</v>
      </c>
      <c r="CF133" s="16">
        <f>IF(ISNA(VLOOKUP(A133,'Données projet'!$A$113:$I$133,3,0)),0,VLOOKUP(A133,'Données projet'!$A$113:$I$133,3,0))</f>
        <v>11</v>
      </c>
      <c r="CG133" s="16">
        <f>IF(ISNA(VLOOKUP(A133,'Données projet'!$A$113:$I$133,4,0)),0,VLOOKUP(A133,'Données projet'!$A$113:$I$133,4,0))</f>
        <v>31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0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0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3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2.7</v>
      </c>
      <c r="N134" s="14">
        <f>IF('Données projet'!$A$36&gt;35,N133+M134-V133,IF(A134&lt;'Données projet'!$A$36,$K$205^A134,IF(A134='Données projet'!$A$36,'Données projet'!$B$36,N133+M134-V133)))</f>
        <v>271.69999999999919</v>
      </c>
      <c r="O134" s="14">
        <f>N134*VLOOKUP('Données projet'!$B$9,Paramètres!$A$1:$I$89,3,0)*VLOOKUP('Données projet'!$B$9,Paramètres!$A$1:$I$89,5,0)</f>
        <v>275.50379999999922</v>
      </c>
      <c r="P134" s="14">
        <f t="shared" si="141"/>
        <v>66.015939215007691</v>
      </c>
      <c r="Q134" s="22">
        <f t="shared" si="108"/>
        <v>594.81354579947026</v>
      </c>
      <c r="R134" s="62">
        <f t="shared" si="109"/>
        <v>888.14687913280363</v>
      </c>
      <c r="S134" s="62">
        <f ca="1">AVERAGE(OFFSET($R$3,0,0,'Données projet'!$E$9+1,1))-AVERAGE(OFFSET($H$3,0,0,'Données projet'!$E$9+1,1))</f>
        <v>476.25344680259701</v>
      </c>
      <c r="T134" s="62">
        <f t="shared" si="142"/>
        <v>254.25036207346591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-5.1159076974727213E-13</v>
      </c>
      <c r="AJ134" s="14">
        <f>AI134*VLOOKUP('Données projet'!$B$10,Paramètres!$A$1:$I$89,3,0)*VLOOKUP('Données projet'!$B$10,Paramètres!$A$1:$I$89,5,0)</f>
        <v>-5.3471467253984886E-13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493.70175665335978</v>
      </c>
      <c r="AO134" s="62">
        <f t="shared" si="144"/>
        <v>325.12357781685949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>
        <f>BD134*VLOOKUP('Données projet'!$B$11,Paramètres!$A$1:$I$89,3,0)*VLOOKUP('Données projet'!$B$11,Paramètres!$A$1:$I$89,5,0)</f>
        <v>0</v>
      </c>
      <c r="BF134" s="14" t="e">
        <f t="shared" si="145"/>
        <v>#NUM!</v>
      </c>
      <c r="BG134" s="22" t="e">
        <f t="shared" si="115"/>
        <v>#NUM!</v>
      </c>
      <c r="BH134" s="62" t="e">
        <f t="shared" si="116"/>
        <v>#NUM!</v>
      </c>
      <c r="BI134" s="62">
        <f ca="1">AVERAGE(OFFSET($BH$3,0,0,'Données projet'!$E$11+1,1))-AVERAGE(OFFSET($H$3,0,0,'Données projet'!$E$11+1,1))</f>
        <v>245.09257882574383</v>
      </c>
      <c r="BJ134" s="62">
        <f t="shared" si="146"/>
        <v>342.30266518164211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0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2.7</v>
      </c>
      <c r="BY134" s="13">
        <f>IF('Données projet'!$A$114&gt;35,BY133+BX134-CG133,IF(A134&lt;'Données projet'!$A$114,$BV$205^A134,IF(A134='Données projet'!$A$114,'Données projet'!$B$114,BY133+BX134-CG133)))</f>
        <v>271.69999999999919</v>
      </c>
      <c r="BZ134" s="14">
        <f>BY134*VLOOKUP('Données projet'!$B$12,Paramètres!$A$1:$I$89,3,0)*VLOOKUP('Données projet'!$B$12,Paramètres!$A$1:$I$89,5,0)</f>
        <v>245.83415999999929</v>
      </c>
      <c r="CA134" s="14">
        <f t="shared" si="147"/>
        <v>59.693018383856675</v>
      </c>
      <c r="CB134" s="22">
        <f t="shared" si="118"/>
        <v>532.12650235188244</v>
      </c>
      <c r="CC134" s="62">
        <f t="shared" si="119"/>
        <v>825.45983568521569</v>
      </c>
      <c r="CD134" s="62">
        <f ca="1">AVERAGE(OFFSET($CC$3,0,0,'Données projet'!$E$12+1,1))-AVERAGE(OFFSET($H$3,0,0,'Données projet'!$E$12+1,1))</f>
        <v>429.54141820799617</v>
      </c>
      <c r="CE134" s="62">
        <f t="shared" si="148"/>
        <v>231.36959598460686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0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0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3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2.7</v>
      </c>
      <c r="N135" s="14">
        <f>IF('Données projet'!$A$36&gt;35,N134+M135-V134,IF(A135&lt;'Données projet'!$A$36,$K$205^A135,IF(A135='Données projet'!$A$36,'Données projet'!$B$36,N134+M135-V134)))</f>
        <v>274.39999999999918</v>
      </c>
      <c r="O135" s="14">
        <f>N135*VLOOKUP('Données projet'!$B$9,Paramètres!$A$1:$I$89,3,0)*VLOOKUP('Données projet'!$B$9,Paramètres!$A$1:$I$89,5,0)</f>
        <v>278.24159999999921</v>
      </c>
      <c r="P135" s="14">
        <f t="shared" si="141"/>
        <v>66.595272276139625</v>
      </c>
      <c r="Q135" s="22">
        <f t="shared" si="108"/>
        <v>600.59088588094176</v>
      </c>
      <c r="R135" s="62">
        <f t="shared" si="109"/>
        <v>893.92421921427513</v>
      </c>
      <c r="S135" s="62">
        <f ca="1">AVERAGE(OFFSET($R$3,0,0,'Données projet'!$E$9+1,1))-AVERAGE(OFFSET($H$3,0,0,'Données projet'!$E$9+1,1))</f>
        <v>476.25344680259701</v>
      </c>
      <c r="T135" s="62">
        <f t="shared" si="142"/>
        <v>254.25036207346591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-5.1159076974727213E-13</v>
      </c>
      <c r="AJ135" s="14">
        <f>AI135*VLOOKUP('Données projet'!$B$10,Paramètres!$A$1:$I$89,3,0)*VLOOKUP('Données projet'!$B$10,Paramètres!$A$1:$I$89,5,0)</f>
        <v>-5.3471467253984886E-13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493.70175665335978</v>
      </c>
      <c r="AO135" s="62">
        <f t="shared" si="144"/>
        <v>325.12357781685949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>
        <f>BD135*VLOOKUP('Données projet'!$B$11,Paramètres!$A$1:$I$89,3,0)*VLOOKUP('Données projet'!$B$11,Paramètres!$A$1:$I$89,5,0)</f>
        <v>0</v>
      </c>
      <c r="BF135" s="14" t="e">
        <f t="shared" si="145"/>
        <v>#NUM!</v>
      </c>
      <c r="BG135" s="22" t="e">
        <f t="shared" si="115"/>
        <v>#NUM!</v>
      </c>
      <c r="BH135" s="62" t="e">
        <f t="shared" si="116"/>
        <v>#NUM!</v>
      </c>
      <c r="BI135" s="62">
        <f ca="1">AVERAGE(OFFSET($BH$3,0,0,'Données projet'!$E$11+1,1))-AVERAGE(OFFSET($H$3,0,0,'Données projet'!$E$11+1,1))</f>
        <v>245.09257882574383</v>
      </c>
      <c r="BJ135" s="62">
        <f t="shared" si="146"/>
        <v>342.30266518164211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0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2.7</v>
      </c>
      <c r="BY135" s="13">
        <f>IF('Données projet'!$A$114&gt;35,BY134+BX135-CG134,IF(A135&lt;'Données projet'!$A$114,$BV$205^A135,IF(A135='Données projet'!$A$114,'Données projet'!$B$114,BY134+BX135-CG134)))</f>
        <v>274.39999999999918</v>
      </c>
      <c r="BZ135" s="14">
        <f>BY135*VLOOKUP('Données projet'!$B$12,Paramètres!$A$1:$I$89,3,0)*VLOOKUP('Données projet'!$B$12,Paramètres!$A$1:$I$89,5,0)</f>
        <v>248.27711999999923</v>
      </c>
      <c r="CA135" s="14">
        <f t="shared" si="147"/>
        <v>60.2168636775802</v>
      </c>
      <c r="CB135" s="22">
        <f t="shared" si="118"/>
        <v>537.29368823845073</v>
      </c>
      <c r="CC135" s="62">
        <f t="shared" si="119"/>
        <v>830.6270215717841</v>
      </c>
      <c r="CD135" s="62">
        <f ca="1">AVERAGE(OFFSET($CC$3,0,0,'Données projet'!$E$12+1,1))-AVERAGE(OFFSET($H$3,0,0,'Données projet'!$E$12+1,1))</f>
        <v>429.54141820799617</v>
      </c>
      <c r="CE135" s="62">
        <f t="shared" si="148"/>
        <v>231.36959598460686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0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0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3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2.7</v>
      </c>
      <c r="N136" s="14">
        <f>IF('Données projet'!$A$36&gt;35,N135+M136-V135,IF(A136&lt;'Données projet'!$A$36,$K$205^A136,IF(A136='Données projet'!$A$36,'Données projet'!$B$36,N135+M136-V135)))</f>
        <v>277.09999999999917</v>
      </c>
      <c r="O136" s="14">
        <f>N136*VLOOKUP('Données projet'!$B$9,Paramètres!$A$1:$I$89,3,0)*VLOOKUP('Données projet'!$B$9,Paramètres!$A$1:$I$89,5,0)</f>
        <v>280.9793999999992</v>
      </c>
      <c r="P136" s="14">
        <f t="shared" si="141"/>
        <v>67.173942175199244</v>
      </c>
      <c r="Q136" s="22">
        <f t="shared" si="108"/>
        <v>606.36707095513714</v>
      </c>
      <c r="R136" s="62">
        <f t="shared" si="109"/>
        <v>899.70040428847051</v>
      </c>
      <c r="S136" s="62">
        <f ca="1">AVERAGE(OFFSET($R$3,0,0,'Données projet'!$E$9+1,1))-AVERAGE(OFFSET($H$3,0,0,'Données projet'!$E$9+1,1))</f>
        <v>476.25344680259701</v>
      </c>
      <c r="T136" s="62">
        <f t="shared" si="142"/>
        <v>254.25036207346591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-5.1159076974727213E-13</v>
      </c>
      <c r="AJ136" s="14">
        <f>AI136*VLOOKUP('Données projet'!$B$10,Paramètres!$A$1:$I$89,3,0)*VLOOKUP('Données projet'!$B$10,Paramètres!$A$1:$I$89,5,0)</f>
        <v>-5.3471467253984886E-13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493.70175665335978</v>
      </c>
      <c r="AO136" s="62">
        <f t="shared" si="144"/>
        <v>325.12357781685949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>
        <f>BD136*VLOOKUP('Données projet'!$B$11,Paramètres!$A$1:$I$89,3,0)*VLOOKUP('Données projet'!$B$11,Paramètres!$A$1:$I$89,5,0)</f>
        <v>0</v>
      </c>
      <c r="BF136" s="14" t="e">
        <f t="shared" si="145"/>
        <v>#NUM!</v>
      </c>
      <c r="BG136" s="22" t="e">
        <f t="shared" si="115"/>
        <v>#NUM!</v>
      </c>
      <c r="BH136" s="62" t="e">
        <f t="shared" si="116"/>
        <v>#NUM!</v>
      </c>
      <c r="BI136" s="62">
        <f ca="1">AVERAGE(OFFSET($BH$3,0,0,'Données projet'!$E$11+1,1))-AVERAGE(OFFSET($H$3,0,0,'Données projet'!$E$11+1,1))</f>
        <v>245.09257882574383</v>
      </c>
      <c r="BJ136" s="62">
        <f t="shared" si="146"/>
        <v>342.30266518164211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0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2.7</v>
      </c>
      <c r="BY136" s="13">
        <f>IF('Données projet'!$A$114&gt;35,BY135+BX136-CG135,IF(A136&lt;'Données projet'!$A$114,$BV$205^A136,IF(A136='Données projet'!$A$114,'Données projet'!$B$114,BY135+BX136-CG135)))</f>
        <v>277.09999999999917</v>
      </c>
      <c r="BZ136" s="14">
        <f>BY136*VLOOKUP('Données projet'!$B$12,Paramètres!$A$1:$I$89,3,0)*VLOOKUP('Données projet'!$B$12,Paramètres!$A$1:$I$89,5,0)</f>
        <v>250.72007999999923</v>
      </c>
      <c r="CA136" s="14">
        <f t="shared" si="147"/>
        <v>60.740109326032652</v>
      </c>
      <c r="CB136" s="22">
        <f t="shared" si="118"/>
        <v>542.45982974283891</v>
      </c>
      <c r="CC136" s="62">
        <f t="shared" si="119"/>
        <v>835.79316307617228</v>
      </c>
      <c r="CD136" s="62">
        <f ca="1">AVERAGE(OFFSET($CC$3,0,0,'Données projet'!$E$12+1,1))-AVERAGE(OFFSET($H$3,0,0,'Données projet'!$E$12+1,1))</f>
        <v>429.54141820799617</v>
      </c>
      <c r="CE136" s="62">
        <f t="shared" si="148"/>
        <v>231.36959598460686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0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0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3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2.7</v>
      </c>
      <c r="N137" s="14">
        <f>IF('Données projet'!$A$36&gt;35,N136+M137-V136,IF(A137&lt;'Données projet'!$A$36,$K$205^A137,IF(A137='Données projet'!$A$36,'Données projet'!$B$36,N136+M137-V136)))</f>
        <v>279.79999999999916</v>
      </c>
      <c r="O137" s="14">
        <f>N137*VLOOKUP('Données projet'!$B$9,Paramètres!$A$1:$I$89,3,0)*VLOOKUP('Données projet'!$B$9,Paramètres!$A$1:$I$89,5,0)</f>
        <v>283.7171999999992</v>
      </c>
      <c r="P137" s="14">
        <f t="shared" si="141"/>
        <v>67.751956122170526</v>
      </c>
      <c r="Q137" s="22">
        <f t="shared" si="108"/>
        <v>612.14211357944555</v>
      </c>
      <c r="R137" s="62">
        <f t="shared" si="109"/>
        <v>905.47544691277881</v>
      </c>
      <c r="S137" s="62">
        <f ca="1">AVERAGE(OFFSET($R$3,0,0,'Données projet'!$E$9+1,1))-AVERAGE(OFFSET($H$3,0,0,'Données projet'!$E$9+1,1))</f>
        <v>476.25344680259701</v>
      </c>
      <c r="T137" s="62">
        <f t="shared" si="142"/>
        <v>254.25036207346591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-5.1159076974727213E-13</v>
      </c>
      <c r="AJ137" s="14">
        <f>AI137*VLOOKUP('Données projet'!$B$10,Paramètres!$A$1:$I$89,3,0)*VLOOKUP('Données projet'!$B$10,Paramètres!$A$1:$I$89,5,0)</f>
        <v>-5.3471467253984886E-13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493.70175665335978</v>
      </c>
      <c r="AO137" s="62">
        <f t="shared" si="144"/>
        <v>325.12357781685949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>
        <f>BD137*VLOOKUP('Données projet'!$B$11,Paramètres!$A$1:$I$89,3,0)*VLOOKUP('Données projet'!$B$11,Paramètres!$A$1:$I$89,5,0)</f>
        <v>0</v>
      </c>
      <c r="BF137" s="14" t="e">
        <f t="shared" si="145"/>
        <v>#NUM!</v>
      </c>
      <c r="BG137" s="22" t="e">
        <f t="shared" si="115"/>
        <v>#NUM!</v>
      </c>
      <c r="BH137" s="62" t="e">
        <f t="shared" si="116"/>
        <v>#NUM!</v>
      </c>
      <c r="BI137" s="62">
        <f ca="1">AVERAGE(OFFSET($BH$3,0,0,'Données projet'!$E$11+1,1))-AVERAGE(OFFSET($H$3,0,0,'Données projet'!$E$11+1,1))</f>
        <v>245.09257882574383</v>
      </c>
      <c r="BJ137" s="62">
        <f t="shared" si="146"/>
        <v>342.30266518164211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0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2.7</v>
      </c>
      <c r="BY137" s="13">
        <f>IF('Données projet'!$A$114&gt;35,BY136+BX137-CG136,IF(A137&lt;'Données projet'!$A$114,$BV$205^A137,IF(A137='Données projet'!$A$114,'Données projet'!$B$114,BY136+BX137-CG136)))</f>
        <v>279.79999999999916</v>
      </c>
      <c r="BZ137" s="14">
        <f>BY137*VLOOKUP('Données projet'!$B$12,Paramètres!$A$1:$I$89,3,0)*VLOOKUP('Données projet'!$B$12,Paramètres!$A$1:$I$89,5,0)</f>
        <v>253.16303999999926</v>
      </c>
      <c r="CA137" s="14">
        <f t="shared" si="147"/>
        <v>61.262761848634923</v>
      </c>
      <c r="CB137" s="22">
        <f t="shared" si="118"/>
        <v>547.62493821970452</v>
      </c>
      <c r="CC137" s="62">
        <f t="shared" si="119"/>
        <v>840.95827155303778</v>
      </c>
      <c r="CD137" s="62">
        <f ca="1">AVERAGE(OFFSET($CC$3,0,0,'Données projet'!$E$12+1,1))-AVERAGE(OFFSET($H$3,0,0,'Données projet'!$E$12+1,1))</f>
        <v>429.54141820799617</v>
      </c>
      <c r="CE137" s="62">
        <f t="shared" si="148"/>
        <v>231.36959598460686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0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0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3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2.7</v>
      </c>
      <c r="N138" s="14">
        <f>IF('Données projet'!$A$36&gt;35,N137+M138-V137,IF(A138&lt;'Données projet'!$A$36,$K$205^A138,IF(A138='Données projet'!$A$36,'Données projet'!$B$36,N137+M138-V137)))</f>
        <v>282.49999999999915</v>
      </c>
      <c r="O138" s="14">
        <f>N138*VLOOKUP('Données projet'!$B$9,Paramètres!$A$1:$I$89,3,0)*VLOOKUP('Données projet'!$B$9,Paramètres!$A$1:$I$89,5,0)</f>
        <v>286.45499999999919</v>
      </c>
      <c r="P138" s="14">
        <f t="shared" si="141"/>
        <v>68.329321179865531</v>
      </c>
      <c r="Q138" s="22">
        <f t="shared" si="108"/>
        <v>617.91602605493108</v>
      </c>
      <c r="R138" s="62">
        <f t="shared" si="109"/>
        <v>911.24935938826434</v>
      </c>
      <c r="S138" s="62">
        <f ca="1">AVERAGE(OFFSET($R$3,0,0,'Données projet'!$E$9+1,1))-AVERAGE(OFFSET($H$3,0,0,'Données projet'!$E$9+1,1))</f>
        <v>476.25344680259701</v>
      </c>
      <c r="T138" s="62">
        <f t="shared" si="142"/>
        <v>254.25036207346591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-5.1159076974727213E-13</v>
      </c>
      <c r="AJ138" s="14">
        <f>AI138*VLOOKUP('Données projet'!$B$10,Paramètres!$A$1:$I$89,3,0)*VLOOKUP('Données projet'!$B$10,Paramètres!$A$1:$I$89,5,0)</f>
        <v>-5.3471467253984886E-13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493.70175665335978</v>
      </c>
      <c r="AO138" s="62">
        <f t="shared" si="144"/>
        <v>325.12357781685949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>
        <f>BD138*VLOOKUP('Données projet'!$B$11,Paramètres!$A$1:$I$89,3,0)*VLOOKUP('Données projet'!$B$11,Paramètres!$A$1:$I$89,5,0)</f>
        <v>0</v>
      </c>
      <c r="BF138" s="14" t="e">
        <f t="shared" si="145"/>
        <v>#NUM!</v>
      </c>
      <c r="BG138" s="22" t="e">
        <f t="shared" si="115"/>
        <v>#NUM!</v>
      </c>
      <c r="BH138" s="62" t="e">
        <f t="shared" si="116"/>
        <v>#NUM!</v>
      </c>
      <c r="BI138" s="62">
        <f ca="1">AVERAGE(OFFSET($BH$3,0,0,'Données projet'!$E$11+1,1))-AVERAGE(OFFSET($H$3,0,0,'Données projet'!$E$11+1,1))</f>
        <v>245.09257882574383</v>
      </c>
      <c r="BJ138" s="62">
        <f t="shared" si="146"/>
        <v>342.30266518164211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0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2.7</v>
      </c>
      <c r="BY138" s="13">
        <f>IF('Données projet'!$A$114&gt;35,BY137+BX138-CG137,IF(A138&lt;'Données projet'!$A$114,$BV$205^A138,IF(A138='Données projet'!$A$114,'Données projet'!$B$114,BY137+BX138-CG137)))</f>
        <v>282.49999999999915</v>
      </c>
      <c r="BZ138" s="14">
        <f>BY138*VLOOKUP('Données projet'!$B$12,Paramètres!$A$1:$I$89,3,0)*VLOOKUP('Données projet'!$B$12,Paramètres!$A$1:$I$89,5,0)</f>
        <v>255.6059999999992</v>
      </c>
      <c r="CA138" s="14">
        <f t="shared" si="147"/>
        <v>61.784827631732135</v>
      </c>
      <c r="CB138" s="22">
        <f t="shared" si="118"/>
        <v>552.78902479193198</v>
      </c>
      <c r="CC138" s="62">
        <f t="shared" si="119"/>
        <v>846.12235812526524</v>
      </c>
      <c r="CD138" s="62">
        <f ca="1">AVERAGE(OFFSET($CC$3,0,0,'Données projet'!$E$12+1,1))-AVERAGE(OFFSET($H$3,0,0,'Données projet'!$E$12+1,1))</f>
        <v>429.54141820799617</v>
      </c>
      <c r="CE138" s="62">
        <f t="shared" si="148"/>
        <v>231.36959598460686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0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0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3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2.7</v>
      </c>
      <c r="N139" s="14">
        <f>IF('Données projet'!$A$36&gt;35,N138+M139-V138,IF(A139&lt;'Données projet'!$A$36,$K$205^A139,IF(A139='Données projet'!$A$36,'Données projet'!$B$36,N138+M139-V138)))</f>
        <v>285.19999999999914</v>
      </c>
      <c r="O139" s="14">
        <f>N139*VLOOKUP('Données projet'!$B$9,Paramètres!$A$1:$I$89,3,0)*VLOOKUP('Données projet'!$B$9,Paramètres!$A$1:$I$89,5,0)</f>
        <v>289.19279999999918</v>
      </c>
      <c r="P139" s="14">
        <f t="shared" si="141"/>
        <v>68.906044268306104</v>
      </c>
      <c r="Q139" s="22">
        <f t="shared" si="108"/>
        <v>623.68882043396513</v>
      </c>
      <c r="R139" s="62">
        <f t="shared" si="109"/>
        <v>917.02215376729851</v>
      </c>
      <c r="S139" s="62">
        <f ca="1">AVERAGE(OFFSET($R$3,0,0,'Données projet'!$E$9+1,1))-AVERAGE(OFFSET($H$3,0,0,'Données projet'!$E$9+1,1))</f>
        <v>476.25344680259701</v>
      </c>
      <c r="T139" s="62">
        <f t="shared" si="142"/>
        <v>254.25036207346591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-5.1159076974727213E-13</v>
      </c>
      <c r="AJ139" s="14">
        <f>AI139*VLOOKUP('Données projet'!$B$10,Paramètres!$A$1:$I$89,3,0)*VLOOKUP('Données projet'!$B$10,Paramètres!$A$1:$I$89,5,0)</f>
        <v>-5.3471467253984886E-13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493.70175665335978</v>
      </c>
      <c r="AO139" s="62">
        <f t="shared" si="144"/>
        <v>325.12357781685949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>
        <f>BD139*VLOOKUP('Données projet'!$B$11,Paramètres!$A$1:$I$89,3,0)*VLOOKUP('Données projet'!$B$11,Paramètres!$A$1:$I$89,5,0)</f>
        <v>0</v>
      </c>
      <c r="BF139" s="14" t="e">
        <f t="shared" si="145"/>
        <v>#NUM!</v>
      </c>
      <c r="BG139" s="22" t="e">
        <f t="shared" si="115"/>
        <v>#NUM!</v>
      </c>
      <c r="BH139" s="62" t="e">
        <f t="shared" si="116"/>
        <v>#NUM!</v>
      </c>
      <c r="BI139" s="62">
        <f ca="1">AVERAGE(OFFSET($BH$3,0,0,'Données projet'!$E$11+1,1))-AVERAGE(OFFSET($H$3,0,0,'Données projet'!$E$11+1,1))</f>
        <v>245.09257882574383</v>
      </c>
      <c r="BJ139" s="62">
        <f t="shared" si="146"/>
        <v>342.30266518164211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0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2.7</v>
      </c>
      <c r="BY139" s="13">
        <f>IF('Données projet'!$A$114&gt;35,BY138+BX139-CG138,IF(A139&lt;'Données projet'!$A$114,$BV$205^A139,IF(A139='Données projet'!$A$114,'Données projet'!$B$114,BY138+BX139-CG138)))</f>
        <v>285.19999999999914</v>
      </c>
      <c r="BZ139" s="14">
        <f>BY139*VLOOKUP('Données projet'!$B$12,Paramètres!$A$1:$I$89,3,0)*VLOOKUP('Données projet'!$B$12,Paramètres!$A$1:$I$89,5,0)</f>
        <v>258.04895999999923</v>
      </c>
      <c r="CA139" s="14">
        <f t="shared" si="147"/>
        <v>62.306312932555592</v>
      </c>
      <c r="CB139" s="22">
        <f t="shared" si="118"/>
        <v>557.95210035753291</v>
      </c>
      <c r="CC139" s="62">
        <f t="shared" si="119"/>
        <v>851.28543369086628</v>
      </c>
      <c r="CD139" s="62">
        <f ca="1">AVERAGE(OFFSET($CC$3,0,0,'Données projet'!$E$12+1,1))-AVERAGE(OFFSET($H$3,0,0,'Données projet'!$E$12+1,1))</f>
        <v>429.54141820799617</v>
      </c>
      <c r="CE139" s="62">
        <f t="shared" si="148"/>
        <v>231.36959598460686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0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3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2.7</v>
      </c>
      <c r="N140" s="14">
        <f>IF('Données projet'!$A$36&gt;35,N139+M140-V139,IF(A140&lt;'Données projet'!$A$36,$K$205^A140,IF(A140='Données projet'!$A$36,'Données projet'!$B$36,N139+M140-V139)))</f>
        <v>287.89999999999912</v>
      </c>
      <c r="O140" s="14">
        <f>N140*VLOOKUP('Données projet'!$B$9,Paramètres!$A$1:$I$89,3,0)*VLOOKUP('Données projet'!$B$9,Paramètres!$A$1:$I$89,5,0)</f>
        <v>291.93059999999917</v>
      </c>
      <c r="P140" s="14">
        <f t="shared" si="141"/>
        <v>69.482132168934513</v>
      </c>
      <c r="Q140" s="22">
        <f t="shared" si="108"/>
        <v>629.46050852755945</v>
      </c>
      <c r="R140" s="62">
        <f t="shared" si="109"/>
        <v>922.79384186089283</v>
      </c>
      <c r="S140" s="62">
        <f ca="1">AVERAGE(OFFSET($R$3,0,0,'Données projet'!$E$9+1,1))-AVERAGE(OFFSET($H$3,0,0,'Données projet'!$E$9+1,1))</f>
        <v>476.25344680259701</v>
      </c>
      <c r="T140" s="62">
        <f t="shared" si="142"/>
        <v>254.25036207346591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-5.1159076974727213E-13</v>
      </c>
      <c r="AJ140" s="14">
        <f>AI140*VLOOKUP('Données projet'!$B$10,Paramètres!$A$1:$I$89,3,0)*VLOOKUP('Données projet'!$B$10,Paramètres!$A$1:$I$89,5,0)</f>
        <v>-5.3471467253984886E-13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493.70175665335978</v>
      </c>
      <c r="AO140" s="62">
        <f t="shared" si="144"/>
        <v>325.12357781685949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>
        <f>BD140*VLOOKUP('Données projet'!$B$11,Paramètres!$A$1:$I$89,3,0)*VLOOKUP('Données projet'!$B$11,Paramètres!$A$1:$I$89,5,0)</f>
        <v>0</v>
      </c>
      <c r="BF140" s="14" t="e">
        <f t="shared" si="145"/>
        <v>#NUM!</v>
      </c>
      <c r="BG140" s="22" t="e">
        <f t="shared" si="115"/>
        <v>#NUM!</v>
      </c>
      <c r="BH140" s="62" t="e">
        <f t="shared" si="116"/>
        <v>#NUM!</v>
      </c>
      <c r="BI140" s="62">
        <f ca="1">AVERAGE(OFFSET($BH$3,0,0,'Données projet'!$E$11+1,1))-AVERAGE(OFFSET($H$3,0,0,'Données projet'!$E$11+1,1))</f>
        <v>245.09257882574383</v>
      </c>
      <c r="BJ140" s="62">
        <f t="shared" si="146"/>
        <v>342.30266518164211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0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2.7</v>
      </c>
      <c r="BY140" s="13">
        <f>IF('Données projet'!$A$114&gt;35,BY139+BX140-CG139,IF(A140&lt;'Données projet'!$A$114,$BV$205^A140,IF(A140='Données projet'!$A$114,'Données projet'!$B$114,BY139+BX140-CG139)))</f>
        <v>287.89999999999912</v>
      </c>
      <c r="BZ140" s="14">
        <f>BY140*VLOOKUP('Données projet'!$B$12,Paramètres!$A$1:$I$89,3,0)*VLOOKUP('Données projet'!$B$12,Paramètres!$A$1:$I$89,5,0)</f>
        <v>260.4919199999992</v>
      </c>
      <c r="CA140" s="14">
        <f t="shared" si="147"/>
        <v>62.827223883029681</v>
      </c>
      <c r="CB140" s="22">
        <f t="shared" si="118"/>
        <v>563.11417559627523</v>
      </c>
      <c r="CC140" s="62">
        <f t="shared" si="119"/>
        <v>856.4475089296086</v>
      </c>
      <c r="CD140" s="62">
        <f ca="1">AVERAGE(OFFSET($CC$3,0,0,'Données projet'!$E$12+1,1))-AVERAGE(OFFSET($H$3,0,0,'Données projet'!$E$12+1,1))</f>
        <v>429.54141820799617</v>
      </c>
      <c r="CE140" s="62">
        <f t="shared" si="148"/>
        <v>231.36959598460686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0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3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2.7</v>
      </c>
      <c r="N141" s="14">
        <f>IF('Données projet'!$A$36&gt;35,N140+M141-V140,IF(A141&lt;'Données projet'!$A$36,$K$205^A141,IF(A141='Données projet'!$A$36,'Données projet'!$B$36,N140+M141-V140)))</f>
        <v>290.59999999999911</v>
      </c>
      <c r="O141" s="14">
        <f>N141*VLOOKUP('Données projet'!$B$9,Paramètres!$A$1:$I$89,3,0)*VLOOKUP('Données projet'!$B$9,Paramètres!$A$1:$I$89,5,0)</f>
        <v>294.66839999999911</v>
      </c>
      <c r="P141" s="14">
        <f t="shared" si="141"/>
        <v>70.057591528661362</v>
      </c>
      <c r="Q141" s="22">
        <f t="shared" si="108"/>
        <v>635.23110191241688</v>
      </c>
      <c r="R141" s="62">
        <f t="shared" si="109"/>
        <v>928.56443524575025</v>
      </c>
      <c r="S141" s="62">
        <f ca="1">AVERAGE(OFFSET($R$3,0,0,'Données projet'!$E$9+1,1))-AVERAGE(OFFSET($H$3,0,0,'Données projet'!$E$9+1,1))</f>
        <v>476.25344680259701</v>
      </c>
      <c r="T141" s="62">
        <f t="shared" si="142"/>
        <v>254.25036207346591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-5.1159076974727213E-13</v>
      </c>
      <c r="AJ141" s="14">
        <f>AI141*VLOOKUP('Données projet'!$B$10,Paramètres!$A$1:$I$89,3,0)*VLOOKUP('Données projet'!$B$10,Paramètres!$A$1:$I$89,5,0)</f>
        <v>-5.3471467253984886E-13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493.70175665335978</v>
      </c>
      <c r="AO141" s="62">
        <f t="shared" si="144"/>
        <v>325.12357781685949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>
        <f>BD141*VLOOKUP('Données projet'!$B$11,Paramètres!$A$1:$I$89,3,0)*VLOOKUP('Données projet'!$B$11,Paramètres!$A$1:$I$89,5,0)</f>
        <v>0</v>
      </c>
      <c r="BF141" s="14" t="e">
        <f t="shared" si="145"/>
        <v>#NUM!</v>
      </c>
      <c r="BG141" s="22" t="e">
        <f t="shared" si="115"/>
        <v>#NUM!</v>
      </c>
      <c r="BH141" s="62" t="e">
        <f t="shared" si="116"/>
        <v>#NUM!</v>
      </c>
      <c r="BI141" s="62">
        <f ca="1">AVERAGE(OFFSET($BH$3,0,0,'Données projet'!$E$11+1,1))-AVERAGE(OFFSET($H$3,0,0,'Données projet'!$E$11+1,1))</f>
        <v>245.09257882574383</v>
      </c>
      <c r="BJ141" s="62">
        <f t="shared" si="146"/>
        <v>342.30266518164211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0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2.7</v>
      </c>
      <c r="BY141" s="13">
        <f>IF('Données projet'!$A$114&gt;35,BY140+BX141-CG140,IF(A141&lt;'Données projet'!$A$114,$BV$205^A141,IF(A141='Données projet'!$A$114,'Données projet'!$B$114,BY140+BX141-CG140)))</f>
        <v>290.59999999999911</v>
      </c>
      <c r="BZ141" s="14">
        <f>BY141*VLOOKUP('Données projet'!$B$12,Paramètres!$A$1:$I$89,3,0)*VLOOKUP('Données projet'!$B$12,Paramètres!$A$1:$I$89,5,0)</f>
        <v>262.93487999999917</v>
      </c>
      <c r="CA141" s="14">
        <f t="shared" si="147"/>
        <v>63.347566493432595</v>
      </c>
      <c r="CB141" s="22">
        <f t="shared" si="118"/>
        <v>568.27526097606028</v>
      </c>
      <c r="CC141" s="62">
        <f t="shared" si="119"/>
        <v>861.60859430939354</v>
      </c>
      <c r="CD141" s="62">
        <f ca="1">AVERAGE(OFFSET($CC$3,0,0,'Données projet'!$E$12+1,1))-AVERAGE(OFFSET($H$3,0,0,'Données projet'!$E$12+1,1))</f>
        <v>429.54141820799617</v>
      </c>
      <c r="CE141" s="62">
        <f t="shared" si="148"/>
        <v>231.36959598460686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0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3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2.7</v>
      </c>
      <c r="N142" s="14">
        <f>IF('Données projet'!$A$36&gt;35,N141+M142-V141,IF(A142&lt;'Données projet'!$A$36,$K$205^A142,IF(A142='Données projet'!$A$36,'Données projet'!$B$36,N141+M142-V141)))</f>
        <v>293.2999999999991</v>
      </c>
      <c r="O142" s="14">
        <f>N142*VLOOKUP('Données projet'!$B$9,Paramètres!$A$1:$I$89,3,0)*VLOOKUP('Données projet'!$B$9,Paramètres!$A$1:$I$89,5,0)</f>
        <v>297.4061999999991</v>
      </c>
      <c r="P142" s="14">
        <f t="shared" si="141"/>
        <v>70.632428863759486</v>
      </c>
      <c r="Q142" s="22">
        <f t="shared" si="108"/>
        <v>641.00061193771296</v>
      </c>
      <c r="R142" s="62">
        <f t="shared" si="109"/>
        <v>934.33394527104633</v>
      </c>
      <c r="S142" s="62">
        <f ca="1">AVERAGE(OFFSET($R$3,0,0,'Données projet'!$E$9+1,1))-AVERAGE(OFFSET($H$3,0,0,'Données projet'!$E$9+1,1))</f>
        <v>476.25344680259701</v>
      </c>
      <c r="T142" s="62">
        <f t="shared" si="142"/>
        <v>254.25036207346591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-5.1159076974727213E-13</v>
      </c>
      <c r="AJ142" s="14">
        <f>AI142*VLOOKUP('Données projet'!$B$10,Paramètres!$A$1:$I$89,3,0)*VLOOKUP('Données projet'!$B$10,Paramètres!$A$1:$I$89,5,0)</f>
        <v>-5.3471467253984886E-13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493.70175665335978</v>
      </c>
      <c r="AO142" s="62">
        <f t="shared" si="144"/>
        <v>325.12357781685949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>
        <f>BD142*VLOOKUP('Données projet'!$B$11,Paramètres!$A$1:$I$89,3,0)*VLOOKUP('Données projet'!$B$11,Paramètres!$A$1:$I$89,5,0)</f>
        <v>0</v>
      </c>
      <c r="BF142" s="14" t="e">
        <f t="shared" si="145"/>
        <v>#NUM!</v>
      </c>
      <c r="BG142" s="22" t="e">
        <f t="shared" si="115"/>
        <v>#NUM!</v>
      </c>
      <c r="BH142" s="62" t="e">
        <f t="shared" si="116"/>
        <v>#NUM!</v>
      </c>
      <c r="BI142" s="62">
        <f ca="1">AVERAGE(OFFSET($BH$3,0,0,'Données projet'!$E$11+1,1))-AVERAGE(OFFSET($H$3,0,0,'Données projet'!$E$11+1,1))</f>
        <v>245.09257882574383</v>
      </c>
      <c r="BJ142" s="62">
        <f t="shared" si="146"/>
        <v>342.30266518164211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0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2.7</v>
      </c>
      <c r="BY142" s="13">
        <f>IF('Données projet'!$A$114&gt;35,BY141+BX142-CG141,IF(A142&lt;'Données projet'!$A$114,$BV$205^A142,IF(A142='Données projet'!$A$114,'Données projet'!$B$114,BY141+BX142-CG141)))</f>
        <v>293.2999999999991</v>
      </c>
      <c r="BZ142" s="14">
        <f>BY142*VLOOKUP('Données projet'!$B$12,Paramètres!$A$1:$I$89,3,0)*VLOOKUP('Données projet'!$B$12,Paramètres!$A$1:$I$89,5,0)</f>
        <v>265.3778399999992</v>
      </c>
      <c r="CA142" s="14">
        <f t="shared" si="147"/>
        <v>63.867346655917032</v>
      </c>
      <c r="CB142" s="22">
        <f t="shared" si="118"/>
        <v>573.43536675905398</v>
      </c>
      <c r="CC142" s="62">
        <f t="shared" si="119"/>
        <v>866.76870009238723</v>
      </c>
      <c r="CD142" s="62">
        <f ca="1">AVERAGE(OFFSET($CC$3,0,0,'Données projet'!$E$12+1,1))-AVERAGE(OFFSET($H$3,0,0,'Données projet'!$E$12+1,1))</f>
        <v>429.54141820799617</v>
      </c>
      <c r="CE142" s="62">
        <f t="shared" si="148"/>
        <v>231.36959598460686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0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3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>
        <f>VLOOKUP(A143,'Données projet'!$A$35:$I$55,2,0)</f>
        <v>296</v>
      </c>
      <c r="L143" s="13">
        <f>VLOOKUP(A143,'Données projet'!$A$35:$I$55,9,0)</f>
        <v>2.7</v>
      </c>
      <c r="M143" s="13">
        <f t="array" ref="M143">INDEX(L:L,MIN(IF(ISNUMBER(L143:L339),ROW(L143:L339),"")))</f>
        <v>2.7</v>
      </c>
      <c r="N143" s="14">
        <f>IF('Données projet'!$A$36&gt;35,N142+M143-V142,IF(A143&lt;'Données projet'!$A$36,$K$205^A143,IF(A143='Données projet'!$A$36,'Données projet'!$B$36,N142+M143-V142)))</f>
        <v>295.99999999999909</v>
      </c>
      <c r="O143" s="14">
        <f>N143*VLOOKUP('Données projet'!$B$9,Paramètres!$A$1:$I$89,3,0)*VLOOKUP('Données projet'!$B$9,Paramètres!$A$1:$I$89,5,0)</f>
        <v>300.1439999999991</v>
      </c>
      <c r="P143" s="14">
        <f t="shared" si="141"/>
        <v>71.206650563609671</v>
      </c>
      <c r="Q143" s="22">
        <f t="shared" si="108"/>
        <v>646.76904973161857</v>
      </c>
      <c r="R143" s="62">
        <f t="shared" si="109"/>
        <v>940.10238306495194</v>
      </c>
      <c r="S143" s="62">
        <f ca="1">AVERAGE(OFFSET($R$3,0,0,'Données projet'!$E$9+1,1))-AVERAGE(OFFSET($H$3,0,0,'Données projet'!$E$9+1,1))</f>
        <v>476.25344680259701</v>
      </c>
      <c r="T143" s="62">
        <f t="shared" si="142"/>
        <v>254.25036207346591</v>
      </c>
      <c r="U143" s="16">
        <f>IF(ISNA(VLOOKUP(A143,'Données projet'!$A$35:$I$55,3,0)),0,VLOOKUP(A143,'Données projet'!$A$35:$I$55,3,0))</f>
        <v>12</v>
      </c>
      <c r="V143" s="16">
        <f>IF(ISNA(VLOOKUP(A143,'Données projet'!$A$35:$I$55,4,0)),0,VLOOKUP(A143,'Données projet'!$A$35:$I$55,4,0))</f>
        <v>27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-5.1159076974727213E-13</v>
      </c>
      <c r="AJ143" s="14">
        <f>AI143*VLOOKUP('Données projet'!$B$10,Paramètres!$A$1:$I$89,3,0)*VLOOKUP('Données projet'!$B$10,Paramètres!$A$1:$I$89,5,0)</f>
        <v>-5.3471467253984886E-13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493.70175665335978</v>
      </c>
      <c r="AO143" s="62">
        <f t="shared" si="144"/>
        <v>325.12357781685949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>
        <f>BD143*VLOOKUP('Données projet'!$B$11,Paramètres!$A$1:$I$89,3,0)*VLOOKUP('Données projet'!$B$11,Paramètres!$A$1:$I$89,5,0)</f>
        <v>0</v>
      </c>
      <c r="BF143" s="14" t="e">
        <f t="shared" si="145"/>
        <v>#NUM!</v>
      </c>
      <c r="BG143" s="22" t="e">
        <f t="shared" si="115"/>
        <v>#NUM!</v>
      </c>
      <c r="BH143" s="62" t="e">
        <f t="shared" si="116"/>
        <v>#NUM!</v>
      </c>
      <c r="BI143" s="62">
        <f ca="1">AVERAGE(OFFSET($BH$3,0,0,'Données projet'!$E$11+1,1))-AVERAGE(OFFSET($H$3,0,0,'Données projet'!$E$11+1,1))</f>
        <v>245.09257882574383</v>
      </c>
      <c r="BJ143" s="62">
        <f t="shared" si="146"/>
        <v>342.30266518164211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0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>
        <f>VLOOKUP(A143,'Données projet'!$A$113:$I$133,2,0)</f>
        <v>296</v>
      </c>
      <c r="BW143" s="13">
        <f>VLOOKUP(A143,'Données projet'!$A$113:$I$133,9,0)</f>
        <v>2.7</v>
      </c>
      <c r="BX143" s="13">
        <f t="array" ref="BX143">INDEX(BW:BW,MIN(IF(ISNUMBER(BW143:BW339),ROW(BW143:BW339),"")))</f>
        <v>2.7</v>
      </c>
      <c r="BY143" s="13">
        <f>IF('Données projet'!$A$114&gt;35,BY142+BX143-CG142,IF(A143&lt;'Données projet'!$A$114,$BV$205^A143,IF(A143='Données projet'!$A$114,'Données projet'!$B$114,BY142+BX143-CG142)))</f>
        <v>295.99999999999909</v>
      </c>
      <c r="BZ143" s="14">
        <f>BY143*VLOOKUP('Données projet'!$B$12,Paramètres!$A$1:$I$89,3,0)*VLOOKUP('Données projet'!$B$12,Paramètres!$A$1:$I$89,5,0)</f>
        <v>267.82079999999917</v>
      </c>
      <c r="CA143" s="14">
        <f t="shared" si="147"/>
        <v>64.386570147897189</v>
      </c>
      <c r="CB143" s="22">
        <f t="shared" si="118"/>
        <v>578.59450300758624</v>
      </c>
      <c r="CC143" s="62">
        <f t="shared" si="119"/>
        <v>871.92783634091961</v>
      </c>
      <c r="CD143" s="62">
        <f ca="1">AVERAGE(OFFSET($CC$3,0,0,'Données projet'!$E$12+1,1))-AVERAGE(OFFSET($H$3,0,0,'Données projet'!$E$12+1,1))</f>
        <v>429.54141820799617</v>
      </c>
      <c r="CE143" s="62">
        <f t="shared" si="148"/>
        <v>231.36959598460686</v>
      </c>
      <c r="CF143" s="16">
        <f>IF(ISNA(VLOOKUP(A143,'Données projet'!$A$113:$I$133,3,0)),0,VLOOKUP(A143,'Données projet'!$A$113:$I$133,3,0))</f>
        <v>12</v>
      </c>
      <c r="CG143" s="16">
        <f>IF(ISNA(VLOOKUP(A143,'Données projet'!$A$113:$I$133,4,0)),0,VLOOKUP(A143,'Données projet'!$A$113:$I$133,4,0))</f>
        <v>27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0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3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2.4</v>
      </c>
      <c r="N144" s="14">
        <f>IF('Données projet'!$A$36&gt;35,N143+M144-V143,IF(A144&lt;'Données projet'!$A$36,$K$205^A144,IF(A144='Données projet'!$A$36,'Données projet'!$B$36,N143+M144-V143)))</f>
        <v>271.39999999999907</v>
      </c>
      <c r="O144" s="14">
        <f>N144*VLOOKUP('Données projet'!$B$9,Paramètres!$A$1:$I$89,3,0)*VLOOKUP('Données projet'!$B$9,Paramètres!$A$1:$I$89,5,0)</f>
        <v>275.19959999999907</v>
      </c>
      <c r="P144" s="14">
        <f t="shared" si="141"/>
        <v>65.951527620662432</v>
      </c>
      <c r="Q144" s="22">
        <f t="shared" si="108"/>
        <v>594.17154727265211</v>
      </c>
      <c r="R144" s="62">
        <f t="shared" si="109"/>
        <v>887.50488060598536</v>
      </c>
      <c r="S144" s="62">
        <f ca="1">AVERAGE(OFFSET($R$3,0,0,'Données projet'!$E$9+1,1))-AVERAGE(OFFSET($H$3,0,0,'Données projet'!$E$9+1,1))</f>
        <v>476.25344680259701</v>
      </c>
      <c r="T144" s="62">
        <f t="shared" si="142"/>
        <v>254.25036207346591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-5.1159076974727213E-13</v>
      </c>
      <c r="AJ144" s="14">
        <f>AI144*VLOOKUP('Données projet'!$B$10,Paramètres!$A$1:$I$89,3,0)*VLOOKUP('Données projet'!$B$10,Paramètres!$A$1:$I$89,5,0)</f>
        <v>-5.3471467253984886E-13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493.70175665335978</v>
      </c>
      <c r="AO144" s="62">
        <f t="shared" si="144"/>
        <v>325.12357781685949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>
        <f>BD144*VLOOKUP('Données projet'!$B$11,Paramètres!$A$1:$I$89,3,0)*VLOOKUP('Données projet'!$B$11,Paramètres!$A$1:$I$89,5,0)</f>
        <v>0</v>
      </c>
      <c r="BF144" s="14" t="e">
        <f t="shared" si="145"/>
        <v>#NUM!</v>
      </c>
      <c r="BG144" s="22" t="e">
        <f t="shared" si="115"/>
        <v>#NUM!</v>
      </c>
      <c r="BH144" s="62" t="e">
        <f t="shared" si="116"/>
        <v>#NUM!</v>
      </c>
      <c r="BI144" s="62">
        <f ca="1">AVERAGE(OFFSET($BH$3,0,0,'Données projet'!$E$11+1,1))-AVERAGE(OFFSET($H$3,0,0,'Données projet'!$E$11+1,1))</f>
        <v>245.09257882574383</v>
      </c>
      <c r="BJ144" s="62">
        <f t="shared" si="146"/>
        <v>342.30266518164211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0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2.4</v>
      </c>
      <c r="BY144" s="13">
        <f>IF('Données projet'!$A$114&gt;35,BY143+BX144-CG143,IF(A144&lt;'Données projet'!$A$114,$BV$205^A144,IF(A144='Données projet'!$A$114,'Données projet'!$B$114,BY143+BX144-CG143)))</f>
        <v>271.39999999999907</v>
      </c>
      <c r="BZ144" s="14">
        <f>BY144*VLOOKUP('Données projet'!$B$12,Paramètres!$A$1:$I$89,3,0)*VLOOKUP('Données projet'!$B$12,Paramètres!$A$1:$I$89,5,0)</f>
        <v>245.56271999999913</v>
      </c>
      <c r="CA144" s="14">
        <f t="shared" si="147"/>
        <v>59.634776048276741</v>
      </c>
      <c r="CB144" s="22">
        <f t="shared" si="118"/>
        <v>531.55230561741371</v>
      </c>
      <c r="CC144" s="62">
        <f t="shared" si="119"/>
        <v>824.88563895074708</v>
      </c>
      <c r="CD144" s="62">
        <f ca="1">AVERAGE(OFFSET($CC$3,0,0,'Données projet'!$E$12+1,1))-AVERAGE(OFFSET($H$3,0,0,'Données projet'!$E$12+1,1))</f>
        <v>429.54141820799617</v>
      </c>
      <c r="CE144" s="62">
        <f t="shared" si="148"/>
        <v>231.36959598460686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0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3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2.4</v>
      </c>
      <c r="N145" s="14">
        <f>IF('Données projet'!$A$36&gt;35,N144+M145-V144,IF(A145&lt;'Données projet'!$A$36,$K$205^A145,IF(A145='Données projet'!$A$36,'Données projet'!$B$36,N144+M145-V144)))</f>
        <v>273.79999999999905</v>
      </c>
      <c r="O145" s="14">
        <f>N145*VLOOKUP('Données projet'!$B$9,Paramètres!$A$1:$I$89,3,0)*VLOOKUP('Données projet'!$B$9,Paramètres!$A$1:$I$89,5,0)</f>
        <v>277.63319999999902</v>
      </c>
      <c r="P145" s="14">
        <f t="shared" si="141"/>
        <v>66.466589162975524</v>
      </c>
      <c r="Q145" s="22">
        <f t="shared" si="108"/>
        <v>599.3071327921806</v>
      </c>
      <c r="R145" s="62">
        <f t="shared" si="109"/>
        <v>892.64046612551397</v>
      </c>
      <c r="S145" s="62">
        <f ca="1">AVERAGE(OFFSET($R$3,0,0,'Données projet'!$E$9+1,1))-AVERAGE(OFFSET($H$3,0,0,'Données projet'!$E$9+1,1))</f>
        <v>476.25344680259701</v>
      </c>
      <c r="T145" s="62">
        <f t="shared" si="142"/>
        <v>254.25036207346591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-5.1159076974727213E-13</v>
      </c>
      <c r="AJ145" s="14">
        <f>AI145*VLOOKUP('Données projet'!$B$10,Paramètres!$A$1:$I$89,3,0)*VLOOKUP('Données projet'!$B$10,Paramètres!$A$1:$I$89,5,0)</f>
        <v>-5.3471467253984886E-13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493.70175665335978</v>
      </c>
      <c r="AO145" s="62">
        <f t="shared" si="144"/>
        <v>325.12357781685949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>
        <f>BD145*VLOOKUP('Données projet'!$B$11,Paramètres!$A$1:$I$89,3,0)*VLOOKUP('Données projet'!$B$11,Paramètres!$A$1:$I$89,5,0)</f>
        <v>0</v>
      </c>
      <c r="BF145" s="14" t="e">
        <f t="shared" si="145"/>
        <v>#NUM!</v>
      </c>
      <c r="BG145" s="22" t="e">
        <f t="shared" si="115"/>
        <v>#NUM!</v>
      </c>
      <c r="BH145" s="62" t="e">
        <f t="shared" si="116"/>
        <v>#NUM!</v>
      </c>
      <c r="BI145" s="62">
        <f ca="1">AVERAGE(OFFSET($BH$3,0,0,'Données projet'!$E$11+1,1))-AVERAGE(OFFSET($H$3,0,0,'Données projet'!$E$11+1,1))</f>
        <v>245.09257882574383</v>
      </c>
      <c r="BJ145" s="62">
        <f t="shared" si="146"/>
        <v>342.30266518164211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0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2.4</v>
      </c>
      <c r="BY145" s="13">
        <f>IF('Données projet'!$A$114&gt;35,BY144+BX145-CG144,IF(A145&lt;'Données projet'!$A$114,$BV$205^A145,IF(A145='Données projet'!$A$114,'Données projet'!$B$114,BY144+BX145-CG144)))</f>
        <v>273.79999999999905</v>
      </c>
      <c r="BZ145" s="14">
        <f>BY145*VLOOKUP('Données projet'!$B$12,Paramètres!$A$1:$I$89,3,0)*VLOOKUP('Données projet'!$B$12,Paramètres!$A$1:$I$89,5,0)</f>
        <v>247.73423999999912</v>
      </c>
      <c r="CA145" s="14">
        <f t="shared" si="147"/>
        <v>60.100505665694953</v>
      </c>
      <c r="CB145" s="22">
        <f t="shared" si="118"/>
        <v>536.14551536775048</v>
      </c>
      <c r="CC145" s="62">
        <f t="shared" si="119"/>
        <v>829.47884870108373</v>
      </c>
      <c r="CD145" s="62">
        <f ca="1">AVERAGE(OFFSET($CC$3,0,0,'Données projet'!$E$12+1,1))-AVERAGE(OFFSET($H$3,0,0,'Données projet'!$E$12+1,1))</f>
        <v>429.54141820799617</v>
      </c>
      <c r="CE145" s="62">
        <f t="shared" si="148"/>
        <v>231.36959598460686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0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3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2.4</v>
      </c>
      <c r="N146" s="14">
        <f>IF('Données projet'!$A$36&gt;35,N145+M146-V145,IF(A146&lt;'Données projet'!$A$36,$K$205^A146,IF(A146='Données projet'!$A$36,'Données projet'!$B$36,N145+M146-V145)))</f>
        <v>276.19999999999902</v>
      </c>
      <c r="O146" s="14">
        <f>N146*VLOOKUP('Données projet'!$B$9,Paramètres!$A$1:$I$89,3,0)*VLOOKUP('Données projet'!$B$9,Paramètres!$A$1:$I$89,5,0)</f>
        <v>280.06679999999903</v>
      </c>
      <c r="P146" s="14">
        <f t="shared" si="141"/>
        <v>66.981125445388699</v>
      </c>
      <c r="Q146" s="22">
        <f t="shared" si="108"/>
        <v>604.44180348405018</v>
      </c>
      <c r="R146" s="62">
        <f t="shared" si="109"/>
        <v>897.77513681738355</v>
      </c>
      <c r="S146" s="62">
        <f ca="1">AVERAGE(OFFSET($R$3,0,0,'Données projet'!$E$9+1,1))-AVERAGE(OFFSET($H$3,0,0,'Données projet'!$E$9+1,1))</f>
        <v>476.25344680259701</v>
      </c>
      <c r="T146" s="62">
        <f t="shared" si="142"/>
        <v>254.25036207346591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-5.1159076974727213E-13</v>
      </c>
      <c r="AJ146" s="14">
        <f>AI146*VLOOKUP('Données projet'!$B$10,Paramètres!$A$1:$I$89,3,0)*VLOOKUP('Données projet'!$B$10,Paramètres!$A$1:$I$89,5,0)</f>
        <v>-5.3471467253984886E-13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493.70175665335978</v>
      </c>
      <c r="AO146" s="62">
        <f t="shared" si="144"/>
        <v>325.12357781685949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>
        <f>BD146*VLOOKUP('Données projet'!$B$11,Paramètres!$A$1:$I$89,3,0)*VLOOKUP('Données projet'!$B$11,Paramètres!$A$1:$I$89,5,0)</f>
        <v>0</v>
      </c>
      <c r="BF146" s="14" t="e">
        <f t="shared" si="145"/>
        <v>#NUM!</v>
      </c>
      <c r="BG146" s="22" t="e">
        <f t="shared" si="115"/>
        <v>#NUM!</v>
      </c>
      <c r="BH146" s="62" t="e">
        <f t="shared" si="116"/>
        <v>#NUM!</v>
      </c>
      <c r="BI146" s="62">
        <f ca="1">AVERAGE(OFFSET($BH$3,0,0,'Données projet'!$E$11+1,1))-AVERAGE(OFFSET($H$3,0,0,'Données projet'!$E$11+1,1))</f>
        <v>245.09257882574383</v>
      </c>
      <c r="BJ146" s="62">
        <f t="shared" si="146"/>
        <v>342.30266518164211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0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2.4</v>
      </c>
      <c r="BY146" s="13">
        <f>IF('Données projet'!$A$114&gt;35,BY145+BX146-CG145,IF(A146&lt;'Données projet'!$A$114,$BV$205^A146,IF(A146='Données projet'!$A$114,'Données projet'!$B$114,BY145+BX146-CG145)))</f>
        <v>276.19999999999902</v>
      </c>
      <c r="BZ146" s="14">
        <f>BY146*VLOOKUP('Données projet'!$B$12,Paramètres!$A$1:$I$89,3,0)*VLOOKUP('Données projet'!$B$12,Paramètres!$A$1:$I$89,5,0)</f>
        <v>249.90575999999911</v>
      </c>
      <c r="CA146" s="14">
        <f t="shared" si="147"/>
        <v>60.56576033192367</v>
      </c>
      <c r="CB146" s="22">
        <f t="shared" si="118"/>
        <v>540.73789791143201</v>
      </c>
      <c r="CC146" s="62">
        <f t="shared" si="119"/>
        <v>834.07123124476539</v>
      </c>
      <c r="CD146" s="62">
        <f ca="1">AVERAGE(OFFSET($CC$3,0,0,'Données projet'!$E$12+1,1))-AVERAGE(OFFSET($H$3,0,0,'Données projet'!$E$12+1,1))</f>
        <v>429.54141820799617</v>
      </c>
      <c r="CE146" s="62">
        <f t="shared" si="148"/>
        <v>231.36959598460686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0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3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2.4</v>
      </c>
      <c r="N147" s="14">
        <f>IF('Données projet'!$A$36&gt;35,N146+M147-V146,IF(A147&lt;'Données projet'!$A$36,$K$205^A147,IF(A147='Données projet'!$A$36,'Données projet'!$B$36,N146+M147-V146)))</f>
        <v>278.599999999999</v>
      </c>
      <c r="O147" s="14">
        <f>N147*VLOOKUP('Données projet'!$B$9,Paramètres!$A$1:$I$89,3,0)*VLOOKUP('Données projet'!$B$9,Paramètres!$A$1:$I$89,5,0)</f>
        <v>282.50039999999899</v>
      </c>
      <c r="P147" s="14">
        <f t="shared" si="141"/>
        <v>67.495141560894197</v>
      </c>
      <c r="Q147" s="22">
        <f t="shared" si="108"/>
        <v>609.57556821855553</v>
      </c>
      <c r="R147" s="62">
        <f t="shared" si="109"/>
        <v>902.9089015518889</v>
      </c>
      <c r="S147" s="62">
        <f ca="1">AVERAGE(OFFSET($R$3,0,0,'Données projet'!$E$9+1,1))-AVERAGE(OFFSET($H$3,0,0,'Données projet'!$E$9+1,1))</f>
        <v>476.25344680259701</v>
      </c>
      <c r="T147" s="62">
        <f t="shared" si="142"/>
        <v>254.25036207346591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-5.1159076974727213E-13</v>
      </c>
      <c r="AJ147" s="14">
        <f>AI147*VLOOKUP('Données projet'!$B$10,Paramètres!$A$1:$I$89,3,0)*VLOOKUP('Données projet'!$B$10,Paramètres!$A$1:$I$89,5,0)</f>
        <v>-5.3471467253984886E-13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493.70175665335978</v>
      </c>
      <c r="AO147" s="62">
        <f t="shared" si="144"/>
        <v>325.12357781685949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>
        <f>BD147*VLOOKUP('Données projet'!$B$11,Paramètres!$A$1:$I$89,3,0)*VLOOKUP('Données projet'!$B$11,Paramètres!$A$1:$I$89,5,0)</f>
        <v>0</v>
      </c>
      <c r="BF147" s="14" t="e">
        <f t="shared" si="145"/>
        <v>#NUM!</v>
      </c>
      <c r="BG147" s="22" t="e">
        <f t="shared" si="115"/>
        <v>#NUM!</v>
      </c>
      <c r="BH147" s="62" t="e">
        <f t="shared" si="116"/>
        <v>#NUM!</v>
      </c>
      <c r="BI147" s="62">
        <f ca="1">AVERAGE(OFFSET($BH$3,0,0,'Données projet'!$E$11+1,1))-AVERAGE(OFFSET($H$3,0,0,'Données projet'!$E$11+1,1))</f>
        <v>245.09257882574383</v>
      </c>
      <c r="BJ147" s="62">
        <f t="shared" si="146"/>
        <v>342.30266518164211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0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2.4</v>
      </c>
      <c r="BY147" s="13">
        <f>IF('Données projet'!$A$114&gt;35,BY146+BX147-CG146,IF(A147&lt;'Données projet'!$A$114,$BV$205^A147,IF(A147='Données projet'!$A$114,'Données projet'!$B$114,BY146+BX147-CG146)))</f>
        <v>278.599999999999</v>
      </c>
      <c r="BZ147" s="14">
        <f>BY147*VLOOKUP('Données projet'!$B$12,Paramètres!$A$1:$I$89,3,0)*VLOOKUP('Données projet'!$B$12,Paramètres!$A$1:$I$89,5,0)</f>
        <v>252.07727999999906</v>
      </c>
      <c r="CA147" s="14">
        <f t="shared" si="147"/>
        <v>61.030544652154823</v>
      </c>
      <c r="CB147" s="22">
        <f t="shared" si="118"/>
        <v>545.32946126916806</v>
      </c>
      <c r="CC147" s="62">
        <f t="shared" si="119"/>
        <v>838.66279460250144</v>
      </c>
      <c r="CD147" s="62">
        <f ca="1">AVERAGE(OFFSET($CC$3,0,0,'Données projet'!$E$12+1,1))-AVERAGE(OFFSET($H$3,0,0,'Données projet'!$E$12+1,1))</f>
        <v>429.54141820799617</v>
      </c>
      <c r="CE147" s="62">
        <f t="shared" si="148"/>
        <v>231.36959598460686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0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3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2.4</v>
      </c>
      <c r="N148" s="14">
        <f>IF('Données projet'!$A$36&gt;35,N147+M148-V147,IF(A148&lt;'Données projet'!$A$36,$K$205^A148,IF(A148='Données projet'!$A$36,'Données projet'!$B$36,N147+M148-V147)))</f>
        <v>280.99999999999898</v>
      </c>
      <c r="O148" s="14">
        <f>N148*VLOOKUP('Données projet'!$B$9,Paramètres!$A$1:$I$89,3,0)*VLOOKUP('Données projet'!$B$9,Paramètres!$A$1:$I$89,5,0)</f>
        <v>284.933999999999</v>
      </c>
      <c r="P148" s="14">
        <f t="shared" si="141"/>
        <v>68.008642509673109</v>
      </c>
      <c r="Q148" s="22">
        <f t="shared" si="108"/>
        <v>614.70843570434556</v>
      </c>
      <c r="R148" s="62">
        <f t="shared" si="109"/>
        <v>908.04176903767893</v>
      </c>
      <c r="S148" s="62">
        <f ca="1">AVERAGE(OFFSET($R$3,0,0,'Données projet'!$E$9+1,1))-AVERAGE(OFFSET($H$3,0,0,'Données projet'!$E$9+1,1))</f>
        <v>476.25344680259701</v>
      </c>
      <c r="T148" s="62">
        <f t="shared" si="142"/>
        <v>254.25036207346591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-5.1159076974727213E-13</v>
      </c>
      <c r="AJ148" s="14">
        <f>AI148*VLOOKUP('Données projet'!$B$10,Paramètres!$A$1:$I$89,3,0)*VLOOKUP('Données projet'!$B$10,Paramètres!$A$1:$I$89,5,0)</f>
        <v>-5.3471467253984886E-13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493.70175665335978</v>
      </c>
      <c r="AO148" s="62">
        <f t="shared" si="144"/>
        <v>325.12357781685949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>
        <f>BD148*VLOOKUP('Données projet'!$B$11,Paramètres!$A$1:$I$89,3,0)*VLOOKUP('Données projet'!$B$11,Paramètres!$A$1:$I$89,5,0)</f>
        <v>0</v>
      </c>
      <c r="BF148" s="14" t="e">
        <f t="shared" si="145"/>
        <v>#NUM!</v>
      </c>
      <c r="BG148" s="22" t="e">
        <f t="shared" si="115"/>
        <v>#NUM!</v>
      </c>
      <c r="BH148" s="62" t="e">
        <f t="shared" si="116"/>
        <v>#NUM!</v>
      </c>
      <c r="BI148" s="62">
        <f ca="1">AVERAGE(OFFSET($BH$3,0,0,'Données projet'!$E$11+1,1))-AVERAGE(OFFSET($H$3,0,0,'Données projet'!$E$11+1,1))</f>
        <v>245.09257882574383</v>
      </c>
      <c r="BJ148" s="62">
        <f t="shared" si="146"/>
        <v>342.30266518164211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0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2.4</v>
      </c>
      <c r="BY148" s="13">
        <f>IF('Données projet'!$A$114&gt;35,BY147+BX148-CG147,IF(A148&lt;'Données projet'!$A$114,$BV$205^A148,IF(A148='Données projet'!$A$114,'Données projet'!$B$114,BY147+BX148-CG147)))</f>
        <v>280.99999999999898</v>
      </c>
      <c r="BZ148" s="14">
        <f>BY148*VLOOKUP('Données projet'!$B$12,Paramètres!$A$1:$I$89,3,0)*VLOOKUP('Données projet'!$B$12,Paramètres!$A$1:$I$89,5,0)</f>
        <v>254.24879999999905</v>
      </c>
      <c r="CA148" s="14">
        <f t="shared" si="147"/>
        <v>61.494863147658641</v>
      </c>
      <c r="CB148" s="22">
        <f t="shared" si="118"/>
        <v>549.9202133155037</v>
      </c>
      <c r="CC148" s="62">
        <f t="shared" si="119"/>
        <v>843.25354664883707</v>
      </c>
      <c r="CD148" s="62">
        <f ca="1">AVERAGE(OFFSET($CC$3,0,0,'Données projet'!$E$12+1,1))-AVERAGE(OFFSET($H$3,0,0,'Données projet'!$E$12+1,1))</f>
        <v>429.54141820799617</v>
      </c>
      <c r="CE148" s="62">
        <f t="shared" si="148"/>
        <v>231.36959598460686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0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3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2.4</v>
      </c>
      <c r="N149" s="14">
        <f>IF('Données projet'!$A$36&gt;35,N148+M149-V148,IF(A149&lt;'Données projet'!$A$36,$K$205^A149,IF(A149='Données projet'!$A$36,'Données projet'!$B$36,N148+M149-V148)))</f>
        <v>283.39999999999895</v>
      </c>
      <c r="O149" s="14">
        <f>N149*VLOOKUP('Données projet'!$B$9,Paramètres!$A$1:$I$89,3,0)*VLOOKUP('Données projet'!$B$9,Paramètres!$A$1:$I$89,5,0)</f>
        <v>287.36759999999896</v>
      </c>
      <c r="P149" s="14">
        <f t="shared" si="141"/>
        <v>68.521633201564939</v>
      </c>
      <c r="Q149" s="22">
        <f t="shared" si="108"/>
        <v>619.84041449272388</v>
      </c>
      <c r="R149" s="62">
        <f t="shared" si="109"/>
        <v>913.17374782605725</v>
      </c>
      <c r="S149" s="62">
        <f ca="1">AVERAGE(OFFSET($R$3,0,0,'Données projet'!$E$9+1,1))-AVERAGE(OFFSET($H$3,0,0,'Données projet'!$E$9+1,1))</f>
        <v>476.25344680259701</v>
      </c>
      <c r="T149" s="62">
        <f t="shared" si="142"/>
        <v>254.25036207346591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-5.1159076974727213E-13</v>
      </c>
      <c r="AJ149" s="14">
        <f>AI149*VLOOKUP('Données projet'!$B$10,Paramètres!$A$1:$I$89,3,0)*VLOOKUP('Données projet'!$B$10,Paramètres!$A$1:$I$89,5,0)</f>
        <v>-5.3471467253984886E-13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493.70175665335978</v>
      </c>
      <c r="AO149" s="62">
        <f t="shared" si="144"/>
        <v>325.12357781685949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>
        <f>BD149*VLOOKUP('Données projet'!$B$11,Paramètres!$A$1:$I$89,3,0)*VLOOKUP('Données projet'!$B$11,Paramètres!$A$1:$I$89,5,0)</f>
        <v>0</v>
      </c>
      <c r="BF149" s="14" t="e">
        <f t="shared" si="145"/>
        <v>#NUM!</v>
      </c>
      <c r="BG149" s="22" t="e">
        <f t="shared" si="115"/>
        <v>#NUM!</v>
      </c>
      <c r="BH149" s="62" t="e">
        <f t="shared" si="116"/>
        <v>#NUM!</v>
      </c>
      <c r="BI149" s="62">
        <f ca="1">AVERAGE(OFFSET($BH$3,0,0,'Données projet'!$E$11+1,1))-AVERAGE(OFFSET($H$3,0,0,'Données projet'!$E$11+1,1))</f>
        <v>245.09257882574383</v>
      </c>
      <c r="BJ149" s="62">
        <f t="shared" si="146"/>
        <v>342.30266518164211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0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2.4</v>
      </c>
      <c r="BY149" s="13">
        <f>IF('Données projet'!$A$114&gt;35,BY148+BX149-CG148,IF(A149&lt;'Données projet'!$A$114,$BV$205^A149,IF(A149='Données projet'!$A$114,'Données projet'!$B$114,BY148+BX149-CG148)))</f>
        <v>283.39999999999895</v>
      </c>
      <c r="BZ149" s="14">
        <f>BY149*VLOOKUP('Données projet'!$B$12,Paramètres!$A$1:$I$89,3,0)*VLOOKUP('Données projet'!$B$12,Paramètres!$A$1:$I$89,5,0)</f>
        <v>256.42031999999904</v>
      </c>
      <c r="CA149" s="14">
        <f t="shared" si="147"/>
        <v>61.958720258016697</v>
      </c>
      <c r="CB149" s="22">
        <f t="shared" si="118"/>
        <v>554.51016178271072</v>
      </c>
      <c r="CC149" s="62">
        <f t="shared" si="119"/>
        <v>847.8434951160441</v>
      </c>
      <c r="CD149" s="62">
        <f ca="1">AVERAGE(OFFSET($CC$3,0,0,'Données projet'!$E$12+1,1))-AVERAGE(OFFSET($H$3,0,0,'Données projet'!$E$12+1,1))</f>
        <v>429.54141820799617</v>
      </c>
      <c r="CE149" s="62">
        <f t="shared" si="148"/>
        <v>231.36959598460686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0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3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2.4</v>
      </c>
      <c r="N150" s="14">
        <f>IF('Données projet'!$A$36&gt;35,N149+M150-V149,IF(A150&lt;'Données projet'!$A$36,$K$205^A150,IF(A150='Données projet'!$A$36,'Données projet'!$B$36,N149+M150-V149)))</f>
        <v>285.79999999999893</v>
      </c>
      <c r="O150" s="14">
        <f>N150*VLOOKUP('Données projet'!$B$9,Paramètres!$A$1:$I$89,3,0)*VLOOKUP('Données projet'!$B$9,Paramètres!$A$1:$I$89,5,0)</f>
        <v>289.80119999999891</v>
      </c>
      <c r="P150" s="14">
        <f t="shared" si="141"/>
        <v>69.034118458450607</v>
      </c>
      <c r="Q150" s="22">
        <f t="shared" si="108"/>
        <v>624.97151298179949</v>
      </c>
      <c r="R150" s="62">
        <f t="shared" si="109"/>
        <v>918.30484631513286</v>
      </c>
      <c r="S150" s="62">
        <f ca="1">AVERAGE(OFFSET($R$3,0,0,'Données projet'!$E$9+1,1))-AVERAGE(OFFSET($H$3,0,0,'Données projet'!$E$9+1,1))</f>
        <v>476.25344680259701</v>
      </c>
      <c r="T150" s="62">
        <f t="shared" si="142"/>
        <v>254.25036207346591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-5.1159076974727213E-13</v>
      </c>
      <c r="AJ150" s="14">
        <f>AI150*VLOOKUP('Données projet'!$B$10,Paramètres!$A$1:$I$89,3,0)*VLOOKUP('Données projet'!$B$10,Paramètres!$A$1:$I$89,5,0)</f>
        <v>-5.3471467253984886E-13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493.70175665335978</v>
      </c>
      <c r="AO150" s="62">
        <f t="shared" si="144"/>
        <v>325.12357781685949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>
        <f>BD150*VLOOKUP('Données projet'!$B$11,Paramètres!$A$1:$I$89,3,0)*VLOOKUP('Données projet'!$B$11,Paramètres!$A$1:$I$89,5,0)</f>
        <v>0</v>
      </c>
      <c r="BF150" s="14" t="e">
        <f t="shared" si="145"/>
        <v>#NUM!</v>
      </c>
      <c r="BG150" s="22" t="e">
        <f t="shared" si="115"/>
        <v>#NUM!</v>
      </c>
      <c r="BH150" s="62" t="e">
        <f t="shared" si="116"/>
        <v>#NUM!</v>
      </c>
      <c r="BI150" s="62">
        <f ca="1">AVERAGE(OFFSET($BH$3,0,0,'Données projet'!$E$11+1,1))-AVERAGE(OFFSET($H$3,0,0,'Données projet'!$E$11+1,1))</f>
        <v>245.09257882574383</v>
      </c>
      <c r="BJ150" s="62">
        <f t="shared" si="146"/>
        <v>342.30266518164211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0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2.4</v>
      </c>
      <c r="BY150" s="13">
        <f>IF('Données projet'!$A$114&gt;35,BY149+BX150-CG149,IF(A150&lt;'Données projet'!$A$114,$BV$205^A150,IF(A150='Données projet'!$A$114,'Données projet'!$B$114,BY149+BX150-CG149)))</f>
        <v>285.79999999999893</v>
      </c>
      <c r="BZ150" s="14">
        <f>BY150*VLOOKUP('Données projet'!$B$12,Paramètres!$A$1:$I$89,3,0)*VLOOKUP('Données projet'!$B$12,Paramètres!$A$1:$I$89,5,0)</f>
        <v>258.59183999999902</v>
      </c>
      <c r="CA150" s="14">
        <f t="shared" si="147"/>
        <v>62.422120343276418</v>
      </c>
      <c r="CB150" s="22">
        <f t="shared" si="118"/>
        <v>559.09931426453807</v>
      </c>
      <c r="CC150" s="62">
        <f t="shared" si="119"/>
        <v>852.43264759787144</v>
      </c>
      <c r="CD150" s="62">
        <f ca="1">AVERAGE(OFFSET($CC$3,0,0,'Données projet'!$E$12+1,1))-AVERAGE(OFFSET($H$3,0,0,'Données projet'!$E$12+1,1))</f>
        <v>429.54141820799617</v>
      </c>
      <c r="CE150" s="62">
        <f t="shared" si="148"/>
        <v>231.36959598460686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0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3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2.4</v>
      </c>
      <c r="N151" s="14">
        <f>IF('Données projet'!$A$36&gt;35,N150+M151-V150,IF(A151&lt;'Données projet'!$A$36,$K$205^A151,IF(A151='Données projet'!$A$36,'Données projet'!$B$36,N150+M151-V150)))</f>
        <v>288.19999999999891</v>
      </c>
      <c r="O151" s="14">
        <f>N151*VLOOKUP('Données projet'!$B$9,Paramètres!$A$1:$I$89,3,0)*VLOOKUP('Données projet'!$B$9,Paramètres!$A$1:$I$89,5,0)</f>
        <v>292.23479999999893</v>
      </c>
      <c r="P151" s="14">
        <f t="shared" si="141"/>
        <v>69.546103016553573</v>
      </c>
      <c r="Q151" s="22">
        <f t="shared" si="108"/>
        <v>630.10173942049551</v>
      </c>
      <c r="R151" s="62">
        <f t="shared" si="109"/>
        <v>923.43507275382876</v>
      </c>
      <c r="S151" s="62">
        <f ca="1">AVERAGE(OFFSET($R$3,0,0,'Données projet'!$E$9+1,1))-AVERAGE(OFFSET($H$3,0,0,'Données projet'!$E$9+1,1))</f>
        <v>476.25344680259701</v>
      </c>
      <c r="T151" s="62">
        <f t="shared" si="142"/>
        <v>254.25036207346591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-5.1159076974727213E-13</v>
      </c>
      <c r="AJ151" s="14">
        <f>AI151*VLOOKUP('Données projet'!$B$10,Paramètres!$A$1:$I$89,3,0)*VLOOKUP('Données projet'!$B$10,Paramètres!$A$1:$I$89,5,0)</f>
        <v>-5.3471467253984886E-13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493.70175665335978</v>
      </c>
      <c r="AO151" s="62">
        <f t="shared" si="144"/>
        <v>325.12357781685949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>
        <f>BD151*VLOOKUP('Données projet'!$B$11,Paramètres!$A$1:$I$89,3,0)*VLOOKUP('Données projet'!$B$11,Paramètres!$A$1:$I$89,5,0)</f>
        <v>0</v>
      </c>
      <c r="BF151" s="14" t="e">
        <f t="shared" si="145"/>
        <v>#NUM!</v>
      </c>
      <c r="BG151" s="22" t="e">
        <f t="shared" si="115"/>
        <v>#NUM!</v>
      </c>
      <c r="BH151" s="62" t="e">
        <f t="shared" si="116"/>
        <v>#NUM!</v>
      </c>
      <c r="BI151" s="62">
        <f ca="1">AVERAGE(OFFSET($BH$3,0,0,'Données projet'!$E$11+1,1))-AVERAGE(OFFSET($H$3,0,0,'Données projet'!$E$11+1,1))</f>
        <v>245.09257882574383</v>
      </c>
      <c r="BJ151" s="62">
        <f t="shared" si="146"/>
        <v>342.30266518164211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0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2.4</v>
      </c>
      <c r="BY151" s="13">
        <f>IF('Données projet'!$A$114&gt;35,BY150+BX151-CG150,IF(A151&lt;'Données projet'!$A$114,$BV$205^A151,IF(A151='Données projet'!$A$114,'Données projet'!$B$114,BY150+BX151-CG150)))</f>
        <v>288.19999999999891</v>
      </c>
      <c r="BZ151" s="14">
        <f>BY151*VLOOKUP('Données projet'!$B$12,Paramètres!$A$1:$I$89,3,0)*VLOOKUP('Données projet'!$B$12,Paramètres!$A$1:$I$89,5,0)</f>
        <v>260.76335999999901</v>
      </c>
      <c r="CA151" s="14">
        <f t="shared" si="147"/>
        <v>62.885067686031789</v>
      </c>
      <c r="CB151" s="22">
        <f t="shared" si="118"/>
        <v>563.68767821983693</v>
      </c>
      <c r="CC151" s="62">
        <f t="shared" si="119"/>
        <v>857.02101155317018</v>
      </c>
      <c r="CD151" s="62">
        <f ca="1">AVERAGE(OFFSET($CC$3,0,0,'Données projet'!$E$12+1,1))-AVERAGE(OFFSET($H$3,0,0,'Données projet'!$E$12+1,1))</f>
        <v>429.54141820799617</v>
      </c>
      <c r="CE151" s="62">
        <f t="shared" si="148"/>
        <v>231.36959598460686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0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3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2.4</v>
      </c>
      <c r="N152" s="14">
        <f>IF('Données projet'!$A$36&gt;35,N151+M152-V151,IF(A152&lt;'Données projet'!$A$36,$K$205^A152,IF(A152='Données projet'!$A$36,'Données projet'!$B$36,N151+M152-V151)))</f>
        <v>290.59999999999889</v>
      </c>
      <c r="O152" s="14">
        <f>N152*VLOOKUP('Données projet'!$B$9,Paramètres!$A$1:$I$89,3,0)*VLOOKUP('Données projet'!$B$9,Paramètres!$A$1:$I$89,5,0)</f>
        <v>294.66839999999888</v>
      </c>
      <c r="P152" s="14">
        <f t="shared" si="141"/>
        <v>70.057591528661362</v>
      </c>
      <c r="Q152" s="22">
        <f t="shared" si="108"/>
        <v>635.23110191241653</v>
      </c>
      <c r="R152" s="62">
        <f t="shared" si="109"/>
        <v>928.56443524574979</v>
      </c>
      <c r="S152" s="62">
        <f ca="1">AVERAGE(OFFSET($R$3,0,0,'Données projet'!$E$9+1,1))-AVERAGE(OFFSET($H$3,0,0,'Données projet'!$E$9+1,1))</f>
        <v>476.25344680259701</v>
      </c>
      <c r="T152" s="62">
        <f t="shared" si="142"/>
        <v>254.25036207346591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-5.1159076974727213E-13</v>
      </c>
      <c r="AJ152" s="14">
        <f>AI152*VLOOKUP('Données projet'!$B$10,Paramètres!$A$1:$I$89,3,0)*VLOOKUP('Données projet'!$B$10,Paramètres!$A$1:$I$89,5,0)</f>
        <v>-5.3471467253984886E-13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493.70175665335978</v>
      </c>
      <c r="AO152" s="62">
        <f t="shared" si="144"/>
        <v>325.12357781685949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>
        <f>BD152*VLOOKUP('Données projet'!$B$11,Paramètres!$A$1:$I$89,3,0)*VLOOKUP('Données projet'!$B$11,Paramètres!$A$1:$I$89,5,0)</f>
        <v>0</v>
      </c>
      <c r="BF152" s="14" t="e">
        <f t="shared" si="145"/>
        <v>#NUM!</v>
      </c>
      <c r="BG152" s="22" t="e">
        <f t="shared" si="115"/>
        <v>#NUM!</v>
      </c>
      <c r="BH152" s="62" t="e">
        <f t="shared" si="116"/>
        <v>#NUM!</v>
      </c>
      <c r="BI152" s="62">
        <f ca="1">AVERAGE(OFFSET($BH$3,0,0,'Données projet'!$E$11+1,1))-AVERAGE(OFFSET($H$3,0,0,'Données projet'!$E$11+1,1))</f>
        <v>245.09257882574383</v>
      </c>
      <c r="BJ152" s="62">
        <f t="shared" si="146"/>
        <v>342.30266518164211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0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2.4</v>
      </c>
      <c r="BY152" s="13">
        <f>IF('Données projet'!$A$114&gt;35,BY151+BX152-CG151,IF(A152&lt;'Données projet'!$A$114,$BV$205^A152,IF(A152='Données projet'!$A$114,'Données projet'!$B$114,BY151+BX152-CG151)))</f>
        <v>290.59999999999889</v>
      </c>
      <c r="BZ152" s="14">
        <f>BY152*VLOOKUP('Données projet'!$B$12,Paramètres!$A$1:$I$89,3,0)*VLOOKUP('Données projet'!$B$12,Paramètres!$A$1:$I$89,5,0)</f>
        <v>262.934879999999</v>
      </c>
      <c r="CA152" s="14">
        <f t="shared" si="147"/>
        <v>63.347566493432595</v>
      </c>
      <c r="CB152" s="22">
        <f t="shared" si="118"/>
        <v>568.27526097606005</v>
      </c>
      <c r="CC152" s="62">
        <f t="shared" si="119"/>
        <v>861.60859430939331</v>
      </c>
      <c r="CD152" s="62">
        <f ca="1">AVERAGE(OFFSET($CC$3,0,0,'Données projet'!$E$12+1,1))-AVERAGE(OFFSET($H$3,0,0,'Données projet'!$E$12+1,1))</f>
        <v>429.54141820799617</v>
      </c>
      <c r="CE152" s="62">
        <f t="shared" si="148"/>
        <v>231.36959598460686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0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3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>
        <f>VLOOKUP(A153,'Données projet'!$A$35:$I$55,2,0)</f>
        <v>293</v>
      </c>
      <c r="L153" s="13">
        <f>VLOOKUP(A153,'Données projet'!$A$35:$I$55,9,0)</f>
        <v>2.4</v>
      </c>
      <c r="M153" s="13">
        <f t="array" ref="M153">INDEX(L:L,MIN(IF(ISNUMBER(L153:L349),ROW(L153:L349),"")))</f>
        <v>2.4</v>
      </c>
      <c r="N153" s="14">
        <f>IF('Données projet'!$A$36&gt;35,N152+M153-V152,IF(A153&lt;'Données projet'!$A$36,$K$205^A153,IF(A153='Données projet'!$A$36,'Données projet'!$B$36,N152+M153-V152)))</f>
        <v>292.99999999999886</v>
      </c>
      <c r="O153" s="14">
        <f>N153*VLOOKUP('Données projet'!$B$9,Paramètres!$A$1:$I$89,3,0)*VLOOKUP('Données projet'!$B$9,Paramètres!$A$1:$I$89,5,0)</f>
        <v>297.1019999999989</v>
      </c>
      <c r="P153" s="14">
        <f t="shared" si="141"/>
        <v>70.568588566272624</v>
      </c>
      <c r="Q153" s="22">
        <f t="shared" si="108"/>
        <v>640.35960841958956</v>
      </c>
      <c r="R153" s="62">
        <f t="shared" si="109"/>
        <v>933.69294175292293</v>
      </c>
      <c r="S153" s="62">
        <f ca="1">AVERAGE(OFFSET($R$3,0,0,'Données projet'!$E$9+1,1))-AVERAGE(OFFSET($H$3,0,0,'Données projet'!$E$9+1,1))</f>
        <v>476.25344680259701</v>
      </c>
      <c r="T153" s="62">
        <f t="shared" si="142"/>
        <v>254.25036207346591</v>
      </c>
      <c r="U153" s="16">
        <f>IF(ISNA(VLOOKUP(A153,'Données projet'!$A$35:$I$55,3,0)),0,VLOOKUP(A153,'Données projet'!$A$35:$I$55,3,0))</f>
        <v>13</v>
      </c>
      <c r="V153" s="16">
        <f>IF(ISNA(VLOOKUP(A153,'Données projet'!$A$35:$I$55,4,0)),0,VLOOKUP(A153,'Données projet'!$A$35:$I$55,4,0))</f>
        <v>293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-5.1159076974727213E-13</v>
      </c>
      <c r="AJ153" s="14">
        <f>AI153*VLOOKUP('Données projet'!$B$10,Paramètres!$A$1:$I$89,3,0)*VLOOKUP('Données projet'!$B$10,Paramètres!$A$1:$I$89,5,0)</f>
        <v>-5.3471467253984886E-13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493.70175665335978</v>
      </c>
      <c r="AO153" s="62">
        <f t="shared" si="144"/>
        <v>325.12357781685949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>
        <f>BD153*VLOOKUP('Données projet'!$B$11,Paramètres!$A$1:$I$89,3,0)*VLOOKUP('Données projet'!$B$11,Paramètres!$A$1:$I$89,5,0)</f>
        <v>0</v>
      </c>
      <c r="BF153" s="14" t="e">
        <f t="shared" si="145"/>
        <v>#NUM!</v>
      </c>
      <c r="BG153" s="22" t="e">
        <f t="shared" si="115"/>
        <v>#NUM!</v>
      </c>
      <c r="BH153" s="62" t="e">
        <f t="shared" si="116"/>
        <v>#NUM!</v>
      </c>
      <c r="BI153" s="62">
        <f ca="1">AVERAGE(OFFSET($BH$3,0,0,'Données projet'!$E$11+1,1))-AVERAGE(OFFSET($H$3,0,0,'Données projet'!$E$11+1,1))</f>
        <v>245.09257882574383</v>
      </c>
      <c r="BJ153" s="62">
        <f t="shared" si="146"/>
        <v>342.30266518164211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0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>
        <f>VLOOKUP(A153,'Données projet'!$A$113:$I$133,2,0)</f>
        <v>293</v>
      </c>
      <c r="BW153" s="13">
        <f>VLOOKUP(A153,'Données projet'!$A$113:$I$133,9,0)</f>
        <v>2.4</v>
      </c>
      <c r="BX153" s="13">
        <f t="array" ref="BX153">INDEX(BW:BW,MIN(IF(ISNUMBER(BW153:BW349),ROW(BW153:BW349),"")))</f>
        <v>2.4</v>
      </c>
      <c r="BY153" s="13">
        <f>IF('Données projet'!$A$114&gt;35,BY152+BX153-CG152,IF(A153&lt;'Données projet'!$A$114,$BV$205^A153,IF(A153='Données projet'!$A$114,'Données projet'!$B$114,BY152+BX153-CG152)))</f>
        <v>292.99999999999886</v>
      </c>
      <c r="BZ153" s="14">
        <f>BY153*VLOOKUP('Données projet'!$B$12,Paramètres!$A$1:$I$89,3,0)*VLOOKUP('Données projet'!$B$12,Paramètres!$A$1:$I$89,5,0)</f>
        <v>265.10639999999893</v>
      </c>
      <c r="CA153" s="14">
        <f t="shared" si="147"/>
        <v>63.809620899125079</v>
      </c>
      <c r="CB153" s="22">
        <f t="shared" si="118"/>
        <v>572.86206973264098</v>
      </c>
      <c r="CC153" s="62">
        <f t="shared" si="119"/>
        <v>866.19540306597423</v>
      </c>
      <c r="CD153" s="62">
        <f ca="1">AVERAGE(OFFSET($CC$3,0,0,'Données projet'!$E$12+1,1))-AVERAGE(OFFSET($H$3,0,0,'Données projet'!$E$12+1,1))</f>
        <v>429.54141820799617</v>
      </c>
      <c r="CE153" s="62">
        <f t="shared" si="148"/>
        <v>231.36959598460686</v>
      </c>
      <c r="CF153" s="16">
        <f>IF(ISNA(VLOOKUP(A153,'Données projet'!$A$113:$I$133,3,0)),0,VLOOKUP(A153,'Données projet'!$A$113:$I$133,3,0))</f>
        <v>13</v>
      </c>
      <c r="CG153" s="16">
        <f>IF(ISNA(VLOOKUP(A153,'Données projet'!$A$113:$I$133,4,0)),0,VLOOKUP(A153,'Données projet'!$A$113:$I$133,4,0))</f>
        <v>293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0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3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-1.1368683772161603E-12</v>
      </c>
      <c r="O154" s="14">
        <f>N154*VLOOKUP('Données projet'!$B$9,Paramètres!$A$1:$I$89,3,0)*VLOOKUP('Données projet'!$B$9,Paramètres!$A$1:$I$89,5,0)</f>
        <v>-1.1527845344971866E-12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476.25344680259701</v>
      </c>
      <c r="T154" s="62">
        <f t="shared" si="142"/>
        <v>254.25036207346591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-5.1159076974727213E-13</v>
      </c>
      <c r="AJ154" s="14">
        <f>AI154*VLOOKUP('Données projet'!$B$10,Paramètres!$A$1:$I$89,3,0)*VLOOKUP('Données projet'!$B$10,Paramètres!$A$1:$I$89,5,0)</f>
        <v>-5.3471467253984886E-13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493.70175665335978</v>
      </c>
      <c r="AO154" s="62">
        <f t="shared" si="144"/>
        <v>325.12357781685949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>
        <f>BD154*VLOOKUP('Données projet'!$B$11,Paramètres!$A$1:$I$89,3,0)*VLOOKUP('Données projet'!$B$11,Paramètres!$A$1:$I$89,5,0)</f>
        <v>0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6"/>
        <v>#NUM!</v>
      </c>
      <c r="BI154" s="62">
        <f ca="1">AVERAGE(OFFSET($BH$3,0,0,'Données projet'!$E$11+1,1))-AVERAGE(OFFSET($H$3,0,0,'Données projet'!$E$11+1,1))</f>
        <v>245.09257882574383</v>
      </c>
      <c r="BJ154" s="62">
        <f t="shared" si="146"/>
        <v>342.30266518164211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0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-1.1368683772161603E-12</v>
      </c>
      <c r="BZ154" s="14">
        <f>BY154*VLOOKUP('Données projet'!$B$12,Paramètres!$A$1:$I$89,3,0)*VLOOKUP('Données projet'!$B$12,Paramètres!$A$1:$I$89,5,0)</f>
        <v>-1.0286385077051818E-12</v>
      </c>
      <c r="CA154" s="14" t="e">
        <f t="shared" ref="CA154:CA203" si="170">EXP(-1.0587+0.8836*LN(BZ154)+0.284)</f>
        <v>#NUM!</v>
      </c>
      <c r="CB154" s="22" t="e">
        <f t="shared" ref="CB154:CB203" si="171">(BZ154+CA154)*0.475*44/12</f>
        <v>#NUM!</v>
      </c>
      <c r="CC154" s="62" t="e">
        <f t="shared" si="119"/>
        <v>#NUM!</v>
      </c>
      <c r="CD154" s="62">
        <f ca="1">AVERAGE(OFFSET($CC$3,0,0,'Données projet'!$E$12+1,1))-AVERAGE(OFFSET($H$3,0,0,'Données projet'!$E$12+1,1))</f>
        <v>429.54141820799617</v>
      </c>
      <c r="CE154" s="62">
        <f t="shared" si="148"/>
        <v>231.36959598460686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0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3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-1.1368683772161603E-12</v>
      </c>
      <c r="O155" s="14">
        <f>N155*VLOOKUP('Données projet'!$B$9,Paramètres!$A$1:$I$89,3,0)*VLOOKUP('Données projet'!$B$9,Paramètres!$A$1:$I$89,5,0)</f>
        <v>-1.1527845344971866E-12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476.25344680259701</v>
      </c>
      <c r="T155" s="62">
        <f t="shared" si="142"/>
        <v>254.25036207346591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-5.1159076974727213E-13</v>
      </c>
      <c r="AJ155" s="14">
        <f>AI155*VLOOKUP('Données projet'!$B$10,Paramètres!$A$1:$I$89,3,0)*VLOOKUP('Données projet'!$B$10,Paramètres!$A$1:$I$89,5,0)</f>
        <v>-5.3471467253984886E-13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493.70175665335978</v>
      </c>
      <c r="AO155" s="62">
        <f t="shared" si="144"/>
        <v>325.12357781685949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>
        <f>BD155*VLOOKUP('Données projet'!$B$11,Paramètres!$A$1:$I$89,3,0)*VLOOKUP('Données projet'!$B$11,Paramètres!$A$1:$I$89,5,0)</f>
        <v>0</v>
      </c>
      <c r="BF155" s="14" t="e">
        <f t="shared" si="167"/>
        <v>#NUM!</v>
      </c>
      <c r="BG155" s="22" t="e">
        <f t="shared" si="168"/>
        <v>#NUM!</v>
      </c>
      <c r="BH155" s="62" t="e">
        <f t="shared" si="116"/>
        <v>#NUM!</v>
      </c>
      <c r="BI155" s="62">
        <f ca="1">AVERAGE(OFFSET($BH$3,0,0,'Données projet'!$E$11+1,1))-AVERAGE(OFFSET($H$3,0,0,'Données projet'!$E$11+1,1))</f>
        <v>245.09257882574383</v>
      </c>
      <c r="BJ155" s="62">
        <f t="shared" si="146"/>
        <v>342.30266518164211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0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-1.1368683772161603E-12</v>
      </c>
      <c r="BZ155" s="14">
        <f>BY155*VLOOKUP('Données projet'!$B$12,Paramètres!$A$1:$I$89,3,0)*VLOOKUP('Données projet'!$B$12,Paramètres!$A$1:$I$89,5,0)</f>
        <v>-1.0286385077051818E-12</v>
      </c>
      <c r="CA155" s="14" t="e">
        <f t="shared" si="170"/>
        <v>#NUM!</v>
      </c>
      <c r="CB155" s="22" t="e">
        <f t="shared" si="171"/>
        <v>#NUM!</v>
      </c>
      <c r="CC155" s="62" t="e">
        <f t="shared" si="119"/>
        <v>#NUM!</v>
      </c>
      <c r="CD155" s="62">
        <f ca="1">AVERAGE(OFFSET($CC$3,0,0,'Données projet'!$E$12+1,1))-AVERAGE(OFFSET($H$3,0,0,'Données projet'!$E$12+1,1))</f>
        <v>429.54141820799617</v>
      </c>
      <c r="CE155" s="62">
        <f t="shared" si="148"/>
        <v>231.36959598460686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0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3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-1.1368683772161603E-12</v>
      </c>
      <c r="O156" s="14">
        <f>N156*VLOOKUP('Données projet'!$B$9,Paramètres!$A$1:$I$89,3,0)*VLOOKUP('Données projet'!$B$9,Paramètres!$A$1:$I$89,5,0)</f>
        <v>-1.1527845344971866E-12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476.25344680259701</v>
      </c>
      <c r="T156" s="62">
        <f t="shared" si="142"/>
        <v>254.25036207346591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-5.1159076974727213E-13</v>
      </c>
      <c r="AJ156" s="14">
        <f>AI156*VLOOKUP('Données projet'!$B$10,Paramètres!$A$1:$I$89,3,0)*VLOOKUP('Données projet'!$B$10,Paramètres!$A$1:$I$89,5,0)</f>
        <v>-5.3471467253984886E-13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493.70175665335978</v>
      </c>
      <c r="AO156" s="62">
        <f t="shared" si="144"/>
        <v>325.12357781685949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>
        <f>BD156*VLOOKUP('Données projet'!$B$11,Paramètres!$A$1:$I$89,3,0)*VLOOKUP('Données projet'!$B$11,Paramètres!$A$1:$I$89,5,0)</f>
        <v>0</v>
      </c>
      <c r="BF156" s="14" t="e">
        <f t="shared" si="167"/>
        <v>#NUM!</v>
      </c>
      <c r="BG156" s="22" t="e">
        <f t="shared" si="168"/>
        <v>#NUM!</v>
      </c>
      <c r="BH156" s="62" t="e">
        <f t="shared" si="116"/>
        <v>#NUM!</v>
      </c>
      <c r="BI156" s="62">
        <f ca="1">AVERAGE(OFFSET($BH$3,0,0,'Données projet'!$E$11+1,1))-AVERAGE(OFFSET($H$3,0,0,'Données projet'!$E$11+1,1))</f>
        <v>245.09257882574383</v>
      </c>
      <c r="BJ156" s="62">
        <f t="shared" si="146"/>
        <v>342.30266518164211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0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-1.1368683772161603E-12</v>
      </c>
      <c r="BZ156" s="14">
        <f>BY156*VLOOKUP('Données projet'!$B$12,Paramètres!$A$1:$I$89,3,0)*VLOOKUP('Données projet'!$B$12,Paramètres!$A$1:$I$89,5,0)</f>
        <v>-1.0286385077051818E-12</v>
      </c>
      <c r="CA156" s="14" t="e">
        <f t="shared" si="170"/>
        <v>#NUM!</v>
      </c>
      <c r="CB156" s="22" t="e">
        <f t="shared" si="171"/>
        <v>#NUM!</v>
      </c>
      <c r="CC156" s="62" t="e">
        <f t="shared" si="119"/>
        <v>#NUM!</v>
      </c>
      <c r="CD156" s="62">
        <f ca="1">AVERAGE(OFFSET($CC$3,0,0,'Données projet'!$E$12+1,1))-AVERAGE(OFFSET($H$3,0,0,'Données projet'!$E$12+1,1))</f>
        <v>429.54141820799617</v>
      </c>
      <c r="CE156" s="62">
        <f t="shared" si="148"/>
        <v>231.36959598460686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0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3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-1.1368683772161603E-12</v>
      </c>
      <c r="O157" s="14">
        <f>N157*VLOOKUP('Données projet'!$B$9,Paramètres!$A$1:$I$89,3,0)*VLOOKUP('Données projet'!$B$9,Paramètres!$A$1:$I$89,5,0)</f>
        <v>-1.1527845344971866E-12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476.25344680259701</v>
      </c>
      <c r="T157" s="62">
        <f t="shared" si="142"/>
        <v>254.25036207346591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-5.1159076974727213E-13</v>
      </c>
      <c r="AJ157" s="14">
        <f>AI157*VLOOKUP('Données projet'!$B$10,Paramètres!$A$1:$I$89,3,0)*VLOOKUP('Données projet'!$B$10,Paramètres!$A$1:$I$89,5,0)</f>
        <v>-5.3471467253984886E-13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493.70175665335978</v>
      </c>
      <c r="AO157" s="62">
        <f t="shared" si="144"/>
        <v>325.12357781685949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>
        <f>BD157*VLOOKUP('Données projet'!$B$11,Paramètres!$A$1:$I$89,3,0)*VLOOKUP('Données projet'!$B$11,Paramètres!$A$1:$I$89,5,0)</f>
        <v>0</v>
      </c>
      <c r="BF157" s="14" t="e">
        <f t="shared" si="167"/>
        <v>#NUM!</v>
      </c>
      <c r="BG157" s="22" t="e">
        <f t="shared" si="168"/>
        <v>#NUM!</v>
      </c>
      <c r="BH157" s="62" t="e">
        <f t="shared" si="116"/>
        <v>#NUM!</v>
      </c>
      <c r="BI157" s="62">
        <f ca="1">AVERAGE(OFFSET($BH$3,0,0,'Données projet'!$E$11+1,1))-AVERAGE(OFFSET($H$3,0,0,'Données projet'!$E$11+1,1))</f>
        <v>245.09257882574383</v>
      </c>
      <c r="BJ157" s="62">
        <f t="shared" si="146"/>
        <v>342.30266518164211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0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-1.1368683772161603E-12</v>
      </c>
      <c r="BZ157" s="14">
        <f>BY157*VLOOKUP('Données projet'!$B$12,Paramètres!$A$1:$I$89,3,0)*VLOOKUP('Données projet'!$B$12,Paramètres!$A$1:$I$89,5,0)</f>
        <v>-1.0286385077051818E-12</v>
      </c>
      <c r="CA157" s="14" t="e">
        <f t="shared" si="170"/>
        <v>#NUM!</v>
      </c>
      <c r="CB157" s="22" t="e">
        <f t="shared" si="171"/>
        <v>#NUM!</v>
      </c>
      <c r="CC157" s="62" t="e">
        <f t="shared" si="119"/>
        <v>#NUM!</v>
      </c>
      <c r="CD157" s="62">
        <f ca="1">AVERAGE(OFFSET($CC$3,0,0,'Données projet'!$E$12+1,1))-AVERAGE(OFFSET($H$3,0,0,'Données projet'!$E$12+1,1))</f>
        <v>429.54141820799617</v>
      </c>
      <c r="CE157" s="62">
        <f t="shared" si="148"/>
        <v>231.36959598460686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0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3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-1.1368683772161603E-12</v>
      </c>
      <c r="O158" s="14">
        <f>N158*VLOOKUP('Données projet'!$B$9,Paramètres!$A$1:$I$89,3,0)*VLOOKUP('Données projet'!$B$9,Paramètres!$A$1:$I$89,5,0)</f>
        <v>-1.1527845344971866E-12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476.25344680259701</v>
      </c>
      <c r="T158" s="62">
        <f t="shared" si="142"/>
        <v>254.25036207346591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-5.1159076974727213E-13</v>
      </c>
      <c r="AJ158" s="14">
        <f>AI158*VLOOKUP('Données projet'!$B$10,Paramètres!$A$1:$I$89,3,0)*VLOOKUP('Données projet'!$B$10,Paramètres!$A$1:$I$89,5,0)</f>
        <v>-5.3471467253984886E-13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493.70175665335978</v>
      </c>
      <c r="AO158" s="62">
        <f t="shared" si="144"/>
        <v>325.12357781685949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>
        <f>BD158*VLOOKUP('Données projet'!$B$11,Paramètres!$A$1:$I$89,3,0)*VLOOKUP('Données projet'!$B$11,Paramètres!$A$1:$I$89,5,0)</f>
        <v>0</v>
      </c>
      <c r="BF158" s="14" t="e">
        <f t="shared" si="167"/>
        <v>#NUM!</v>
      </c>
      <c r="BG158" s="22" t="e">
        <f t="shared" si="168"/>
        <v>#NUM!</v>
      </c>
      <c r="BH158" s="62" t="e">
        <f t="shared" si="116"/>
        <v>#NUM!</v>
      </c>
      <c r="BI158" s="62">
        <f ca="1">AVERAGE(OFFSET($BH$3,0,0,'Données projet'!$E$11+1,1))-AVERAGE(OFFSET($H$3,0,0,'Données projet'!$E$11+1,1))</f>
        <v>245.09257882574383</v>
      </c>
      <c r="BJ158" s="62">
        <f t="shared" si="146"/>
        <v>342.30266518164211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0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-1.1368683772161603E-12</v>
      </c>
      <c r="BZ158" s="14">
        <f>BY158*VLOOKUP('Données projet'!$B$12,Paramètres!$A$1:$I$89,3,0)*VLOOKUP('Données projet'!$B$12,Paramètres!$A$1:$I$89,5,0)</f>
        <v>-1.0286385077051818E-12</v>
      </c>
      <c r="CA158" s="14" t="e">
        <f t="shared" si="170"/>
        <v>#NUM!</v>
      </c>
      <c r="CB158" s="22" t="e">
        <f t="shared" si="171"/>
        <v>#NUM!</v>
      </c>
      <c r="CC158" s="62" t="e">
        <f t="shared" si="119"/>
        <v>#NUM!</v>
      </c>
      <c r="CD158" s="62">
        <f ca="1">AVERAGE(OFFSET($CC$3,0,0,'Données projet'!$E$12+1,1))-AVERAGE(OFFSET($H$3,0,0,'Données projet'!$E$12+1,1))</f>
        <v>429.54141820799617</v>
      </c>
      <c r="CE158" s="62">
        <f t="shared" si="148"/>
        <v>231.36959598460686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0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3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-1.1368683772161603E-12</v>
      </c>
      <c r="O159" s="14">
        <f>N159*VLOOKUP('Données projet'!$B$9,Paramètres!$A$1:$I$89,3,0)*VLOOKUP('Données projet'!$B$9,Paramètres!$A$1:$I$89,5,0)</f>
        <v>-1.1527845344971866E-12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476.25344680259701</v>
      </c>
      <c r="T159" s="62">
        <f t="shared" si="142"/>
        <v>254.25036207346591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-5.1159076974727213E-13</v>
      </c>
      <c r="AJ159" s="14">
        <f>AI159*VLOOKUP('Données projet'!$B$10,Paramètres!$A$1:$I$89,3,0)*VLOOKUP('Données projet'!$B$10,Paramètres!$A$1:$I$89,5,0)</f>
        <v>-5.3471467253984886E-13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493.70175665335978</v>
      </c>
      <c r="AO159" s="62">
        <f t="shared" si="144"/>
        <v>325.12357781685949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>
        <f>BD159*VLOOKUP('Données projet'!$B$11,Paramètres!$A$1:$I$89,3,0)*VLOOKUP('Données projet'!$B$11,Paramètres!$A$1:$I$89,5,0)</f>
        <v>0</v>
      </c>
      <c r="BF159" s="14" t="e">
        <f t="shared" si="167"/>
        <v>#NUM!</v>
      </c>
      <c r="BG159" s="22" t="e">
        <f t="shared" si="168"/>
        <v>#NUM!</v>
      </c>
      <c r="BH159" s="62" t="e">
        <f t="shared" si="116"/>
        <v>#NUM!</v>
      </c>
      <c r="BI159" s="62">
        <f ca="1">AVERAGE(OFFSET($BH$3,0,0,'Données projet'!$E$11+1,1))-AVERAGE(OFFSET($H$3,0,0,'Données projet'!$E$11+1,1))</f>
        <v>245.09257882574383</v>
      </c>
      <c r="BJ159" s="62">
        <f t="shared" si="146"/>
        <v>342.30266518164211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0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-1.1368683772161603E-12</v>
      </c>
      <c r="BZ159" s="14">
        <f>BY159*VLOOKUP('Données projet'!$B$12,Paramètres!$A$1:$I$89,3,0)*VLOOKUP('Données projet'!$B$12,Paramètres!$A$1:$I$89,5,0)</f>
        <v>-1.0286385077051818E-12</v>
      </c>
      <c r="CA159" s="14" t="e">
        <f t="shared" si="170"/>
        <v>#NUM!</v>
      </c>
      <c r="CB159" s="22" t="e">
        <f t="shared" si="171"/>
        <v>#NUM!</v>
      </c>
      <c r="CC159" s="62" t="e">
        <f t="shared" si="119"/>
        <v>#NUM!</v>
      </c>
      <c r="CD159" s="62">
        <f ca="1">AVERAGE(OFFSET($CC$3,0,0,'Données projet'!$E$12+1,1))-AVERAGE(OFFSET($H$3,0,0,'Données projet'!$E$12+1,1))</f>
        <v>429.54141820799617</v>
      </c>
      <c r="CE159" s="62">
        <f t="shared" si="148"/>
        <v>231.36959598460686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0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3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-1.1368683772161603E-12</v>
      </c>
      <c r="O160" s="14">
        <f>N160*VLOOKUP('Données projet'!$B$9,Paramètres!$A$1:$I$89,3,0)*VLOOKUP('Données projet'!$B$9,Paramètres!$A$1:$I$89,5,0)</f>
        <v>-1.1527845344971866E-12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476.25344680259701</v>
      </c>
      <c r="T160" s="62">
        <f t="shared" si="142"/>
        <v>254.25036207346591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-5.1159076974727213E-13</v>
      </c>
      <c r="AJ160" s="14">
        <f>AI160*VLOOKUP('Données projet'!$B$10,Paramètres!$A$1:$I$89,3,0)*VLOOKUP('Données projet'!$B$10,Paramètres!$A$1:$I$89,5,0)</f>
        <v>-5.3471467253984886E-13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493.70175665335978</v>
      </c>
      <c r="AO160" s="62">
        <f t="shared" si="144"/>
        <v>325.12357781685949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>
        <f>BD160*VLOOKUP('Données projet'!$B$11,Paramètres!$A$1:$I$89,3,0)*VLOOKUP('Données projet'!$B$11,Paramètres!$A$1:$I$89,5,0)</f>
        <v>0</v>
      </c>
      <c r="BF160" s="14" t="e">
        <f t="shared" si="167"/>
        <v>#NUM!</v>
      </c>
      <c r="BG160" s="22" t="e">
        <f t="shared" si="168"/>
        <v>#NUM!</v>
      </c>
      <c r="BH160" s="62" t="e">
        <f t="shared" si="116"/>
        <v>#NUM!</v>
      </c>
      <c r="BI160" s="62">
        <f ca="1">AVERAGE(OFFSET($BH$3,0,0,'Données projet'!$E$11+1,1))-AVERAGE(OFFSET($H$3,0,0,'Données projet'!$E$11+1,1))</f>
        <v>245.09257882574383</v>
      </c>
      <c r="BJ160" s="62">
        <f t="shared" si="146"/>
        <v>342.30266518164211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0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-1.1368683772161603E-12</v>
      </c>
      <c r="BZ160" s="14">
        <f>BY160*VLOOKUP('Données projet'!$B$12,Paramètres!$A$1:$I$89,3,0)*VLOOKUP('Données projet'!$B$12,Paramètres!$A$1:$I$89,5,0)</f>
        <v>-1.0286385077051818E-12</v>
      </c>
      <c r="CA160" s="14" t="e">
        <f t="shared" si="170"/>
        <v>#NUM!</v>
      </c>
      <c r="CB160" s="22" t="e">
        <f t="shared" si="171"/>
        <v>#NUM!</v>
      </c>
      <c r="CC160" s="62" t="e">
        <f t="shared" si="119"/>
        <v>#NUM!</v>
      </c>
      <c r="CD160" s="62">
        <f ca="1">AVERAGE(OFFSET($CC$3,0,0,'Données projet'!$E$12+1,1))-AVERAGE(OFFSET($H$3,0,0,'Données projet'!$E$12+1,1))</f>
        <v>429.54141820799617</v>
      </c>
      <c r="CE160" s="62">
        <f t="shared" si="148"/>
        <v>231.36959598460686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0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3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-1.1368683772161603E-12</v>
      </c>
      <c r="O161" s="14">
        <f>N161*VLOOKUP('Données projet'!$B$9,Paramètres!$A$1:$I$89,3,0)*VLOOKUP('Données projet'!$B$9,Paramètres!$A$1:$I$89,5,0)</f>
        <v>-1.1527845344971866E-12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476.25344680259701</v>
      </c>
      <c r="T161" s="62">
        <f t="shared" si="142"/>
        <v>254.25036207346591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-5.1159076974727213E-13</v>
      </c>
      <c r="AJ161" s="14">
        <f>AI161*VLOOKUP('Données projet'!$B$10,Paramètres!$A$1:$I$89,3,0)*VLOOKUP('Données projet'!$B$10,Paramètres!$A$1:$I$89,5,0)</f>
        <v>-5.3471467253984886E-13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493.70175665335978</v>
      </c>
      <c r="AO161" s="62">
        <f t="shared" si="144"/>
        <v>325.12357781685949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>
        <f>BD161*VLOOKUP('Données projet'!$B$11,Paramètres!$A$1:$I$89,3,0)*VLOOKUP('Données projet'!$B$11,Paramètres!$A$1:$I$89,5,0)</f>
        <v>0</v>
      </c>
      <c r="BF161" s="14" t="e">
        <f t="shared" si="167"/>
        <v>#NUM!</v>
      </c>
      <c r="BG161" s="22" t="e">
        <f t="shared" si="168"/>
        <v>#NUM!</v>
      </c>
      <c r="BH161" s="62" t="e">
        <f t="shared" si="116"/>
        <v>#NUM!</v>
      </c>
      <c r="BI161" s="62">
        <f ca="1">AVERAGE(OFFSET($BH$3,0,0,'Données projet'!$E$11+1,1))-AVERAGE(OFFSET($H$3,0,0,'Données projet'!$E$11+1,1))</f>
        <v>245.09257882574383</v>
      </c>
      <c r="BJ161" s="62">
        <f t="shared" si="146"/>
        <v>342.30266518164211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0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-1.1368683772161603E-12</v>
      </c>
      <c r="BZ161" s="14">
        <f>BY161*VLOOKUP('Données projet'!$B$12,Paramètres!$A$1:$I$89,3,0)*VLOOKUP('Données projet'!$B$12,Paramètres!$A$1:$I$89,5,0)</f>
        <v>-1.0286385077051818E-12</v>
      </c>
      <c r="CA161" s="14" t="e">
        <f t="shared" si="170"/>
        <v>#NUM!</v>
      </c>
      <c r="CB161" s="22" t="e">
        <f t="shared" si="171"/>
        <v>#NUM!</v>
      </c>
      <c r="CC161" s="62" t="e">
        <f t="shared" si="119"/>
        <v>#NUM!</v>
      </c>
      <c r="CD161" s="62">
        <f ca="1">AVERAGE(OFFSET($CC$3,0,0,'Données projet'!$E$12+1,1))-AVERAGE(OFFSET($H$3,0,0,'Données projet'!$E$12+1,1))</f>
        <v>429.54141820799617</v>
      </c>
      <c r="CE161" s="62">
        <f t="shared" si="148"/>
        <v>231.36959598460686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0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3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-1.1368683772161603E-12</v>
      </c>
      <c r="O162" s="14">
        <f>N162*VLOOKUP('Données projet'!$B$9,Paramètres!$A$1:$I$89,3,0)*VLOOKUP('Données projet'!$B$9,Paramètres!$A$1:$I$89,5,0)</f>
        <v>-1.1527845344971866E-12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476.25344680259701</v>
      </c>
      <c r="T162" s="62">
        <f t="shared" si="142"/>
        <v>254.25036207346591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-5.1159076974727213E-13</v>
      </c>
      <c r="AJ162" s="14">
        <f>AI162*VLOOKUP('Données projet'!$B$10,Paramètres!$A$1:$I$89,3,0)*VLOOKUP('Données projet'!$B$10,Paramètres!$A$1:$I$89,5,0)</f>
        <v>-5.3471467253984886E-13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493.70175665335978</v>
      </c>
      <c r="AO162" s="62">
        <f t="shared" si="144"/>
        <v>325.12357781685949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>
        <f>BD162*VLOOKUP('Données projet'!$B$11,Paramètres!$A$1:$I$89,3,0)*VLOOKUP('Données projet'!$B$11,Paramètres!$A$1:$I$89,5,0)</f>
        <v>0</v>
      </c>
      <c r="BF162" s="14" t="e">
        <f t="shared" si="167"/>
        <v>#NUM!</v>
      </c>
      <c r="BG162" s="22" t="e">
        <f t="shared" si="168"/>
        <v>#NUM!</v>
      </c>
      <c r="BH162" s="62" t="e">
        <f t="shared" si="116"/>
        <v>#NUM!</v>
      </c>
      <c r="BI162" s="62">
        <f ca="1">AVERAGE(OFFSET($BH$3,0,0,'Données projet'!$E$11+1,1))-AVERAGE(OFFSET($H$3,0,0,'Données projet'!$E$11+1,1))</f>
        <v>245.09257882574383</v>
      </c>
      <c r="BJ162" s="62">
        <f t="shared" si="146"/>
        <v>342.30266518164211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0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-1.1368683772161603E-12</v>
      </c>
      <c r="BZ162" s="14">
        <f>BY162*VLOOKUP('Données projet'!$B$12,Paramètres!$A$1:$I$89,3,0)*VLOOKUP('Données projet'!$B$12,Paramètres!$A$1:$I$89,5,0)</f>
        <v>-1.0286385077051818E-12</v>
      </c>
      <c r="CA162" s="14" t="e">
        <f t="shared" si="170"/>
        <v>#NUM!</v>
      </c>
      <c r="CB162" s="22" t="e">
        <f t="shared" si="171"/>
        <v>#NUM!</v>
      </c>
      <c r="CC162" s="62" t="e">
        <f t="shared" si="119"/>
        <v>#NUM!</v>
      </c>
      <c r="CD162" s="62">
        <f ca="1">AVERAGE(OFFSET($CC$3,0,0,'Données projet'!$E$12+1,1))-AVERAGE(OFFSET($H$3,0,0,'Données projet'!$E$12+1,1))</f>
        <v>429.54141820799617</v>
      </c>
      <c r="CE162" s="62">
        <f t="shared" si="148"/>
        <v>231.36959598460686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0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3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-1.1368683772161603E-12</v>
      </c>
      <c r="O163" s="14">
        <f>N163*VLOOKUP('Données projet'!$B$9,Paramètres!$A$1:$I$89,3,0)*VLOOKUP('Données projet'!$B$9,Paramètres!$A$1:$I$89,5,0)</f>
        <v>-1.1527845344971866E-12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476.25344680259701</v>
      </c>
      <c r="T163" s="62">
        <f t="shared" si="142"/>
        <v>254.25036207346591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-5.1159076974727213E-13</v>
      </c>
      <c r="AJ163" s="14">
        <f>AI163*VLOOKUP('Données projet'!$B$10,Paramètres!$A$1:$I$89,3,0)*VLOOKUP('Données projet'!$B$10,Paramètres!$A$1:$I$89,5,0)</f>
        <v>-5.3471467253984886E-13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493.70175665335978</v>
      </c>
      <c r="AO163" s="62">
        <f t="shared" si="144"/>
        <v>325.12357781685949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>
        <f>BD163*VLOOKUP('Données projet'!$B$11,Paramètres!$A$1:$I$89,3,0)*VLOOKUP('Données projet'!$B$11,Paramètres!$A$1:$I$89,5,0)</f>
        <v>0</v>
      </c>
      <c r="BF163" s="14" t="e">
        <f t="shared" si="167"/>
        <v>#NUM!</v>
      </c>
      <c r="BG163" s="22" t="e">
        <f t="shared" si="168"/>
        <v>#NUM!</v>
      </c>
      <c r="BH163" s="62" t="e">
        <f t="shared" si="116"/>
        <v>#NUM!</v>
      </c>
      <c r="BI163" s="62">
        <f ca="1">AVERAGE(OFFSET($BH$3,0,0,'Données projet'!$E$11+1,1))-AVERAGE(OFFSET($H$3,0,0,'Données projet'!$E$11+1,1))</f>
        <v>245.09257882574383</v>
      </c>
      <c r="BJ163" s="62">
        <f t="shared" si="146"/>
        <v>342.30266518164211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0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-1.1368683772161603E-12</v>
      </c>
      <c r="BZ163" s="14">
        <f>BY163*VLOOKUP('Données projet'!$B$12,Paramètres!$A$1:$I$89,3,0)*VLOOKUP('Données projet'!$B$12,Paramètres!$A$1:$I$89,5,0)</f>
        <v>-1.0286385077051818E-12</v>
      </c>
      <c r="CA163" s="14" t="e">
        <f t="shared" si="170"/>
        <v>#NUM!</v>
      </c>
      <c r="CB163" s="22" t="e">
        <f t="shared" si="171"/>
        <v>#NUM!</v>
      </c>
      <c r="CC163" s="62" t="e">
        <f t="shared" si="119"/>
        <v>#NUM!</v>
      </c>
      <c r="CD163" s="62">
        <f ca="1">AVERAGE(OFFSET($CC$3,0,0,'Données projet'!$E$12+1,1))-AVERAGE(OFFSET($H$3,0,0,'Données projet'!$E$12+1,1))</f>
        <v>429.54141820799617</v>
      </c>
      <c r="CE163" s="62">
        <f t="shared" si="148"/>
        <v>231.36959598460686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0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3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-1.1368683772161603E-12</v>
      </c>
      <c r="O164" s="14">
        <f>N164*VLOOKUP('Données projet'!$B$9,Paramètres!$A$1:$I$89,3,0)*VLOOKUP('Données projet'!$B$9,Paramètres!$A$1:$I$89,5,0)</f>
        <v>-1.1527845344971866E-12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476.25344680259701</v>
      </c>
      <c r="T164" s="62">
        <f t="shared" si="142"/>
        <v>254.25036207346591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-5.1159076974727213E-13</v>
      </c>
      <c r="AJ164" s="14">
        <f>AI164*VLOOKUP('Données projet'!$B$10,Paramètres!$A$1:$I$89,3,0)*VLOOKUP('Données projet'!$B$10,Paramètres!$A$1:$I$89,5,0)</f>
        <v>-5.3471467253984886E-13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493.70175665335978</v>
      </c>
      <c r="AO164" s="62">
        <f t="shared" si="144"/>
        <v>325.12357781685949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>
        <f>BD164*VLOOKUP('Données projet'!$B$11,Paramètres!$A$1:$I$89,3,0)*VLOOKUP('Données projet'!$B$11,Paramètres!$A$1:$I$89,5,0)</f>
        <v>0</v>
      </c>
      <c r="BF164" s="14" t="e">
        <f t="shared" si="167"/>
        <v>#NUM!</v>
      </c>
      <c r="BG164" s="22" t="e">
        <f t="shared" si="168"/>
        <v>#NUM!</v>
      </c>
      <c r="BH164" s="62" t="e">
        <f t="shared" si="116"/>
        <v>#NUM!</v>
      </c>
      <c r="BI164" s="62">
        <f ca="1">AVERAGE(OFFSET($BH$3,0,0,'Données projet'!$E$11+1,1))-AVERAGE(OFFSET($H$3,0,0,'Données projet'!$E$11+1,1))</f>
        <v>245.09257882574383</v>
      </c>
      <c r="BJ164" s="62">
        <f t="shared" si="146"/>
        <v>342.30266518164211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0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-1.1368683772161603E-12</v>
      </c>
      <c r="BZ164" s="14">
        <f>BY164*VLOOKUP('Données projet'!$B$12,Paramètres!$A$1:$I$89,3,0)*VLOOKUP('Données projet'!$B$12,Paramètres!$A$1:$I$89,5,0)</f>
        <v>-1.0286385077051818E-12</v>
      </c>
      <c r="CA164" s="14" t="e">
        <f t="shared" si="170"/>
        <v>#NUM!</v>
      </c>
      <c r="CB164" s="22" t="e">
        <f t="shared" si="171"/>
        <v>#NUM!</v>
      </c>
      <c r="CC164" s="62" t="e">
        <f t="shared" si="119"/>
        <v>#NUM!</v>
      </c>
      <c r="CD164" s="62">
        <f ca="1">AVERAGE(OFFSET($CC$3,0,0,'Données projet'!$E$12+1,1))-AVERAGE(OFFSET($H$3,0,0,'Données projet'!$E$12+1,1))</f>
        <v>429.54141820799617</v>
      </c>
      <c r="CE164" s="62">
        <f t="shared" si="148"/>
        <v>231.36959598460686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0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3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-1.1368683772161603E-12</v>
      </c>
      <c r="O165" s="14">
        <f>N165*VLOOKUP('Données projet'!$B$9,Paramètres!$A$1:$I$89,3,0)*VLOOKUP('Données projet'!$B$9,Paramètres!$A$1:$I$89,5,0)</f>
        <v>-1.1527845344971866E-12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476.25344680259701</v>
      </c>
      <c r="T165" s="62">
        <f t="shared" si="142"/>
        <v>254.25036207346591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-5.1159076974727213E-13</v>
      </c>
      <c r="AJ165" s="14">
        <f>AI165*VLOOKUP('Données projet'!$B$10,Paramètres!$A$1:$I$89,3,0)*VLOOKUP('Données projet'!$B$10,Paramètres!$A$1:$I$89,5,0)</f>
        <v>-5.3471467253984886E-13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493.70175665335978</v>
      </c>
      <c r="AO165" s="62">
        <f t="shared" si="144"/>
        <v>325.12357781685949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>
        <f>BD165*VLOOKUP('Données projet'!$B$11,Paramètres!$A$1:$I$89,3,0)*VLOOKUP('Données projet'!$B$11,Paramètres!$A$1:$I$89,5,0)</f>
        <v>0</v>
      </c>
      <c r="BF165" s="14" t="e">
        <f t="shared" si="167"/>
        <v>#NUM!</v>
      </c>
      <c r="BG165" s="22" t="e">
        <f t="shared" si="168"/>
        <v>#NUM!</v>
      </c>
      <c r="BH165" s="62" t="e">
        <f t="shared" si="116"/>
        <v>#NUM!</v>
      </c>
      <c r="BI165" s="62">
        <f ca="1">AVERAGE(OFFSET($BH$3,0,0,'Données projet'!$E$11+1,1))-AVERAGE(OFFSET($H$3,0,0,'Données projet'!$E$11+1,1))</f>
        <v>245.09257882574383</v>
      </c>
      <c r="BJ165" s="62">
        <f t="shared" si="146"/>
        <v>342.30266518164211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0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-1.1368683772161603E-12</v>
      </c>
      <c r="BZ165" s="14">
        <f>BY165*VLOOKUP('Données projet'!$B$12,Paramètres!$A$1:$I$89,3,0)*VLOOKUP('Données projet'!$B$12,Paramètres!$A$1:$I$89,5,0)</f>
        <v>-1.0286385077051818E-12</v>
      </c>
      <c r="CA165" s="14" t="e">
        <f t="shared" si="170"/>
        <v>#NUM!</v>
      </c>
      <c r="CB165" s="22" t="e">
        <f t="shared" si="171"/>
        <v>#NUM!</v>
      </c>
      <c r="CC165" s="62" t="e">
        <f t="shared" si="119"/>
        <v>#NUM!</v>
      </c>
      <c r="CD165" s="62">
        <f ca="1">AVERAGE(OFFSET($CC$3,0,0,'Données projet'!$E$12+1,1))-AVERAGE(OFFSET($H$3,0,0,'Données projet'!$E$12+1,1))</f>
        <v>429.54141820799617</v>
      </c>
      <c r="CE165" s="62">
        <f t="shared" si="148"/>
        <v>231.36959598460686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0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3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-1.1368683772161603E-12</v>
      </c>
      <c r="O166" s="14">
        <f>N166*VLOOKUP('Données projet'!$B$9,Paramètres!$A$1:$I$89,3,0)*VLOOKUP('Données projet'!$B$9,Paramètres!$A$1:$I$89,5,0)</f>
        <v>-1.1527845344971866E-12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476.25344680259701</v>
      </c>
      <c r="T166" s="62">
        <f t="shared" si="142"/>
        <v>254.25036207346591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-5.1159076974727213E-13</v>
      </c>
      <c r="AJ166" s="14">
        <f>AI166*VLOOKUP('Données projet'!$B$10,Paramètres!$A$1:$I$89,3,0)*VLOOKUP('Données projet'!$B$10,Paramètres!$A$1:$I$89,5,0)</f>
        <v>-5.3471467253984886E-13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493.70175665335978</v>
      </c>
      <c r="AO166" s="62">
        <f t="shared" si="144"/>
        <v>325.12357781685949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>
        <f>BD166*VLOOKUP('Données projet'!$B$11,Paramètres!$A$1:$I$89,3,0)*VLOOKUP('Données projet'!$B$11,Paramètres!$A$1:$I$89,5,0)</f>
        <v>0</v>
      </c>
      <c r="BF166" s="14" t="e">
        <f t="shared" si="167"/>
        <v>#NUM!</v>
      </c>
      <c r="BG166" s="22" t="e">
        <f t="shared" si="168"/>
        <v>#NUM!</v>
      </c>
      <c r="BH166" s="62" t="e">
        <f t="shared" si="116"/>
        <v>#NUM!</v>
      </c>
      <c r="BI166" s="62">
        <f ca="1">AVERAGE(OFFSET($BH$3,0,0,'Données projet'!$E$11+1,1))-AVERAGE(OFFSET($H$3,0,0,'Données projet'!$E$11+1,1))</f>
        <v>245.09257882574383</v>
      </c>
      <c r="BJ166" s="62">
        <f t="shared" si="146"/>
        <v>342.30266518164211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0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-1.1368683772161603E-12</v>
      </c>
      <c r="BZ166" s="14">
        <f>BY166*VLOOKUP('Données projet'!$B$12,Paramètres!$A$1:$I$89,3,0)*VLOOKUP('Données projet'!$B$12,Paramètres!$A$1:$I$89,5,0)</f>
        <v>-1.0286385077051818E-12</v>
      </c>
      <c r="CA166" s="14" t="e">
        <f t="shared" si="170"/>
        <v>#NUM!</v>
      </c>
      <c r="CB166" s="22" t="e">
        <f t="shared" si="171"/>
        <v>#NUM!</v>
      </c>
      <c r="CC166" s="62" t="e">
        <f t="shared" si="119"/>
        <v>#NUM!</v>
      </c>
      <c r="CD166" s="62">
        <f ca="1">AVERAGE(OFFSET($CC$3,0,0,'Données projet'!$E$12+1,1))-AVERAGE(OFFSET($H$3,0,0,'Données projet'!$E$12+1,1))</f>
        <v>429.54141820799617</v>
      </c>
      <c r="CE166" s="62">
        <f t="shared" si="148"/>
        <v>231.36959598460686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0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3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-1.1368683772161603E-12</v>
      </c>
      <c r="O167" s="14">
        <f>N167*VLOOKUP('Données projet'!$B$9,Paramètres!$A$1:$I$89,3,0)*VLOOKUP('Données projet'!$B$9,Paramètres!$A$1:$I$89,5,0)</f>
        <v>-1.1527845344971866E-12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476.25344680259701</v>
      </c>
      <c r="T167" s="62">
        <f t="shared" si="142"/>
        <v>254.25036207346591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-5.1159076974727213E-13</v>
      </c>
      <c r="AJ167" s="14">
        <f>AI167*VLOOKUP('Données projet'!$B$10,Paramètres!$A$1:$I$89,3,0)*VLOOKUP('Données projet'!$B$10,Paramètres!$A$1:$I$89,5,0)</f>
        <v>-5.3471467253984886E-13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493.70175665335978</v>
      </c>
      <c r="AO167" s="62">
        <f t="shared" si="144"/>
        <v>325.12357781685949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>
        <f>BD167*VLOOKUP('Données projet'!$B$11,Paramètres!$A$1:$I$89,3,0)*VLOOKUP('Données projet'!$B$11,Paramètres!$A$1:$I$89,5,0)</f>
        <v>0</v>
      </c>
      <c r="BF167" s="14" t="e">
        <f t="shared" si="167"/>
        <v>#NUM!</v>
      </c>
      <c r="BG167" s="22" t="e">
        <f t="shared" si="168"/>
        <v>#NUM!</v>
      </c>
      <c r="BH167" s="62" t="e">
        <f t="shared" si="116"/>
        <v>#NUM!</v>
      </c>
      <c r="BI167" s="62">
        <f ca="1">AVERAGE(OFFSET($BH$3,0,0,'Données projet'!$E$11+1,1))-AVERAGE(OFFSET($H$3,0,0,'Données projet'!$E$11+1,1))</f>
        <v>245.09257882574383</v>
      </c>
      <c r="BJ167" s="62">
        <f t="shared" si="146"/>
        <v>342.30266518164211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0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-1.1368683772161603E-12</v>
      </c>
      <c r="BZ167" s="14">
        <f>BY167*VLOOKUP('Données projet'!$B$12,Paramètres!$A$1:$I$89,3,0)*VLOOKUP('Données projet'!$B$12,Paramètres!$A$1:$I$89,5,0)</f>
        <v>-1.0286385077051818E-12</v>
      </c>
      <c r="CA167" s="14" t="e">
        <f t="shared" si="170"/>
        <v>#NUM!</v>
      </c>
      <c r="CB167" s="22" t="e">
        <f t="shared" si="171"/>
        <v>#NUM!</v>
      </c>
      <c r="CC167" s="62" t="e">
        <f t="shared" si="119"/>
        <v>#NUM!</v>
      </c>
      <c r="CD167" s="62">
        <f ca="1">AVERAGE(OFFSET($CC$3,0,0,'Données projet'!$E$12+1,1))-AVERAGE(OFFSET($H$3,0,0,'Données projet'!$E$12+1,1))</f>
        <v>429.54141820799617</v>
      </c>
      <c r="CE167" s="62">
        <f t="shared" si="148"/>
        <v>231.36959598460686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0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3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-1.1368683772161603E-12</v>
      </c>
      <c r="O168" s="14">
        <f>N168*VLOOKUP('Données projet'!$B$9,Paramètres!$A$1:$I$89,3,0)*VLOOKUP('Données projet'!$B$9,Paramètres!$A$1:$I$89,5,0)</f>
        <v>-1.1527845344971866E-12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476.25344680259701</v>
      </c>
      <c r="T168" s="62">
        <f t="shared" si="142"/>
        <v>254.25036207346591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-5.1159076974727213E-13</v>
      </c>
      <c r="AJ168" s="14">
        <f>AI168*VLOOKUP('Données projet'!$B$10,Paramètres!$A$1:$I$89,3,0)*VLOOKUP('Données projet'!$B$10,Paramètres!$A$1:$I$89,5,0)</f>
        <v>-5.3471467253984886E-13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493.70175665335978</v>
      </c>
      <c r="AO168" s="62">
        <f t="shared" si="144"/>
        <v>325.12357781685949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>
        <f>BD168*VLOOKUP('Données projet'!$B$11,Paramètres!$A$1:$I$89,3,0)*VLOOKUP('Données projet'!$B$11,Paramètres!$A$1:$I$89,5,0)</f>
        <v>0</v>
      </c>
      <c r="BF168" s="14" t="e">
        <f t="shared" si="167"/>
        <v>#NUM!</v>
      </c>
      <c r="BG168" s="22" t="e">
        <f t="shared" si="168"/>
        <v>#NUM!</v>
      </c>
      <c r="BH168" s="62" t="e">
        <f t="shared" si="116"/>
        <v>#NUM!</v>
      </c>
      <c r="BI168" s="62">
        <f ca="1">AVERAGE(OFFSET($BH$3,0,0,'Données projet'!$E$11+1,1))-AVERAGE(OFFSET($H$3,0,0,'Données projet'!$E$11+1,1))</f>
        <v>245.09257882574383</v>
      </c>
      <c r="BJ168" s="62">
        <f t="shared" si="146"/>
        <v>342.30266518164211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0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-1.1368683772161603E-12</v>
      </c>
      <c r="BZ168" s="14">
        <f>BY168*VLOOKUP('Données projet'!$B$12,Paramètres!$A$1:$I$89,3,0)*VLOOKUP('Données projet'!$B$12,Paramètres!$A$1:$I$89,5,0)</f>
        <v>-1.0286385077051818E-12</v>
      </c>
      <c r="CA168" s="14" t="e">
        <f t="shared" si="170"/>
        <v>#NUM!</v>
      </c>
      <c r="CB168" s="22" t="e">
        <f t="shared" si="171"/>
        <v>#NUM!</v>
      </c>
      <c r="CC168" s="62" t="e">
        <f t="shared" si="119"/>
        <v>#NUM!</v>
      </c>
      <c r="CD168" s="62">
        <f ca="1">AVERAGE(OFFSET($CC$3,0,0,'Données projet'!$E$12+1,1))-AVERAGE(OFFSET($H$3,0,0,'Données projet'!$E$12+1,1))</f>
        <v>429.54141820799617</v>
      </c>
      <c r="CE168" s="62">
        <f t="shared" si="148"/>
        <v>231.36959598460686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0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3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-1.1368683772161603E-12</v>
      </c>
      <c r="O169" s="14">
        <f>N169*VLOOKUP('Données projet'!$B$9,Paramètres!$A$1:$I$89,3,0)*VLOOKUP('Données projet'!$B$9,Paramètres!$A$1:$I$89,5,0)</f>
        <v>-1.1527845344971866E-12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476.25344680259701</v>
      </c>
      <c r="T169" s="62">
        <f t="shared" si="142"/>
        <v>254.25036207346591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-5.1159076974727213E-13</v>
      </c>
      <c r="AJ169" s="14">
        <f>AI169*VLOOKUP('Données projet'!$B$10,Paramètres!$A$1:$I$89,3,0)*VLOOKUP('Données projet'!$B$10,Paramètres!$A$1:$I$89,5,0)</f>
        <v>-5.3471467253984886E-13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493.70175665335978</v>
      </c>
      <c r="AO169" s="62">
        <f t="shared" si="144"/>
        <v>325.12357781685949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>
        <f>BD169*VLOOKUP('Données projet'!$B$11,Paramètres!$A$1:$I$89,3,0)*VLOOKUP('Données projet'!$B$11,Paramètres!$A$1:$I$89,5,0)</f>
        <v>0</v>
      </c>
      <c r="BF169" s="14" t="e">
        <f t="shared" si="167"/>
        <v>#NUM!</v>
      </c>
      <c r="BG169" s="22" t="e">
        <f t="shared" si="168"/>
        <v>#NUM!</v>
      </c>
      <c r="BH169" s="62" t="e">
        <f t="shared" si="116"/>
        <v>#NUM!</v>
      </c>
      <c r="BI169" s="62">
        <f ca="1">AVERAGE(OFFSET($BH$3,0,0,'Données projet'!$E$11+1,1))-AVERAGE(OFFSET($H$3,0,0,'Données projet'!$E$11+1,1))</f>
        <v>245.09257882574383</v>
      </c>
      <c r="BJ169" s="62">
        <f t="shared" si="146"/>
        <v>342.30266518164211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0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-1.1368683772161603E-12</v>
      </c>
      <c r="BZ169" s="14">
        <f>BY169*VLOOKUP('Données projet'!$B$12,Paramètres!$A$1:$I$89,3,0)*VLOOKUP('Données projet'!$B$12,Paramètres!$A$1:$I$89,5,0)</f>
        <v>-1.0286385077051818E-12</v>
      </c>
      <c r="CA169" s="14" t="e">
        <f t="shared" si="170"/>
        <v>#NUM!</v>
      </c>
      <c r="CB169" s="22" t="e">
        <f t="shared" si="171"/>
        <v>#NUM!</v>
      </c>
      <c r="CC169" s="62" t="e">
        <f t="shared" si="119"/>
        <v>#NUM!</v>
      </c>
      <c r="CD169" s="62">
        <f ca="1">AVERAGE(OFFSET($CC$3,0,0,'Données projet'!$E$12+1,1))-AVERAGE(OFFSET($H$3,0,0,'Données projet'!$E$12+1,1))</f>
        <v>429.54141820799617</v>
      </c>
      <c r="CE169" s="62">
        <f t="shared" si="148"/>
        <v>231.36959598460686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0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3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-1.1368683772161603E-12</v>
      </c>
      <c r="O170" s="14">
        <f>N170*VLOOKUP('Données projet'!$B$9,Paramètres!$A$1:$I$89,3,0)*VLOOKUP('Données projet'!$B$9,Paramètres!$A$1:$I$89,5,0)</f>
        <v>-1.1527845344971866E-12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476.25344680259701</v>
      </c>
      <c r="T170" s="62">
        <f t="shared" si="142"/>
        <v>254.25036207346591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-5.1159076974727213E-13</v>
      </c>
      <c r="AJ170" s="14">
        <f>AI170*VLOOKUP('Données projet'!$B$10,Paramètres!$A$1:$I$89,3,0)*VLOOKUP('Données projet'!$B$10,Paramètres!$A$1:$I$89,5,0)</f>
        <v>-5.3471467253984886E-13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493.70175665335978</v>
      </c>
      <c r="AO170" s="62">
        <f t="shared" si="144"/>
        <v>325.12357781685949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>
        <f>BD170*VLOOKUP('Données projet'!$B$11,Paramètres!$A$1:$I$89,3,0)*VLOOKUP('Données projet'!$B$11,Paramètres!$A$1:$I$89,5,0)</f>
        <v>0</v>
      </c>
      <c r="BF170" s="14" t="e">
        <f t="shared" si="167"/>
        <v>#NUM!</v>
      </c>
      <c r="BG170" s="22" t="e">
        <f t="shared" si="168"/>
        <v>#NUM!</v>
      </c>
      <c r="BH170" s="62" t="e">
        <f t="shared" si="116"/>
        <v>#NUM!</v>
      </c>
      <c r="BI170" s="62">
        <f ca="1">AVERAGE(OFFSET($BH$3,0,0,'Données projet'!$E$11+1,1))-AVERAGE(OFFSET($H$3,0,0,'Données projet'!$E$11+1,1))</f>
        <v>245.09257882574383</v>
      </c>
      <c r="BJ170" s="62">
        <f t="shared" si="146"/>
        <v>342.30266518164211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0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-1.1368683772161603E-12</v>
      </c>
      <c r="BZ170" s="14">
        <f>BY170*VLOOKUP('Données projet'!$B$12,Paramètres!$A$1:$I$89,3,0)*VLOOKUP('Données projet'!$B$12,Paramètres!$A$1:$I$89,5,0)</f>
        <v>-1.0286385077051818E-12</v>
      </c>
      <c r="CA170" s="14" t="e">
        <f t="shared" si="170"/>
        <v>#NUM!</v>
      </c>
      <c r="CB170" s="22" t="e">
        <f t="shared" si="171"/>
        <v>#NUM!</v>
      </c>
      <c r="CC170" s="62" t="e">
        <f t="shared" si="119"/>
        <v>#NUM!</v>
      </c>
      <c r="CD170" s="62">
        <f ca="1">AVERAGE(OFFSET($CC$3,0,0,'Données projet'!$E$12+1,1))-AVERAGE(OFFSET($H$3,0,0,'Données projet'!$E$12+1,1))</f>
        <v>429.54141820799617</v>
      </c>
      <c r="CE170" s="62">
        <f t="shared" si="148"/>
        <v>231.36959598460686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0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3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-1.1368683772161603E-12</v>
      </c>
      <c r="O171" s="14">
        <f>N171*VLOOKUP('Données projet'!$B$9,Paramètres!$A$1:$I$89,3,0)*VLOOKUP('Données projet'!$B$9,Paramètres!$A$1:$I$89,5,0)</f>
        <v>-1.1527845344971866E-12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476.25344680259701</v>
      </c>
      <c r="T171" s="62">
        <f t="shared" si="142"/>
        <v>254.25036207346591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-5.1159076974727213E-13</v>
      </c>
      <c r="AJ171" s="14">
        <f>AI171*VLOOKUP('Données projet'!$B$10,Paramètres!$A$1:$I$89,3,0)*VLOOKUP('Données projet'!$B$10,Paramètres!$A$1:$I$89,5,0)</f>
        <v>-5.3471467253984886E-13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493.70175665335978</v>
      </c>
      <c r="AO171" s="62">
        <f t="shared" si="144"/>
        <v>325.12357781685949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>
        <f>BD171*VLOOKUP('Données projet'!$B$11,Paramètres!$A$1:$I$89,3,0)*VLOOKUP('Données projet'!$B$11,Paramètres!$A$1:$I$89,5,0)</f>
        <v>0</v>
      </c>
      <c r="BF171" s="14" t="e">
        <f t="shared" si="167"/>
        <v>#NUM!</v>
      </c>
      <c r="BG171" s="22" t="e">
        <f t="shared" si="168"/>
        <v>#NUM!</v>
      </c>
      <c r="BH171" s="62" t="e">
        <f t="shared" si="116"/>
        <v>#NUM!</v>
      </c>
      <c r="BI171" s="62">
        <f ca="1">AVERAGE(OFFSET($BH$3,0,0,'Données projet'!$E$11+1,1))-AVERAGE(OFFSET($H$3,0,0,'Données projet'!$E$11+1,1))</f>
        <v>245.09257882574383</v>
      </c>
      <c r="BJ171" s="62">
        <f t="shared" si="146"/>
        <v>342.30266518164211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0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-1.1368683772161603E-12</v>
      </c>
      <c r="BZ171" s="14">
        <f>BY171*VLOOKUP('Données projet'!$B$12,Paramètres!$A$1:$I$89,3,0)*VLOOKUP('Données projet'!$B$12,Paramètres!$A$1:$I$89,5,0)</f>
        <v>-1.0286385077051818E-12</v>
      </c>
      <c r="CA171" s="14" t="e">
        <f t="shared" si="170"/>
        <v>#NUM!</v>
      </c>
      <c r="CB171" s="22" t="e">
        <f t="shared" si="171"/>
        <v>#NUM!</v>
      </c>
      <c r="CC171" s="62" t="e">
        <f t="shared" si="119"/>
        <v>#NUM!</v>
      </c>
      <c r="CD171" s="62">
        <f ca="1">AVERAGE(OFFSET($CC$3,0,0,'Données projet'!$E$12+1,1))-AVERAGE(OFFSET($H$3,0,0,'Données projet'!$E$12+1,1))</f>
        <v>429.54141820799617</v>
      </c>
      <c r="CE171" s="62">
        <f t="shared" si="148"/>
        <v>231.36959598460686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0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3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-1.1368683772161603E-12</v>
      </c>
      <c r="O172" s="14">
        <f>N172*VLOOKUP('Données projet'!$B$9,Paramètres!$A$1:$I$89,3,0)*VLOOKUP('Données projet'!$B$9,Paramètres!$A$1:$I$89,5,0)</f>
        <v>-1.1527845344971866E-12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476.25344680259701</v>
      </c>
      <c r="T172" s="62">
        <f t="shared" si="142"/>
        <v>254.25036207346591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-5.1159076974727213E-13</v>
      </c>
      <c r="AJ172" s="14">
        <f>AI172*VLOOKUP('Données projet'!$B$10,Paramètres!$A$1:$I$89,3,0)*VLOOKUP('Données projet'!$B$10,Paramètres!$A$1:$I$89,5,0)</f>
        <v>-5.3471467253984886E-13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493.70175665335978</v>
      </c>
      <c r="AO172" s="62">
        <f t="shared" si="144"/>
        <v>325.12357781685949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>
        <f>BD172*VLOOKUP('Données projet'!$B$11,Paramètres!$A$1:$I$89,3,0)*VLOOKUP('Données projet'!$B$11,Paramètres!$A$1:$I$89,5,0)</f>
        <v>0</v>
      </c>
      <c r="BF172" s="14" t="e">
        <f t="shared" si="167"/>
        <v>#NUM!</v>
      </c>
      <c r="BG172" s="22" t="e">
        <f t="shared" si="168"/>
        <v>#NUM!</v>
      </c>
      <c r="BH172" s="62" t="e">
        <f t="shared" si="116"/>
        <v>#NUM!</v>
      </c>
      <c r="BI172" s="62">
        <f ca="1">AVERAGE(OFFSET($BH$3,0,0,'Données projet'!$E$11+1,1))-AVERAGE(OFFSET($H$3,0,0,'Données projet'!$E$11+1,1))</f>
        <v>245.09257882574383</v>
      </c>
      <c r="BJ172" s="62">
        <f t="shared" si="146"/>
        <v>342.30266518164211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0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-1.1368683772161603E-12</v>
      </c>
      <c r="BZ172" s="14">
        <f>BY172*VLOOKUP('Données projet'!$B$12,Paramètres!$A$1:$I$89,3,0)*VLOOKUP('Données projet'!$B$12,Paramètres!$A$1:$I$89,5,0)</f>
        <v>-1.0286385077051818E-12</v>
      </c>
      <c r="CA172" s="14" t="e">
        <f t="shared" si="170"/>
        <v>#NUM!</v>
      </c>
      <c r="CB172" s="22" t="e">
        <f t="shared" si="171"/>
        <v>#NUM!</v>
      </c>
      <c r="CC172" s="62" t="e">
        <f t="shared" si="119"/>
        <v>#NUM!</v>
      </c>
      <c r="CD172" s="62">
        <f ca="1">AVERAGE(OFFSET($CC$3,0,0,'Données projet'!$E$12+1,1))-AVERAGE(OFFSET($H$3,0,0,'Données projet'!$E$12+1,1))</f>
        <v>429.54141820799617</v>
      </c>
      <c r="CE172" s="62">
        <f t="shared" si="148"/>
        <v>231.36959598460686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0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3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-1.1368683772161603E-12</v>
      </c>
      <c r="O173" s="14">
        <f>N173*VLOOKUP('Données projet'!$B$9,Paramètres!$A$1:$I$89,3,0)*VLOOKUP('Données projet'!$B$9,Paramètres!$A$1:$I$89,5,0)</f>
        <v>-1.1527845344971866E-12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476.25344680259701</v>
      </c>
      <c r="T173" s="62">
        <f t="shared" si="142"/>
        <v>254.25036207346591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-5.1159076974727213E-13</v>
      </c>
      <c r="AJ173" s="14">
        <f>AI173*VLOOKUP('Données projet'!$B$10,Paramètres!$A$1:$I$89,3,0)*VLOOKUP('Données projet'!$B$10,Paramètres!$A$1:$I$89,5,0)</f>
        <v>-5.3471467253984886E-13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493.70175665335978</v>
      </c>
      <c r="AO173" s="62">
        <f t="shared" si="144"/>
        <v>325.12357781685949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>
        <f>BD173*VLOOKUP('Données projet'!$B$11,Paramètres!$A$1:$I$89,3,0)*VLOOKUP('Données projet'!$B$11,Paramètres!$A$1:$I$89,5,0)</f>
        <v>0</v>
      </c>
      <c r="BF173" s="14" t="e">
        <f t="shared" si="167"/>
        <v>#NUM!</v>
      </c>
      <c r="BG173" s="22" t="e">
        <f t="shared" si="168"/>
        <v>#NUM!</v>
      </c>
      <c r="BH173" s="62" t="e">
        <f t="shared" si="116"/>
        <v>#NUM!</v>
      </c>
      <c r="BI173" s="62">
        <f ca="1">AVERAGE(OFFSET($BH$3,0,0,'Données projet'!$E$11+1,1))-AVERAGE(OFFSET($H$3,0,0,'Données projet'!$E$11+1,1))</f>
        <v>245.09257882574383</v>
      </c>
      <c r="BJ173" s="62">
        <f t="shared" si="146"/>
        <v>342.30266518164211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0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-1.1368683772161603E-12</v>
      </c>
      <c r="BZ173" s="14">
        <f>BY173*VLOOKUP('Données projet'!$B$12,Paramètres!$A$1:$I$89,3,0)*VLOOKUP('Données projet'!$B$12,Paramètres!$A$1:$I$89,5,0)</f>
        <v>-1.0286385077051818E-12</v>
      </c>
      <c r="CA173" s="14" t="e">
        <f t="shared" si="170"/>
        <v>#NUM!</v>
      </c>
      <c r="CB173" s="22" t="e">
        <f t="shared" si="171"/>
        <v>#NUM!</v>
      </c>
      <c r="CC173" s="62" t="e">
        <f t="shared" si="119"/>
        <v>#NUM!</v>
      </c>
      <c r="CD173" s="62">
        <f ca="1">AVERAGE(OFFSET($CC$3,0,0,'Données projet'!$E$12+1,1))-AVERAGE(OFFSET($H$3,0,0,'Données projet'!$E$12+1,1))</f>
        <v>429.54141820799617</v>
      </c>
      <c r="CE173" s="62">
        <f t="shared" si="148"/>
        <v>231.36959598460686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0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3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-1.1368683772161603E-12</v>
      </c>
      <c r="O174" s="14">
        <f>N174*VLOOKUP('Données projet'!$B$9,Paramètres!$A$1:$I$89,3,0)*VLOOKUP('Données projet'!$B$9,Paramètres!$A$1:$I$89,5,0)</f>
        <v>-1.1527845344971866E-12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476.25344680259701</v>
      </c>
      <c r="T174" s="62">
        <f t="shared" si="142"/>
        <v>254.25036207346591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-5.1159076974727213E-13</v>
      </c>
      <c r="AJ174" s="14">
        <f>AI174*VLOOKUP('Données projet'!$B$10,Paramètres!$A$1:$I$89,3,0)*VLOOKUP('Données projet'!$B$10,Paramètres!$A$1:$I$89,5,0)</f>
        <v>-5.3471467253984886E-13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493.70175665335978</v>
      </c>
      <c r="AO174" s="62">
        <f t="shared" si="144"/>
        <v>325.12357781685949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>
        <f>BD174*VLOOKUP('Données projet'!$B$11,Paramètres!$A$1:$I$89,3,0)*VLOOKUP('Données projet'!$B$11,Paramètres!$A$1:$I$89,5,0)</f>
        <v>0</v>
      </c>
      <c r="BF174" s="14" t="e">
        <f t="shared" si="167"/>
        <v>#NUM!</v>
      </c>
      <c r="BG174" s="22" t="e">
        <f t="shared" si="168"/>
        <v>#NUM!</v>
      </c>
      <c r="BH174" s="62" t="e">
        <f t="shared" si="116"/>
        <v>#NUM!</v>
      </c>
      <c r="BI174" s="62">
        <f ca="1">AVERAGE(OFFSET($BH$3,0,0,'Données projet'!$E$11+1,1))-AVERAGE(OFFSET($H$3,0,0,'Données projet'!$E$11+1,1))</f>
        <v>245.09257882574383</v>
      </c>
      <c r="BJ174" s="62">
        <f t="shared" si="146"/>
        <v>342.30266518164211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0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-1.1368683772161603E-12</v>
      </c>
      <c r="BZ174" s="14">
        <f>BY174*VLOOKUP('Données projet'!$B$12,Paramètres!$A$1:$I$89,3,0)*VLOOKUP('Données projet'!$B$12,Paramètres!$A$1:$I$89,5,0)</f>
        <v>-1.0286385077051818E-12</v>
      </c>
      <c r="CA174" s="14" t="e">
        <f t="shared" si="170"/>
        <v>#NUM!</v>
      </c>
      <c r="CB174" s="22" t="e">
        <f t="shared" si="171"/>
        <v>#NUM!</v>
      </c>
      <c r="CC174" s="62" t="e">
        <f t="shared" si="119"/>
        <v>#NUM!</v>
      </c>
      <c r="CD174" s="62">
        <f ca="1">AVERAGE(OFFSET($CC$3,0,0,'Données projet'!$E$12+1,1))-AVERAGE(OFFSET($H$3,0,0,'Données projet'!$E$12+1,1))</f>
        <v>429.54141820799617</v>
      </c>
      <c r="CE174" s="62">
        <f t="shared" si="148"/>
        <v>231.36959598460686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0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3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-1.1368683772161603E-12</v>
      </c>
      <c r="O175" s="14">
        <f>N175*VLOOKUP('Données projet'!$B$9,Paramètres!$A$1:$I$89,3,0)*VLOOKUP('Données projet'!$B$9,Paramètres!$A$1:$I$89,5,0)</f>
        <v>-1.1527845344971866E-12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476.25344680259701</v>
      </c>
      <c r="T175" s="62">
        <f t="shared" si="142"/>
        <v>254.25036207346591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-5.1159076974727213E-13</v>
      </c>
      <c r="AJ175" s="14">
        <f>AI175*VLOOKUP('Données projet'!$B$10,Paramètres!$A$1:$I$89,3,0)*VLOOKUP('Données projet'!$B$10,Paramètres!$A$1:$I$89,5,0)</f>
        <v>-5.3471467253984886E-13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493.70175665335978</v>
      </c>
      <c r="AO175" s="62">
        <f t="shared" si="144"/>
        <v>325.12357781685949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>
        <f>BD175*VLOOKUP('Données projet'!$B$11,Paramètres!$A$1:$I$89,3,0)*VLOOKUP('Données projet'!$B$11,Paramètres!$A$1:$I$89,5,0)</f>
        <v>0</v>
      </c>
      <c r="BF175" s="14" t="e">
        <f t="shared" si="167"/>
        <v>#NUM!</v>
      </c>
      <c r="BG175" s="22" t="e">
        <f t="shared" si="168"/>
        <v>#NUM!</v>
      </c>
      <c r="BH175" s="62" t="e">
        <f t="shared" si="116"/>
        <v>#NUM!</v>
      </c>
      <c r="BI175" s="62">
        <f ca="1">AVERAGE(OFFSET($BH$3,0,0,'Données projet'!$E$11+1,1))-AVERAGE(OFFSET($H$3,0,0,'Données projet'!$E$11+1,1))</f>
        <v>245.09257882574383</v>
      </c>
      <c r="BJ175" s="62">
        <f t="shared" si="146"/>
        <v>342.30266518164211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0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-1.1368683772161603E-12</v>
      </c>
      <c r="BZ175" s="14">
        <f>BY175*VLOOKUP('Données projet'!$B$12,Paramètres!$A$1:$I$89,3,0)*VLOOKUP('Données projet'!$B$12,Paramètres!$A$1:$I$89,5,0)</f>
        <v>-1.0286385077051818E-12</v>
      </c>
      <c r="CA175" s="14" t="e">
        <f t="shared" si="170"/>
        <v>#NUM!</v>
      </c>
      <c r="CB175" s="22" t="e">
        <f t="shared" si="171"/>
        <v>#NUM!</v>
      </c>
      <c r="CC175" s="62" t="e">
        <f t="shared" si="119"/>
        <v>#NUM!</v>
      </c>
      <c r="CD175" s="62">
        <f ca="1">AVERAGE(OFFSET($CC$3,0,0,'Données projet'!$E$12+1,1))-AVERAGE(OFFSET($H$3,0,0,'Données projet'!$E$12+1,1))</f>
        <v>429.54141820799617</v>
      </c>
      <c r="CE175" s="62">
        <f t="shared" si="148"/>
        <v>231.36959598460686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0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3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-1.1368683772161603E-12</v>
      </c>
      <c r="O176" s="14">
        <f>N176*VLOOKUP('Données projet'!$B$9,Paramètres!$A$1:$I$89,3,0)*VLOOKUP('Données projet'!$B$9,Paramètres!$A$1:$I$89,5,0)</f>
        <v>-1.1527845344971866E-12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476.25344680259701</v>
      </c>
      <c r="T176" s="62">
        <f t="shared" si="142"/>
        <v>254.25036207346591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-5.1159076974727213E-13</v>
      </c>
      <c r="AJ176" s="14">
        <f>AI176*VLOOKUP('Données projet'!$B$10,Paramètres!$A$1:$I$89,3,0)*VLOOKUP('Données projet'!$B$10,Paramètres!$A$1:$I$89,5,0)</f>
        <v>-5.3471467253984886E-13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493.70175665335978</v>
      </c>
      <c r="AO176" s="62">
        <f t="shared" si="144"/>
        <v>325.12357781685949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>
        <f>BD176*VLOOKUP('Données projet'!$B$11,Paramètres!$A$1:$I$89,3,0)*VLOOKUP('Données projet'!$B$11,Paramètres!$A$1:$I$89,5,0)</f>
        <v>0</v>
      </c>
      <c r="BF176" s="14" t="e">
        <f t="shared" si="167"/>
        <v>#NUM!</v>
      </c>
      <c r="BG176" s="22" t="e">
        <f t="shared" si="168"/>
        <v>#NUM!</v>
      </c>
      <c r="BH176" s="62" t="e">
        <f t="shared" si="116"/>
        <v>#NUM!</v>
      </c>
      <c r="BI176" s="62">
        <f ca="1">AVERAGE(OFFSET($BH$3,0,0,'Données projet'!$E$11+1,1))-AVERAGE(OFFSET($H$3,0,0,'Données projet'!$E$11+1,1))</f>
        <v>245.09257882574383</v>
      </c>
      <c r="BJ176" s="62">
        <f t="shared" si="146"/>
        <v>342.30266518164211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0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-1.1368683772161603E-12</v>
      </c>
      <c r="BZ176" s="14">
        <f>BY176*VLOOKUP('Données projet'!$B$12,Paramètres!$A$1:$I$89,3,0)*VLOOKUP('Données projet'!$B$12,Paramètres!$A$1:$I$89,5,0)</f>
        <v>-1.0286385077051818E-12</v>
      </c>
      <c r="CA176" s="14" t="e">
        <f t="shared" si="170"/>
        <v>#NUM!</v>
      </c>
      <c r="CB176" s="22" t="e">
        <f t="shared" si="171"/>
        <v>#NUM!</v>
      </c>
      <c r="CC176" s="62" t="e">
        <f t="shared" si="119"/>
        <v>#NUM!</v>
      </c>
      <c r="CD176" s="62">
        <f ca="1">AVERAGE(OFFSET($CC$3,0,0,'Données projet'!$E$12+1,1))-AVERAGE(OFFSET($H$3,0,0,'Données projet'!$E$12+1,1))</f>
        <v>429.54141820799617</v>
      </c>
      <c r="CE176" s="62">
        <f t="shared" si="148"/>
        <v>231.36959598460686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0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3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-1.1368683772161603E-12</v>
      </c>
      <c r="O177" s="14">
        <f>N177*VLOOKUP('Données projet'!$B$9,Paramètres!$A$1:$I$89,3,0)*VLOOKUP('Données projet'!$B$9,Paramètres!$A$1:$I$89,5,0)</f>
        <v>-1.1527845344971866E-12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476.25344680259701</v>
      </c>
      <c r="T177" s="62">
        <f t="shared" si="142"/>
        <v>254.25036207346591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-5.1159076974727213E-13</v>
      </c>
      <c r="AJ177" s="14">
        <f>AI177*VLOOKUP('Données projet'!$B$10,Paramètres!$A$1:$I$89,3,0)*VLOOKUP('Données projet'!$B$10,Paramètres!$A$1:$I$89,5,0)</f>
        <v>-5.3471467253984886E-13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493.70175665335978</v>
      </c>
      <c r="AO177" s="62">
        <f t="shared" si="144"/>
        <v>325.12357781685949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>
        <f>BD177*VLOOKUP('Données projet'!$B$11,Paramètres!$A$1:$I$89,3,0)*VLOOKUP('Données projet'!$B$11,Paramètres!$A$1:$I$89,5,0)</f>
        <v>0</v>
      </c>
      <c r="BF177" s="14" t="e">
        <f t="shared" si="167"/>
        <v>#NUM!</v>
      </c>
      <c r="BG177" s="22" t="e">
        <f t="shared" si="168"/>
        <v>#NUM!</v>
      </c>
      <c r="BH177" s="62" t="e">
        <f t="shared" si="116"/>
        <v>#NUM!</v>
      </c>
      <c r="BI177" s="62">
        <f ca="1">AVERAGE(OFFSET($BH$3,0,0,'Données projet'!$E$11+1,1))-AVERAGE(OFFSET($H$3,0,0,'Données projet'!$E$11+1,1))</f>
        <v>245.09257882574383</v>
      </c>
      <c r="BJ177" s="62">
        <f t="shared" si="146"/>
        <v>342.30266518164211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0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-1.1368683772161603E-12</v>
      </c>
      <c r="BZ177" s="14">
        <f>BY177*VLOOKUP('Données projet'!$B$12,Paramètres!$A$1:$I$89,3,0)*VLOOKUP('Données projet'!$B$12,Paramètres!$A$1:$I$89,5,0)</f>
        <v>-1.0286385077051818E-12</v>
      </c>
      <c r="CA177" s="14" t="e">
        <f t="shared" si="170"/>
        <v>#NUM!</v>
      </c>
      <c r="CB177" s="22" t="e">
        <f t="shared" si="171"/>
        <v>#NUM!</v>
      </c>
      <c r="CC177" s="62" t="e">
        <f t="shared" si="119"/>
        <v>#NUM!</v>
      </c>
      <c r="CD177" s="62">
        <f ca="1">AVERAGE(OFFSET($CC$3,0,0,'Données projet'!$E$12+1,1))-AVERAGE(OFFSET($H$3,0,0,'Données projet'!$E$12+1,1))</f>
        <v>429.54141820799617</v>
      </c>
      <c r="CE177" s="62">
        <f t="shared" si="148"/>
        <v>231.36959598460686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0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3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-1.1368683772161603E-12</v>
      </c>
      <c r="O178" s="14">
        <f>N178*VLOOKUP('Données projet'!$B$9,Paramètres!$A$1:$I$89,3,0)*VLOOKUP('Données projet'!$B$9,Paramètres!$A$1:$I$89,5,0)</f>
        <v>-1.1527845344971866E-12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476.25344680259701</v>
      </c>
      <c r="T178" s="62">
        <f t="shared" si="142"/>
        <v>254.25036207346591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-5.1159076974727213E-13</v>
      </c>
      <c r="AJ178" s="14">
        <f>AI178*VLOOKUP('Données projet'!$B$10,Paramètres!$A$1:$I$89,3,0)*VLOOKUP('Données projet'!$B$10,Paramètres!$A$1:$I$89,5,0)</f>
        <v>-5.3471467253984886E-13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493.70175665335978</v>
      </c>
      <c r="AO178" s="62">
        <f t="shared" si="144"/>
        <v>325.12357781685949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>
        <f>BD178*VLOOKUP('Données projet'!$B$11,Paramètres!$A$1:$I$89,3,0)*VLOOKUP('Données projet'!$B$11,Paramètres!$A$1:$I$89,5,0)</f>
        <v>0</v>
      </c>
      <c r="BF178" s="14" t="e">
        <f t="shared" si="167"/>
        <v>#NUM!</v>
      </c>
      <c r="BG178" s="22" t="e">
        <f t="shared" si="168"/>
        <v>#NUM!</v>
      </c>
      <c r="BH178" s="62" t="e">
        <f t="shared" si="116"/>
        <v>#NUM!</v>
      </c>
      <c r="BI178" s="62">
        <f ca="1">AVERAGE(OFFSET($BH$3,0,0,'Données projet'!$E$11+1,1))-AVERAGE(OFFSET($H$3,0,0,'Données projet'!$E$11+1,1))</f>
        <v>245.09257882574383</v>
      </c>
      <c r="BJ178" s="62">
        <f t="shared" si="146"/>
        <v>342.30266518164211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0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-1.1368683772161603E-12</v>
      </c>
      <c r="BZ178" s="14">
        <f>BY178*VLOOKUP('Données projet'!$B$12,Paramètres!$A$1:$I$89,3,0)*VLOOKUP('Données projet'!$B$12,Paramètres!$A$1:$I$89,5,0)</f>
        <v>-1.0286385077051818E-12</v>
      </c>
      <c r="CA178" s="14" t="e">
        <f t="shared" si="170"/>
        <v>#NUM!</v>
      </c>
      <c r="CB178" s="22" t="e">
        <f t="shared" si="171"/>
        <v>#NUM!</v>
      </c>
      <c r="CC178" s="62" t="e">
        <f t="shared" si="119"/>
        <v>#NUM!</v>
      </c>
      <c r="CD178" s="62">
        <f ca="1">AVERAGE(OFFSET($CC$3,0,0,'Données projet'!$E$12+1,1))-AVERAGE(OFFSET($H$3,0,0,'Données projet'!$E$12+1,1))</f>
        <v>429.54141820799617</v>
      </c>
      <c r="CE178" s="62">
        <f t="shared" si="148"/>
        <v>231.36959598460686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0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3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-1.1368683772161603E-12</v>
      </c>
      <c r="O179" s="14">
        <f>N179*VLOOKUP('Données projet'!$B$9,Paramètres!$A$1:$I$89,3,0)*VLOOKUP('Données projet'!$B$9,Paramètres!$A$1:$I$89,5,0)</f>
        <v>-1.1527845344971866E-12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476.25344680259701</v>
      </c>
      <c r="T179" s="62">
        <f t="shared" si="142"/>
        <v>254.25036207346591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-5.1159076974727213E-13</v>
      </c>
      <c r="AJ179" s="14">
        <f>AI179*VLOOKUP('Données projet'!$B$10,Paramètres!$A$1:$I$89,3,0)*VLOOKUP('Données projet'!$B$10,Paramètres!$A$1:$I$89,5,0)</f>
        <v>-5.3471467253984886E-13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493.70175665335978</v>
      </c>
      <c r="AO179" s="62">
        <f t="shared" si="144"/>
        <v>325.12357781685949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>
        <f>BD179*VLOOKUP('Données projet'!$B$11,Paramètres!$A$1:$I$89,3,0)*VLOOKUP('Données projet'!$B$11,Paramètres!$A$1:$I$89,5,0)</f>
        <v>0</v>
      </c>
      <c r="BF179" s="14" t="e">
        <f t="shared" si="167"/>
        <v>#NUM!</v>
      </c>
      <c r="BG179" s="22" t="e">
        <f t="shared" si="168"/>
        <v>#NUM!</v>
      </c>
      <c r="BH179" s="62" t="e">
        <f t="shared" si="116"/>
        <v>#NUM!</v>
      </c>
      <c r="BI179" s="62">
        <f ca="1">AVERAGE(OFFSET($BH$3,0,0,'Données projet'!$E$11+1,1))-AVERAGE(OFFSET($H$3,0,0,'Données projet'!$E$11+1,1))</f>
        <v>245.09257882574383</v>
      </c>
      <c r="BJ179" s="62">
        <f t="shared" si="146"/>
        <v>342.30266518164211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0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-1.1368683772161603E-12</v>
      </c>
      <c r="BZ179" s="14">
        <f>BY179*VLOOKUP('Données projet'!$B$12,Paramètres!$A$1:$I$89,3,0)*VLOOKUP('Données projet'!$B$12,Paramètres!$A$1:$I$89,5,0)</f>
        <v>-1.0286385077051818E-12</v>
      </c>
      <c r="CA179" s="14" t="e">
        <f t="shared" si="170"/>
        <v>#NUM!</v>
      </c>
      <c r="CB179" s="22" t="e">
        <f t="shared" si="171"/>
        <v>#NUM!</v>
      </c>
      <c r="CC179" s="62" t="e">
        <f t="shared" si="119"/>
        <v>#NUM!</v>
      </c>
      <c r="CD179" s="62">
        <f ca="1">AVERAGE(OFFSET($CC$3,0,0,'Données projet'!$E$12+1,1))-AVERAGE(OFFSET($H$3,0,0,'Données projet'!$E$12+1,1))</f>
        <v>429.54141820799617</v>
      </c>
      <c r="CE179" s="62">
        <f t="shared" si="148"/>
        <v>231.36959598460686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0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3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-1.1368683772161603E-12</v>
      </c>
      <c r="O180" s="14">
        <f>N180*VLOOKUP('Données projet'!$B$9,Paramètres!$A$1:$I$89,3,0)*VLOOKUP('Données projet'!$B$9,Paramètres!$A$1:$I$89,5,0)</f>
        <v>-1.1527845344971866E-12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476.25344680259701</v>
      </c>
      <c r="T180" s="62">
        <f t="shared" si="142"/>
        <v>254.25036207346591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-5.1159076974727213E-13</v>
      </c>
      <c r="AJ180" s="14">
        <f>AI180*VLOOKUP('Données projet'!$B$10,Paramètres!$A$1:$I$89,3,0)*VLOOKUP('Données projet'!$B$10,Paramètres!$A$1:$I$89,5,0)</f>
        <v>-5.3471467253984886E-13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493.70175665335978</v>
      </c>
      <c r="AO180" s="62">
        <f t="shared" si="144"/>
        <v>325.12357781685949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>
        <f>BD180*VLOOKUP('Données projet'!$B$11,Paramètres!$A$1:$I$89,3,0)*VLOOKUP('Données projet'!$B$11,Paramètres!$A$1:$I$89,5,0)</f>
        <v>0</v>
      </c>
      <c r="BF180" s="14" t="e">
        <f t="shared" si="167"/>
        <v>#NUM!</v>
      </c>
      <c r="BG180" s="22" t="e">
        <f t="shared" si="168"/>
        <v>#NUM!</v>
      </c>
      <c r="BH180" s="62" t="e">
        <f t="shared" si="116"/>
        <v>#NUM!</v>
      </c>
      <c r="BI180" s="62">
        <f ca="1">AVERAGE(OFFSET($BH$3,0,0,'Données projet'!$E$11+1,1))-AVERAGE(OFFSET($H$3,0,0,'Données projet'!$E$11+1,1))</f>
        <v>245.09257882574383</v>
      </c>
      <c r="BJ180" s="62">
        <f t="shared" si="146"/>
        <v>342.30266518164211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0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-1.1368683772161603E-12</v>
      </c>
      <c r="BZ180" s="14">
        <f>BY180*VLOOKUP('Données projet'!$B$12,Paramètres!$A$1:$I$89,3,0)*VLOOKUP('Données projet'!$B$12,Paramètres!$A$1:$I$89,5,0)</f>
        <v>-1.0286385077051818E-12</v>
      </c>
      <c r="CA180" s="14" t="e">
        <f t="shared" si="170"/>
        <v>#NUM!</v>
      </c>
      <c r="CB180" s="22" t="e">
        <f t="shared" si="171"/>
        <v>#NUM!</v>
      </c>
      <c r="CC180" s="62" t="e">
        <f t="shared" si="119"/>
        <v>#NUM!</v>
      </c>
      <c r="CD180" s="62">
        <f ca="1">AVERAGE(OFFSET($CC$3,0,0,'Données projet'!$E$12+1,1))-AVERAGE(OFFSET($H$3,0,0,'Données projet'!$E$12+1,1))</f>
        <v>429.54141820799617</v>
      </c>
      <c r="CE180" s="62">
        <f t="shared" si="148"/>
        <v>231.36959598460686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0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3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-1.1368683772161603E-12</v>
      </c>
      <c r="O181" s="14">
        <f>N181*VLOOKUP('Données projet'!$B$9,Paramètres!$A$1:$I$89,3,0)*VLOOKUP('Données projet'!$B$9,Paramètres!$A$1:$I$89,5,0)</f>
        <v>-1.1527845344971866E-12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476.25344680259701</v>
      </c>
      <c r="T181" s="62">
        <f t="shared" si="142"/>
        <v>254.25036207346591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-5.1159076974727213E-13</v>
      </c>
      <c r="AJ181" s="14">
        <f>AI181*VLOOKUP('Données projet'!$B$10,Paramètres!$A$1:$I$89,3,0)*VLOOKUP('Données projet'!$B$10,Paramètres!$A$1:$I$89,5,0)</f>
        <v>-5.3471467253984886E-13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493.70175665335978</v>
      </c>
      <c r="AO181" s="62">
        <f t="shared" si="144"/>
        <v>325.12357781685949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>
        <f>BD181*VLOOKUP('Données projet'!$B$11,Paramètres!$A$1:$I$89,3,0)*VLOOKUP('Données projet'!$B$11,Paramètres!$A$1:$I$89,5,0)</f>
        <v>0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245.09257882574383</v>
      </c>
      <c r="BJ181" s="62">
        <f t="shared" si="146"/>
        <v>342.30266518164211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0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-1.1368683772161603E-12</v>
      </c>
      <c r="BZ181" s="14">
        <f>BY181*VLOOKUP('Données projet'!$B$12,Paramètres!$A$1:$I$89,3,0)*VLOOKUP('Données projet'!$B$12,Paramètres!$A$1:$I$89,5,0)</f>
        <v>-1.0286385077051818E-12</v>
      </c>
      <c r="CA181" s="14" t="e">
        <f t="shared" si="170"/>
        <v>#NUM!</v>
      </c>
      <c r="CB181" s="22" t="e">
        <f t="shared" si="171"/>
        <v>#NUM!</v>
      </c>
      <c r="CC181" s="62" t="e">
        <f t="shared" si="119"/>
        <v>#NUM!</v>
      </c>
      <c r="CD181" s="62">
        <f ca="1">AVERAGE(OFFSET($CC$3,0,0,'Données projet'!$E$12+1,1))-AVERAGE(OFFSET($H$3,0,0,'Données projet'!$E$12+1,1))</f>
        <v>429.54141820799617</v>
      </c>
      <c r="CE181" s="62">
        <f t="shared" si="148"/>
        <v>231.36959598460686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0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3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-1.1368683772161603E-12</v>
      </c>
      <c r="O182" s="14">
        <f>N182*VLOOKUP('Données projet'!$B$9,Paramètres!$A$1:$I$89,3,0)*VLOOKUP('Données projet'!$B$9,Paramètres!$A$1:$I$89,5,0)</f>
        <v>-1.1527845344971866E-12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476.25344680259701</v>
      </c>
      <c r="T182" s="62">
        <f t="shared" si="142"/>
        <v>254.25036207346591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-5.1159076974727213E-13</v>
      </c>
      <c r="AJ182" s="14">
        <f>AI182*VLOOKUP('Données projet'!$B$10,Paramètres!$A$1:$I$89,3,0)*VLOOKUP('Données projet'!$B$10,Paramètres!$A$1:$I$89,5,0)</f>
        <v>-5.3471467253984886E-13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493.70175665335978</v>
      </c>
      <c r="AO182" s="62">
        <f t="shared" si="144"/>
        <v>325.12357781685949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>
        <f>BD182*VLOOKUP('Données projet'!$B$11,Paramètres!$A$1:$I$89,3,0)*VLOOKUP('Données projet'!$B$11,Paramètres!$A$1:$I$89,5,0)</f>
        <v>0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245.09257882574383</v>
      </c>
      <c r="BJ182" s="62">
        <f t="shared" si="146"/>
        <v>342.30266518164211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0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-1.1368683772161603E-12</v>
      </c>
      <c r="BZ182" s="14">
        <f>BY182*VLOOKUP('Données projet'!$B$12,Paramètres!$A$1:$I$89,3,0)*VLOOKUP('Données projet'!$B$12,Paramètres!$A$1:$I$89,5,0)</f>
        <v>-1.0286385077051818E-12</v>
      </c>
      <c r="CA182" s="14" t="e">
        <f t="shared" si="170"/>
        <v>#NUM!</v>
      </c>
      <c r="CB182" s="22" t="e">
        <f t="shared" si="171"/>
        <v>#NUM!</v>
      </c>
      <c r="CC182" s="62" t="e">
        <f t="shared" si="119"/>
        <v>#NUM!</v>
      </c>
      <c r="CD182" s="62">
        <f ca="1">AVERAGE(OFFSET($CC$3,0,0,'Données projet'!$E$12+1,1))-AVERAGE(OFFSET($H$3,0,0,'Données projet'!$E$12+1,1))</f>
        <v>429.54141820799617</v>
      </c>
      <c r="CE182" s="62">
        <f t="shared" si="148"/>
        <v>231.36959598460686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0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3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-1.1368683772161603E-12</v>
      </c>
      <c r="O183" s="14">
        <f>N183*VLOOKUP('Données projet'!$B$9,Paramètres!$A$1:$I$89,3,0)*VLOOKUP('Données projet'!$B$9,Paramètres!$A$1:$I$89,5,0)</f>
        <v>-1.1527845344971866E-12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476.25344680259701</v>
      </c>
      <c r="T183" s="62">
        <f t="shared" si="142"/>
        <v>254.25036207346591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-5.1159076974727213E-13</v>
      </c>
      <c r="AJ183" s="14">
        <f>AI183*VLOOKUP('Données projet'!$B$10,Paramètres!$A$1:$I$89,3,0)*VLOOKUP('Données projet'!$B$10,Paramètres!$A$1:$I$89,5,0)</f>
        <v>-5.3471467253984886E-13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493.70175665335978</v>
      </c>
      <c r="AO183" s="62">
        <f t="shared" si="144"/>
        <v>325.12357781685949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>
        <f>BD183*VLOOKUP('Données projet'!$B$11,Paramètres!$A$1:$I$89,3,0)*VLOOKUP('Données projet'!$B$11,Paramètres!$A$1:$I$89,5,0)</f>
        <v>0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245.09257882574383</v>
      </c>
      <c r="BJ183" s="62">
        <f t="shared" si="146"/>
        <v>342.30266518164211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0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-1.1368683772161603E-12</v>
      </c>
      <c r="BZ183" s="14">
        <f>BY183*VLOOKUP('Données projet'!$B$12,Paramètres!$A$1:$I$89,3,0)*VLOOKUP('Données projet'!$B$12,Paramètres!$A$1:$I$89,5,0)</f>
        <v>-1.0286385077051818E-12</v>
      </c>
      <c r="CA183" s="14" t="e">
        <f t="shared" si="170"/>
        <v>#NUM!</v>
      </c>
      <c r="CB183" s="22" t="e">
        <f t="shared" si="171"/>
        <v>#NUM!</v>
      </c>
      <c r="CC183" s="62" t="e">
        <f t="shared" si="119"/>
        <v>#NUM!</v>
      </c>
      <c r="CD183" s="62">
        <f ca="1">AVERAGE(OFFSET($CC$3,0,0,'Données projet'!$E$12+1,1))-AVERAGE(OFFSET($H$3,0,0,'Données projet'!$E$12+1,1))</f>
        <v>429.54141820799617</v>
      </c>
      <c r="CE183" s="62">
        <f t="shared" si="148"/>
        <v>231.36959598460686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0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3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-1.1368683772161603E-12</v>
      </c>
      <c r="O184" s="14">
        <f>N184*VLOOKUP('Données projet'!$B$9,Paramètres!$A$1:$I$89,3,0)*VLOOKUP('Données projet'!$B$9,Paramètres!$A$1:$I$89,5,0)</f>
        <v>-1.1527845344971866E-12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476.25344680259701</v>
      </c>
      <c r="T184" s="62">
        <f t="shared" si="142"/>
        <v>254.25036207346591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-5.1159076974727213E-13</v>
      </c>
      <c r="AJ184" s="14">
        <f>AI184*VLOOKUP('Données projet'!$B$10,Paramètres!$A$1:$I$89,3,0)*VLOOKUP('Données projet'!$B$10,Paramètres!$A$1:$I$89,5,0)</f>
        <v>-5.3471467253984886E-13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493.70175665335978</v>
      </c>
      <c r="AO184" s="62">
        <f t="shared" si="144"/>
        <v>325.12357781685949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>
        <f>BD184*VLOOKUP('Données projet'!$B$11,Paramètres!$A$1:$I$89,3,0)*VLOOKUP('Données projet'!$B$11,Paramètres!$A$1:$I$89,5,0)</f>
        <v>0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245.09257882574383</v>
      </c>
      <c r="BJ184" s="62">
        <f t="shared" si="146"/>
        <v>342.30266518164211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0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-1.1368683772161603E-12</v>
      </c>
      <c r="BZ184" s="14">
        <f>BY184*VLOOKUP('Données projet'!$B$12,Paramètres!$A$1:$I$89,3,0)*VLOOKUP('Données projet'!$B$12,Paramètres!$A$1:$I$89,5,0)</f>
        <v>-1.0286385077051818E-12</v>
      </c>
      <c r="CA184" s="14" t="e">
        <f t="shared" si="170"/>
        <v>#NUM!</v>
      </c>
      <c r="CB184" s="22" t="e">
        <f t="shared" si="171"/>
        <v>#NUM!</v>
      </c>
      <c r="CC184" s="62" t="e">
        <f t="shared" si="119"/>
        <v>#NUM!</v>
      </c>
      <c r="CD184" s="62">
        <f ca="1">AVERAGE(OFFSET($CC$3,0,0,'Données projet'!$E$12+1,1))-AVERAGE(OFFSET($H$3,0,0,'Données projet'!$E$12+1,1))</f>
        <v>429.54141820799617</v>
      </c>
      <c r="CE184" s="62">
        <f t="shared" si="148"/>
        <v>231.36959598460686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0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3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-1.1368683772161603E-12</v>
      </c>
      <c r="O185" s="14">
        <f>N185*VLOOKUP('Données projet'!$B$9,Paramètres!$A$1:$I$89,3,0)*VLOOKUP('Données projet'!$B$9,Paramètres!$A$1:$I$89,5,0)</f>
        <v>-1.1527845344971866E-12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476.25344680259701</v>
      </c>
      <c r="T185" s="62">
        <f t="shared" si="142"/>
        <v>254.25036207346591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-5.1159076974727213E-13</v>
      </c>
      <c r="AJ185" s="14">
        <f>AI185*VLOOKUP('Données projet'!$B$10,Paramètres!$A$1:$I$89,3,0)*VLOOKUP('Données projet'!$B$10,Paramètres!$A$1:$I$89,5,0)</f>
        <v>-5.3471467253984886E-13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493.70175665335978</v>
      </c>
      <c r="AO185" s="62">
        <f t="shared" si="144"/>
        <v>325.12357781685949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>
        <f>BD185*VLOOKUP('Données projet'!$B$11,Paramètres!$A$1:$I$89,3,0)*VLOOKUP('Données projet'!$B$11,Paramètres!$A$1:$I$89,5,0)</f>
        <v>0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245.09257882574383</v>
      </c>
      <c r="BJ185" s="62">
        <f t="shared" si="146"/>
        <v>342.30266518164211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0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-1.1368683772161603E-12</v>
      </c>
      <c r="BZ185" s="14">
        <f>BY185*VLOOKUP('Données projet'!$B$12,Paramètres!$A$1:$I$89,3,0)*VLOOKUP('Données projet'!$B$12,Paramètres!$A$1:$I$89,5,0)</f>
        <v>-1.0286385077051818E-12</v>
      </c>
      <c r="CA185" s="14" t="e">
        <f t="shared" si="170"/>
        <v>#NUM!</v>
      </c>
      <c r="CB185" s="22" t="e">
        <f t="shared" si="171"/>
        <v>#NUM!</v>
      </c>
      <c r="CC185" s="62" t="e">
        <f t="shared" si="119"/>
        <v>#NUM!</v>
      </c>
      <c r="CD185" s="62">
        <f ca="1">AVERAGE(OFFSET($CC$3,0,0,'Données projet'!$E$12+1,1))-AVERAGE(OFFSET($H$3,0,0,'Données projet'!$E$12+1,1))</f>
        <v>429.54141820799617</v>
      </c>
      <c r="CE185" s="62">
        <f t="shared" si="148"/>
        <v>231.36959598460686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0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3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-1.1368683772161603E-12</v>
      </c>
      <c r="O186" s="14">
        <f>N186*VLOOKUP('Données projet'!$B$9,Paramètres!$A$1:$I$89,3,0)*VLOOKUP('Données projet'!$B$9,Paramètres!$A$1:$I$89,5,0)</f>
        <v>-1.1527845344971866E-12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476.25344680259701</v>
      </c>
      <c r="T186" s="62">
        <f t="shared" si="142"/>
        <v>254.25036207346591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-5.1159076974727213E-13</v>
      </c>
      <c r="AJ186" s="14">
        <f>AI186*VLOOKUP('Données projet'!$B$10,Paramètres!$A$1:$I$89,3,0)*VLOOKUP('Données projet'!$B$10,Paramètres!$A$1:$I$89,5,0)</f>
        <v>-5.3471467253984886E-13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493.70175665335978</v>
      </c>
      <c r="AO186" s="62">
        <f t="shared" si="144"/>
        <v>325.12357781685949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>
        <f>BD186*VLOOKUP('Données projet'!$B$11,Paramètres!$A$1:$I$89,3,0)*VLOOKUP('Données projet'!$B$11,Paramètres!$A$1:$I$89,5,0)</f>
        <v>0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245.09257882574383</v>
      </c>
      <c r="BJ186" s="62">
        <f t="shared" si="146"/>
        <v>342.30266518164211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0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-1.1368683772161603E-12</v>
      </c>
      <c r="BZ186" s="14">
        <f>BY186*VLOOKUP('Données projet'!$B$12,Paramètres!$A$1:$I$89,3,0)*VLOOKUP('Données projet'!$B$12,Paramètres!$A$1:$I$89,5,0)</f>
        <v>-1.0286385077051818E-12</v>
      </c>
      <c r="CA186" s="14" t="e">
        <f t="shared" si="170"/>
        <v>#NUM!</v>
      </c>
      <c r="CB186" s="22" t="e">
        <f t="shared" si="171"/>
        <v>#NUM!</v>
      </c>
      <c r="CC186" s="62" t="e">
        <f t="shared" si="119"/>
        <v>#NUM!</v>
      </c>
      <c r="CD186" s="62">
        <f ca="1">AVERAGE(OFFSET($CC$3,0,0,'Données projet'!$E$12+1,1))-AVERAGE(OFFSET($H$3,0,0,'Données projet'!$E$12+1,1))</f>
        <v>429.54141820799617</v>
      </c>
      <c r="CE186" s="62">
        <f t="shared" si="148"/>
        <v>231.36959598460686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0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3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-1.1368683772161603E-12</v>
      </c>
      <c r="O187" s="14">
        <f>N187*VLOOKUP('Données projet'!$B$9,Paramètres!$A$1:$I$89,3,0)*VLOOKUP('Données projet'!$B$9,Paramètres!$A$1:$I$89,5,0)</f>
        <v>-1.1527845344971866E-12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476.25344680259701</v>
      </c>
      <c r="T187" s="62">
        <f t="shared" si="142"/>
        <v>254.25036207346591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-5.1159076974727213E-13</v>
      </c>
      <c r="AJ187" s="14">
        <f>AI187*VLOOKUP('Données projet'!$B$10,Paramètres!$A$1:$I$89,3,0)*VLOOKUP('Données projet'!$B$10,Paramètres!$A$1:$I$89,5,0)</f>
        <v>-5.3471467253984886E-13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493.70175665335978</v>
      </c>
      <c r="AO187" s="62">
        <f t="shared" si="144"/>
        <v>325.12357781685949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>
        <f>BD187*VLOOKUP('Données projet'!$B$11,Paramètres!$A$1:$I$89,3,0)*VLOOKUP('Données projet'!$B$11,Paramètres!$A$1:$I$89,5,0)</f>
        <v>0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245.09257882574383</v>
      </c>
      <c r="BJ187" s="62">
        <f t="shared" si="146"/>
        <v>342.30266518164211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0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-1.1368683772161603E-12</v>
      </c>
      <c r="BZ187" s="14">
        <f>BY187*VLOOKUP('Données projet'!$B$12,Paramètres!$A$1:$I$89,3,0)*VLOOKUP('Données projet'!$B$12,Paramètres!$A$1:$I$89,5,0)</f>
        <v>-1.0286385077051818E-12</v>
      </c>
      <c r="CA187" s="14" t="e">
        <f t="shared" si="170"/>
        <v>#NUM!</v>
      </c>
      <c r="CB187" s="22" t="e">
        <f t="shared" si="171"/>
        <v>#NUM!</v>
      </c>
      <c r="CC187" s="62" t="e">
        <f t="shared" si="119"/>
        <v>#NUM!</v>
      </c>
      <c r="CD187" s="62">
        <f ca="1">AVERAGE(OFFSET($CC$3,0,0,'Données projet'!$E$12+1,1))-AVERAGE(OFFSET($H$3,0,0,'Données projet'!$E$12+1,1))</f>
        <v>429.54141820799617</v>
      </c>
      <c r="CE187" s="62">
        <f t="shared" si="148"/>
        <v>231.36959598460686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0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3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-1.1368683772161603E-12</v>
      </c>
      <c r="O188" s="14">
        <f>N188*VLOOKUP('Données projet'!$B$9,Paramètres!$A$1:$I$89,3,0)*VLOOKUP('Données projet'!$B$9,Paramètres!$A$1:$I$89,5,0)</f>
        <v>-1.1527845344971866E-12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476.25344680259701</v>
      </c>
      <c r="T188" s="62">
        <f t="shared" si="142"/>
        <v>254.25036207346591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-5.1159076974727213E-13</v>
      </c>
      <c r="AJ188" s="14">
        <f>AI188*VLOOKUP('Données projet'!$B$10,Paramètres!$A$1:$I$89,3,0)*VLOOKUP('Données projet'!$B$10,Paramètres!$A$1:$I$89,5,0)</f>
        <v>-5.3471467253984886E-13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493.70175665335978</v>
      </c>
      <c r="AO188" s="62">
        <f t="shared" si="144"/>
        <v>325.12357781685949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>
        <f>BD188*VLOOKUP('Données projet'!$B$11,Paramètres!$A$1:$I$89,3,0)*VLOOKUP('Données projet'!$B$11,Paramètres!$A$1:$I$89,5,0)</f>
        <v>0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245.09257882574383</v>
      </c>
      <c r="BJ188" s="62">
        <f t="shared" si="146"/>
        <v>342.30266518164211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0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-1.1368683772161603E-12</v>
      </c>
      <c r="BZ188" s="14">
        <f>BY188*VLOOKUP('Données projet'!$B$12,Paramètres!$A$1:$I$89,3,0)*VLOOKUP('Données projet'!$B$12,Paramètres!$A$1:$I$89,5,0)</f>
        <v>-1.0286385077051818E-12</v>
      </c>
      <c r="CA188" s="14" t="e">
        <f t="shared" si="170"/>
        <v>#NUM!</v>
      </c>
      <c r="CB188" s="22" t="e">
        <f t="shared" si="171"/>
        <v>#NUM!</v>
      </c>
      <c r="CC188" s="62" t="e">
        <f t="shared" si="119"/>
        <v>#NUM!</v>
      </c>
      <c r="CD188" s="62">
        <f ca="1">AVERAGE(OFFSET($CC$3,0,0,'Données projet'!$E$12+1,1))-AVERAGE(OFFSET($H$3,0,0,'Données projet'!$E$12+1,1))</f>
        <v>429.54141820799617</v>
      </c>
      <c r="CE188" s="62">
        <f t="shared" si="148"/>
        <v>231.36959598460686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0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3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-1.1368683772161603E-12</v>
      </c>
      <c r="O189" s="14">
        <f>N189*VLOOKUP('Données projet'!$B$9,Paramètres!$A$1:$I$89,3,0)*VLOOKUP('Données projet'!$B$9,Paramètres!$A$1:$I$89,5,0)</f>
        <v>-1.1527845344971866E-12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476.25344680259701</v>
      </c>
      <c r="T189" s="62">
        <f t="shared" si="142"/>
        <v>254.25036207346591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-5.1159076974727213E-13</v>
      </c>
      <c r="AJ189" s="14">
        <f>AI189*VLOOKUP('Données projet'!$B$10,Paramètres!$A$1:$I$89,3,0)*VLOOKUP('Données projet'!$B$10,Paramètres!$A$1:$I$89,5,0)</f>
        <v>-5.3471467253984886E-13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493.70175665335978</v>
      </c>
      <c r="AO189" s="62">
        <f t="shared" si="144"/>
        <v>325.12357781685949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>
        <f>BD189*VLOOKUP('Données projet'!$B$11,Paramètres!$A$1:$I$89,3,0)*VLOOKUP('Données projet'!$B$11,Paramètres!$A$1:$I$89,5,0)</f>
        <v>0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245.09257882574383</v>
      </c>
      <c r="BJ189" s="62">
        <f t="shared" si="146"/>
        <v>342.30266518164211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0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-1.1368683772161603E-12</v>
      </c>
      <c r="BZ189" s="14">
        <f>BY189*VLOOKUP('Données projet'!$B$12,Paramètres!$A$1:$I$89,3,0)*VLOOKUP('Données projet'!$B$12,Paramètres!$A$1:$I$89,5,0)</f>
        <v>-1.0286385077051818E-12</v>
      </c>
      <c r="CA189" s="14" t="e">
        <f t="shared" si="170"/>
        <v>#NUM!</v>
      </c>
      <c r="CB189" s="22" t="e">
        <f t="shared" si="171"/>
        <v>#NUM!</v>
      </c>
      <c r="CC189" s="62" t="e">
        <f t="shared" si="119"/>
        <v>#NUM!</v>
      </c>
      <c r="CD189" s="62">
        <f ca="1">AVERAGE(OFFSET($CC$3,0,0,'Données projet'!$E$12+1,1))-AVERAGE(OFFSET($H$3,0,0,'Données projet'!$E$12+1,1))</f>
        <v>429.54141820799617</v>
      </c>
      <c r="CE189" s="62">
        <f t="shared" si="148"/>
        <v>231.36959598460686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0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3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-1.1368683772161603E-12</v>
      </c>
      <c r="O190" s="14">
        <f>N190*VLOOKUP('Données projet'!$B$9,Paramètres!$A$1:$I$89,3,0)*VLOOKUP('Données projet'!$B$9,Paramètres!$A$1:$I$89,5,0)</f>
        <v>-1.1527845344971866E-12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476.25344680259701</v>
      </c>
      <c r="T190" s="62">
        <f t="shared" si="142"/>
        <v>254.25036207346591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-5.1159076974727213E-13</v>
      </c>
      <c r="AJ190" s="14">
        <f>AI190*VLOOKUP('Données projet'!$B$10,Paramètres!$A$1:$I$89,3,0)*VLOOKUP('Données projet'!$B$10,Paramètres!$A$1:$I$89,5,0)</f>
        <v>-5.3471467253984886E-13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493.70175665335978</v>
      </c>
      <c r="AO190" s="62">
        <f t="shared" si="144"/>
        <v>325.12357781685949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>
        <f>BD190*VLOOKUP('Données projet'!$B$11,Paramètres!$A$1:$I$89,3,0)*VLOOKUP('Données projet'!$B$11,Paramètres!$A$1:$I$89,5,0)</f>
        <v>0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245.09257882574383</v>
      </c>
      <c r="BJ190" s="62">
        <f t="shared" si="146"/>
        <v>342.30266518164211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0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-1.1368683772161603E-12</v>
      </c>
      <c r="BZ190" s="14">
        <f>BY190*VLOOKUP('Données projet'!$B$12,Paramètres!$A$1:$I$89,3,0)*VLOOKUP('Données projet'!$B$12,Paramètres!$A$1:$I$89,5,0)</f>
        <v>-1.0286385077051818E-12</v>
      </c>
      <c r="CA190" s="14" t="e">
        <f t="shared" si="170"/>
        <v>#NUM!</v>
      </c>
      <c r="CB190" s="22" t="e">
        <f t="shared" si="171"/>
        <v>#NUM!</v>
      </c>
      <c r="CC190" s="62" t="e">
        <f t="shared" si="119"/>
        <v>#NUM!</v>
      </c>
      <c r="CD190" s="62">
        <f ca="1">AVERAGE(OFFSET($CC$3,0,0,'Données projet'!$E$12+1,1))-AVERAGE(OFFSET($H$3,0,0,'Données projet'!$E$12+1,1))</f>
        <v>429.54141820799617</v>
      </c>
      <c r="CE190" s="62">
        <f t="shared" si="148"/>
        <v>231.36959598460686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0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3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-1.1368683772161603E-12</v>
      </c>
      <c r="O191" s="14">
        <f>N191*VLOOKUP('Données projet'!$B$9,Paramètres!$A$1:$I$89,3,0)*VLOOKUP('Données projet'!$B$9,Paramètres!$A$1:$I$89,5,0)</f>
        <v>-1.1527845344971866E-12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476.25344680259701</v>
      </c>
      <c r="T191" s="62">
        <f t="shared" si="142"/>
        <v>254.25036207346591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-5.1159076974727213E-13</v>
      </c>
      <c r="AJ191" s="14">
        <f>AI191*VLOOKUP('Données projet'!$B$10,Paramètres!$A$1:$I$89,3,0)*VLOOKUP('Données projet'!$B$10,Paramètres!$A$1:$I$89,5,0)</f>
        <v>-5.3471467253984886E-13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493.70175665335978</v>
      </c>
      <c r="AO191" s="62">
        <f t="shared" si="144"/>
        <v>325.12357781685949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>
        <f>BD191*VLOOKUP('Données projet'!$B$11,Paramètres!$A$1:$I$89,3,0)*VLOOKUP('Données projet'!$B$11,Paramètres!$A$1:$I$89,5,0)</f>
        <v>0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245.09257882574383</v>
      </c>
      <c r="BJ191" s="62">
        <f t="shared" si="146"/>
        <v>342.30266518164211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0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-1.1368683772161603E-12</v>
      </c>
      <c r="BZ191" s="14">
        <f>BY191*VLOOKUP('Données projet'!$B$12,Paramètres!$A$1:$I$89,3,0)*VLOOKUP('Données projet'!$B$12,Paramètres!$A$1:$I$89,5,0)</f>
        <v>-1.0286385077051818E-12</v>
      </c>
      <c r="CA191" s="14" t="e">
        <f t="shared" si="170"/>
        <v>#NUM!</v>
      </c>
      <c r="CB191" s="22" t="e">
        <f t="shared" si="171"/>
        <v>#NUM!</v>
      </c>
      <c r="CC191" s="62" t="e">
        <f t="shared" si="119"/>
        <v>#NUM!</v>
      </c>
      <c r="CD191" s="62">
        <f ca="1">AVERAGE(OFFSET($CC$3,0,0,'Données projet'!$E$12+1,1))-AVERAGE(OFFSET($H$3,0,0,'Données projet'!$E$12+1,1))</f>
        <v>429.54141820799617</v>
      </c>
      <c r="CE191" s="62">
        <f t="shared" si="148"/>
        <v>231.36959598460686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0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3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-1.1368683772161603E-12</v>
      </c>
      <c r="O192" s="14">
        <f>N192*VLOOKUP('Données projet'!$B$9,Paramètres!$A$1:$I$89,3,0)*VLOOKUP('Données projet'!$B$9,Paramètres!$A$1:$I$89,5,0)</f>
        <v>-1.1527845344971866E-12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476.25344680259701</v>
      </c>
      <c r="T192" s="62">
        <f t="shared" si="142"/>
        <v>254.25036207346591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-5.1159076974727213E-13</v>
      </c>
      <c r="AJ192" s="14">
        <f>AI192*VLOOKUP('Données projet'!$B$10,Paramètres!$A$1:$I$89,3,0)*VLOOKUP('Données projet'!$B$10,Paramètres!$A$1:$I$89,5,0)</f>
        <v>-5.3471467253984886E-13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493.70175665335978</v>
      </c>
      <c r="AO192" s="62">
        <f t="shared" si="144"/>
        <v>325.12357781685949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>
        <f>BD192*VLOOKUP('Données projet'!$B$11,Paramètres!$A$1:$I$89,3,0)*VLOOKUP('Données projet'!$B$11,Paramètres!$A$1:$I$89,5,0)</f>
        <v>0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245.09257882574383</v>
      </c>
      <c r="BJ192" s="62">
        <f t="shared" si="146"/>
        <v>342.30266518164211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0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-1.1368683772161603E-12</v>
      </c>
      <c r="BZ192" s="14">
        <f>BY192*VLOOKUP('Données projet'!$B$12,Paramètres!$A$1:$I$89,3,0)*VLOOKUP('Données projet'!$B$12,Paramètres!$A$1:$I$89,5,0)</f>
        <v>-1.0286385077051818E-12</v>
      </c>
      <c r="CA192" s="14" t="e">
        <f t="shared" si="170"/>
        <v>#NUM!</v>
      </c>
      <c r="CB192" s="22" t="e">
        <f t="shared" si="171"/>
        <v>#NUM!</v>
      </c>
      <c r="CC192" s="62" t="e">
        <f t="shared" si="119"/>
        <v>#NUM!</v>
      </c>
      <c r="CD192" s="62">
        <f ca="1">AVERAGE(OFFSET($CC$3,0,0,'Données projet'!$E$12+1,1))-AVERAGE(OFFSET($H$3,0,0,'Données projet'!$E$12+1,1))</f>
        <v>429.54141820799617</v>
      </c>
      <c r="CE192" s="62">
        <f t="shared" si="148"/>
        <v>231.36959598460686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0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3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-1.1368683772161603E-12</v>
      </c>
      <c r="O193" s="14">
        <f>N193*VLOOKUP('Données projet'!$B$9,Paramètres!$A$1:$I$89,3,0)*VLOOKUP('Données projet'!$B$9,Paramètres!$A$1:$I$89,5,0)</f>
        <v>-1.1527845344971866E-12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476.25344680259701</v>
      </c>
      <c r="T193" s="62">
        <f t="shared" si="142"/>
        <v>254.25036207346591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-5.1159076974727213E-13</v>
      </c>
      <c r="AJ193" s="14">
        <f>AI193*VLOOKUP('Données projet'!$B$10,Paramètres!$A$1:$I$89,3,0)*VLOOKUP('Données projet'!$B$10,Paramètres!$A$1:$I$89,5,0)</f>
        <v>-5.3471467253984886E-13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493.70175665335978</v>
      </c>
      <c r="AO193" s="62">
        <f t="shared" si="144"/>
        <v>325.12357781685949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>
        <f>BD193*VLOOKUP('Données projet'!$B$11,Paramètres!$A$1:$I$89,3,0)*VLOOKUP('Données projet'!$B$11,Paramètres!$A$1:$I$89,5,0)</f>
        <v>0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245.09257882574383</v>
      </c>
      <c r="BJ193" s="62">
        <f t="shared" si="146"/>
        <v>342.30266518164211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0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-1.1368683772161603E-12</v>
      </c>
      <c r="BZ193" s="14">
        <f>BY193*VLOOKUP('Données projet'!$B$12,Paramètres!$A$1:$I$89,3,0)*VLOOKUP('Données projet'!$B$12,Paramètres!$A$1:$I$89,5,0)</f>
        <v>-1.0286385077051818E-12</v>
      </c>
      <c r="CA193" s="14" t="e">
        <f t="shared" si="170"/>
        <v>#NUM!</v>
      </c>
      <c r="CB193" s="22" t="e">
        <f t="shared" si="171"/>
        <v>#NUM!</v>
      </c>
      <c r="CC193" s="62" t="e">
        <f t="shared" si="119"/>
        <v>#NUM!</v>
      </c>
      <c r="CD193" s="62">
        <f ca="1">AVERAGE(OFFSET($CC$3,0,0,'Données projet'!$E$12+1,1))-AVERAGE(OFFSET($H$3,0,0,'Données projet'!$E$12+1,1))</f>
        <v>429.54141820799617</v>
      </c>
      <c r="CE193" s="62">
        <f t="shared" si="148"/>
        <v>231.36959598460686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0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3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-1.1368683772161603E-12</v>
      </c>
      <c r="O194" s="14">
        <f>N194*VLOOKUP('Données projet'!$B$9,Paramètres!$A$1:$I$89,3,0)*VLOOKUP('Données projet'!$B$9,Paramètres!$A$1:$I$89,5,0)</f>
        <v>-1.1527845344971866E-12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476.25344680259701</v>
      </c>
      <c r="T194" s="62">
        <f t="shared" si="142"/>
        <v>254.25036207346591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-5.1159076974727213E-13</v>
      </c>
      <c r="AJ194" s="14">
        <f>AI194*VLOOKUP('Données projet'!$B$10,Paramètres!$A$1:$I$89,3,0)*VLOOKUP('Données projet'!$B$10,Paramètres!$A$1:$I$89,5,0)</f>
        <v>-5.3471467253984886E-13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493.70175665335978</v>
      </c>
      <c r="AO194" s="62">
        <f t="shared" si="144"/>
        <v>325.12357781685949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>
        <f>BD194*VLOOKUP('Données projet'!$B$11,Paramètres!$A$1:$I$89,3,0)*VLOOKUP('Données projet'!$B$11,Paramètres!$A$1:$I$89,5,0)</f>
        <v>0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245.09257882574383</v>
      </c>
      <c r="BJ194" s="62">
        <f t="shared" si="146"/>
        <v>342.30266518164211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0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-1.1368683772161603E-12</v>
      </c>
      <c r="BZ194" s="14">
        <f>BY194*VLOOKUP('Données projet'!$B$12,Paramètres!$A$1:$I$89,3,0)*VLOOKUP('Données projet'!$B$12,Paramètres!$A$1:$I$89,5,0)</f>
        <v>-1.0286385077051818E-12</v>
      </c>
      <c r="CA194" s="14" t="e">
        <f t="shared" si="170"/>
        <v>#NUM!</v>
      </c>
      <c r="CB194" s="22" t="e">
        <f t="shared" si="171"/>
        <v>#NUM!</v>
      </c>
      <c r="CC194" s="62" t="e">
        <f t="shared" si="119"/>
        <v>#NUM!</v>
      </c>
      <c r="CD194" s="62">
        <f ca="1">AVERAGE(OFFSET($CC$3,0,0,'Données projet'!$E$12+1,1))-AVERAGE(OFFSET($H$3,0,0,'Données projet'!$E$12+1,1))</f>
        <v>429.54141820799617</v>
      </c>
      <c r="CE194" s="62">
        <f t="shared" si="148"/>
        <v>231.36959598460686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0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3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-1.1368683772161603E-12</v>
      </c>
      <c r="O195" s="14">
        <f>N195*VLOOKUP('Données projet'!$B$9,Paramètres!$A$1:$I$89,3,0)*VLOOKUP('Données projet'!$B$9,Paramètres!$A$1:$I$89,5,0)</f>
        <v>-1.1527845344971866E-12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476.25344680259701</v>
      </c>
      <c r="T195" s="62">
        <f t="shared" si="142"/>
        <v>254.25036207346591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-5.1159076974727213E-13</v>
      </c>
      <c r="AJ195" s="14">
        <f>AI195*VLOOKUP('Données projet'!$B$10,Paramètres!$A$1:$I$89,3,0)*VLOOKUP('Données projet'!$B$10,Paramètres!$A$1:$I$89,5,0)</f>
        <v>-5.3471467253984886E-13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493.70175665335978</v>
      </c>
      <c r="AO195" s="62">
        <f t="shared" si="144"/>
        <v>325.12357781685949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>
        <f>BD195*VLOOKUP('Données projet'!$B$11,Paramètres!$A$1:$I$89,3,0)*VLOOKUP('Données projet'!$B$11,Paramètres!$A$1:$I$89,5,0)</f>
        <v>0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245.09257882574383</v>
      </c>
      <c r="BJ195" s="62">
        <f t="shared" si="146"/>
        <v>342.30266518164211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0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-1.1368683772161603E-12</v>
      </c>
      <c r="BZ195" s="14">
        <f>BY195*VLOOKUP('Données projet'!$B$12,Paramètres!$A$1:$I$89,3,0)*VLOOKUP('Données projet'!$B$12,Paramètres!$A$1:$I$89,5,0)</f>
        <v>-1.0286385077051818E-12</v>
      </c>
      <c r="CA195" s="14" t="e">
        <f t="shared" si="170"/>
        <v>#NUM!</v>
      </c>
      <c r="CB195" s="22" t="e">
        <f t="shared" si="171"/>
        <v>#NUM!</v>
      </c>
      <c r="CC195" s="62" t="e">
        <f t="shared" si="119"/>
        <v>#NUM!</v>
      </c>
      <c r="CD195" s="62">
        <f ca="1">AVERAGE(OFFSET($CC$3,0,0,'Données projet'!$E$12+1,1))-AVERAGE(OFFSET($H$3,0,0,'Données projet'!$E$12+1,1))</f>
        <v>429.54141820799617</v>
      </c>
      <c r="CE195" s="62">
        <f t="shared" si="148"/>
        <v>231.36959598460686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0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3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-1.1368683772161603E-12</v>
      </c>
      <c r="O196" s="14">
        <f>N196*VLOOKUP('Données projet'!$B$9,Paramètres!$A$1:$I$89,3,0)*VLOOKUP('Données projet'!$B$9,Paramètres!$A$1:$I$89,5,0)</f>
        <v>-1.1527845344971866E-12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476.25344680259701</v>
      </c>
      <c r="T196" s="62">
        <f t="shared" si="142"/>
        <v>254.25036207346591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-5.1159076974727213E-13</v>
      </c>
      <c r="AJ196" s="14">
        <f>AI196*VLOOKUP('Données projet'!$B$10,Paramètres!$A$1:$I$89,3,0)*VLOOKUP('Données projet'!$B$10,Paramètres!$A$1:$I$89,5,0)</f>
        <v>-5.3471467253984886E-13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493.70175665335978</v>
      </c>
      <c r="AO196" s="62">
        <f t="shared" si="144"/>
        <v>325.12357781685949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>
        <f>BD196*VLOOKUP('Données projet'!$B$11,Paramètres!$A$1:$I$89,3,0)*VLOOKUP('Données projet'!$B$11,Paramètres!$A$1:$I$89,5,0)</f>
        <v>0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245.09257882574383</v>
      </c>
      <c r="BJ196" s="62">
        <f t="shared" si="146"/>
        <v>342.30266518164211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0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-1.1368683772161603E-12</v>
      </c>
      <c r="BZ196" s="14">
        <f>BY196*VLOOKUP('Données projet'!$B$12,Paramètres!$A$1:$I$89,3,0)*VLOOKUP('Données projet'!$B$12,Paramètres!$A$1:$I$89,5,0)</f>
        <v>-1.0286385077051818E-12</v>
      </c>
      <c r="CA196" s="14" t="e">
        <f t="shared" si="170"/>
        <v>#NUM!</v>
      </c>
      <c r="CB196" s="22" t="e">
        <f t="shared" si="171"/>
        <v>#NUM!</v>
      </c>
      <c r="CC196" s="62" t="e">
        <f t="shared" ref="CC196:CC203" si="195">CB196+(BT196+BU196)*44/12</f>
        <v>#NUM!</v>
      </c>
      <c r="CD196" s="62">
        <f ca="1">AVERAGE(OFFSET($CC$3,0,0,'Données projet'!$E$12+1,1))-AVERAGE(OFFSET($H$3,0,0,'Données projet'!$E$12+1,1))</f>
        <v>429.54141820799617</v>
      </c>
      <c r="CE196" s="62">
        <f t="shared" si="148"/>
        <v>231.36959598460686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0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3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-1.1368683772161603E-12</v>
      </c>
      <c r="O197" s="14">
        <f>N197*VLOOKUP('Données projet'!$B$9,Paramètres!$A$1:$I$89,3,0)*VLOOKUP('Données projet'!$B$9,Paramètres!$A$1:$I$89,5,0)</f>
        <v>-1.1527845344971866E-12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476.25344680259701</v>
      </c>
      <c r="T197" s="62">
        <f t="shared" ref="T197:T203" si="204">$T$3</f>
        <v>254.25036207346591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-5.1159076974727213E-13</v>
      </c>
      <c r="AJ197" s="14">
        <f>AI197*VLOOKUP('Données projet'!$B$10,Paramètres!$A$1:$I$89,3,0)*VLOOKUP('Données projet'!$B$10,Paramètres!$A$1:$I$89,5,0)</f>
        <v>-5.3471467253984886E-13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493.70175665335978</v>
      </c>
      <c r="AO197" s="62">
        <f t="shared" ref="AO197:AO203" si="205">$AO$3</f>
        <v>325.12357781685949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>
        <f>BD197*VLOOKUP('Données projet'!$B$11,Paramètres!$A$1:$I$89,3,0)*VLOOKUP('Données projet'!$B$11,Paramètres!$A$1:$I$89,5,0)</f>
        <v>0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245.09257882574383</v>
      </c>
      <c r="BJ197" s="62">
        <f t="shared" ref="BJ197:BJ203" si="206">$BJ$3</f>
        <v>342.30266518164211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0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-1.1368683772161603E-12</v>
      </c>
      <c r="BZ197" s="14">
        <f>BY197*VLOOKUP('Données projet'!$B$12,Paramètres!$A$1:$I$89,3,0)*VLOOKUP('Données projet'!$B$12,Paramètres!$A$1:$I$89,5,0)</f>
        <v>-1.0286385077051818E-12</v>
      </c>
      <c r="CA197" s="14" t="e">
        <f t="shared" si="170"/>
        <v>#NUM!</v>
      </c>
      <c r="CB197" s="22" t="e">
        <f t="shared" si="171"/>
        <v>#NUM!</v>
      </c>
      <c r="CC197" s="62" t="e">
        <f t="shared" si="195"/>
        <v>#NUM!</v>
      </c>
      <c r="CD197" s="62">
        <f ca="1">AVERAGE(OFFSET($CC$3,0,0,'Données projet'!$E$12+1,1))-AVERAGE(OFFSET($H$3,0,0,'Données projet'!$E$12+1,1))</f>
        <v>429.54141820799617</v>
      </c>
      <c r="CE197" s="62">
        <f t="shared" ref="CE197:CE203" si="207">$CE$3</f>
        <v>231.36959598460686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0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3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-1.1368683772161603E-12</v>
      </c>
      <c r="O198" s="14">
        <f>N198*VLOOKUP('Données projet'!$B$9,Paramètres!$A$1:$I$89,3,0)*VLOOKUP('Données projet'!$B$9,Paramètres!$A$1:$I$89,5,0)</f>
        <v>-1.1527845344971866E-12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476.25344680259701</v>
      </c>
      <c r="T198" s="62">
        <f t="shared" si="204"/>
        <v>254.25036207346591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-5.1159076974727213E-13</v>
      </c>
      <c r="AJ198" s="14">
        <f>AI198*VLOOKUP('Données projet'!$B$10,Paramètres!$A$1:$I$89,3,0)*VLOOKUP('Données projet'!$B$10,Paramètres!$A$1:$I$89,5,0)</f>
        <v>-5.3471467253984886E-13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493.70175665335978</v>
      </c>
      <c r="AO198" s="62">
        <f t="shared" si="205"/>
        <v>325.12357781685949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>
        <f>BD198*VLOOKUP('Données projet'!$B$11,Paramètres!$A$1:$I$89,3,0)*VLOOKUP('Données projet'!$B$11,Paramètres!$A$1:$I$89,5,0)</f>
        <v>0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245.09257882574383</v>
      </c>
      <c r="BJ198" s="62">
        <f t="shared" si="206"/>
        <v>342.30266518164211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0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-1.1368683772161603E-12</v>
      </c>
      <c r="BZ198" s="14">
        <f>BY198*VLOOKUP('Données projet'!$B$12,Paramètres!$A$1:$I$89,3,0)*VLOOKUP('Données projet'!$B$12,Paramètres!$A$1:$I$89,5,0)</f>
        <v>-1.0286385077051818E-12</v>
      </c>
      <c r="CA198" s="14" t="e">
        <f t="shared" si="170"/>
        <v>#NUM!</v>
      </c>
      <c r="CB198" s="22" t="e">
        <f t="shared" si="171"/>
        <v>#NUM!</v>
      </c>
      <c r="CC198" s="62" t="e">
        <f t="shared" si="195"/>
        <v>#NUM!</v>
      </c>
      <c r="CD198" s="62">
        <f ca="1">AVERAGE(OFFSET($CC$3,0,0,'Données projet'!$E$12+1,1))-AVERAGE(OFFSET($H$3,0,0,'Données projet'!$E$12+1,1))</f>
        <v>429.54141820799617</v>
      </c>
      <c r="CE198" s="62">
        <f t="shared" si="207"/>
        <v>231.36959598460686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0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3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-1.1368683772161603E-12</v>
      </c>
      <c r="O199" s="14">
        <f>N199*VLOOKUP('Données projet'!$B$9,Paramètres!$A$1:$I$89,3,0)*VLOOKUP('Données projet'!$B$9,Paramètres!$A$1:$I$89,5,0)</f>
        <v>-1.1527845344971866E-12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476.25344680259701</v>
      </c>
      <c r="T199" s="62">
        <f t="shared" si="204"/>
        <v>254.25036207346591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-5.1159076974727213E-13</v>
      </c>
      <c r="AJ199" s="14">
        <f>AI199*VLOOKUP('Données projet'!$B$10,Paramètres!$A$1:$I$89,3,0)*VLOOKUP('Données projet'!$B$10,Paramètres!$A$1:$I$89,5,0)</f>
        <v>-5.3471467253984886E-13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493.70175665335978</v>
      </c>
      <c r="AO199" s="62">
        <f t="shared" si="205"/>
        <v>325.12357781685949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>
        <f>BD199*VLOOKUP('Données projet'!$B$11,Paramètres!$A$1:$I$89,3,0)*VLOOKUP('Données projet'!$B$11,Paramètres!$A$1:$I$89,5,0)</f>
        <v>0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245.09257882574383</v>
      </c>
      <c r="BJ199" s="62">
        <f t="shared" si="206"/>
        <v>342.30266518164211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0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-1.1368683772161603E-12</v>
      </c>
      <c r="BZ199" s="14">
        <f>BY199*VLOOKUP('Données projet'!$B$12,Paramètres!$A$1:$I$89,3,0)*VLOOKUP('Données projet'!$B$12,Paramètres!$A$1:$I$89,5,0)</f>
        <v>-1.0286385077051818E-12</v>
      </c>
      <c r="CA199" s="14" t="e">
        <f t="shared" si="170"/>
        <v>#NUM!</v>
      </c>
      <c r="CB199" s="22" t="e">
        <f t="shared" si="171"/>
        <v>#NUM!</v>
      </c>
      <c r="CC199" s="62" t="e">
        <f t="shared" si="195"/>
        <v>#NUM!</v>
      </c>
      <c r="CD199" s="62">
        <f ca="1">AVERAGE(OFFSET($CC$3,0,0,'Données projet'!$E$12+1,1))-AVERAGE(OFFSET($H$3,0,0,'Données projet'!$E$12+1,1))</f>
        <v>429.54141820799617</v>
      </c>
      <c r="CE199" s="62">
        <f t="shared" si="207"/>
        <v>231.36959598460686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0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3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-1.1368683772161603E-12</v>
      </c>
      <c r="O200" s="14">
        <f>N200*VLOOKUP('Données projet'!$B$9,Paramètres!$A$1:$I$89,3,0)*VLOOKUP('Données projet'!$B$9,Paramètres!$A$1:$I$89,5,0)</f>
        <v>-1.1527845344971866E-12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476.25344680259701</v>
      </c>
      <c r="T200" s="62">
        <f t="shared" si="204"/>
        <v>254.25036207346591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-5.1159076974727213E-13</v>
      </c>
      <c r="AJ200" s="14">
        <f>AI200*VLOOKUP('Données projet'!$B$10,Paramètres!$A$1:$I$89,3,0)*VLOOKUP('Données projet'!$B$10,Paramètres!$A$1:$I$89,5,0)</f>
        <v>-5.3471467253984886E-13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493.70175665335978</v>
      </c>
      <c r="AO200" s="62">
        <f t="shared" si="205"/>
        <v>325.12357781685949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>
        <f>BD200*VLOOKUP('Données projet'!$B$11,Paramètres!$A$1:$I$89,3,0)*VLOOKUP('Données projet'!$B$11,Paramètres!$A$1:$I$89,5,0)</f>
        <v>0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245.09257882574383</v>
      </c>
      <c r="BJ200" s="62">
        <f t="shared" si="206"/>
        <v>342.30266518164211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0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-1.1368683772161603E-12</v>
      </c>
      <c r="BZ200" s="14">
        <f>BY200*VLOOKUP('Données projet'!$B$12,Paramètres!$A$1:$I$89,3,0)*VLOOKUP('Données projet'!$B$12,Paramètres!$A$1:$I$89,5,0)</f>
        <v>-1.0286385077051818E-12</v>
      </c>
      <c r="CA200" s="14" t="e">
        <f t="shared" si="170"/>
        <v>#NUM!</v>
      </c>
      <c r="CB200" s="22" t="e">
        <f t="shared" si="171"/>
        <v>#NUM!</v>
      </c>
      <c r="CC200" s="62" t="e">
        <f t="shared" si="195"/>
        <v>#NUM!</v>
      </c>
      <c r="CD200" s="62">
        <f ca="1">AVERAGE(OFFSET($CC$3,0,0,'Données projet'!$E$12+1,1))-AVERAGE(OFFSET($H$3,0,0,'Données projet'!$E$12+1,1))</f>
        <v>429.54141820799617</v>
      </c>
      <c r="CE200" s="62">
        <f t="shared" si="207"/>
        <v>231.36959598460686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0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3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-1.1368683772161603E-12</v>
      </c>
      <c r="O201" s="14">
        <f>N201*VLOOKUP('Données projet'!$B$9,Paramètres!$A$1:$I$89,3,0)*VLOOKUP('Données projet'!$B$9,Paramètres!$A$1:$I$89,5,0)</f>
        <v>-1.1527845344971866E-12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476.25344680259701</v>
      </c>
      <c r="T201" s="62">
        <f t="shared" si="204"/>
        <v>254.25036207346591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-5.1159076974727213E-13</v>
      </c>
      <c r="AJ201" s="14">
        <f>AI201*VLOOKUP('Données projet'!$B$10,Paramètres!$A$1:$I$89,3,0)*VLOOKUP('Données projet'!$B$10,Paramètres!$A$1:$I$89,5,0)</f>
        <v>-5.3471467253984886E-13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493.70175665335978</v>
      </c>
      <c r="AO201" s="62">
        <f t="shared" si="205"/>
        <v>325.12357781685949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>
        <f>BD201*VLOOKUP('Données projet'!$B$11,Paramètres!$A$1:$I$89,3,0)*VLOOKUP('Données projet'!$B$11,Paramètres!$A$1:$I$89,5,0)</f>
        <v>0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245.09257882574383</v>
      </c>
      <c r="BJ201" s="62">
        <f t="shared" si="206"/>
        <v>342.30266518164211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0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-1.1368683772161603E-12</v>
      </c>
      <c r="BZ201" s="14">
        <f>BY201*VLOOKUP('Données projet'!$B$12,Paramètres!$A$1:$I$89,3,0)*VLOOKUP('Données projet'!$B$12,Paramètres!$A$1:$I$89,5,0)</f>
        <v>-1.0286385077051818E-12</v>
      </c>
      <c r="CA201" s="14" t="e">
        <f t="shared" si="170"/>
        <v>#NUM!</v>
      </c>
      <c r="CB201" s="22" t="e">
        <f t="shared" si="171"/>
        <v>#NUM!</v>
      </c>
      <c r="CC201" s="62" t="e">
        <f t="shared" si="195"/>
        <v>#NUM!</v>
      </c>
      <c r="CD201" s="62">
        <f ca="1">AVERAGE(OFFSET($CC$3,0,0,'Données projet'!$E$12+1,1))-AVERAGE(OFFSET($H$3,0,0,'Données projet'!$E$12+1,1))</f>
        <v>429.54141820799617</v>
      </c>
      <c r="CE201" s="62">
        <f t="shared" si="207"/>
        <v>231.36959598460686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0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3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-1.1368683772161603E-12</v>
      </c>
      <c r="O202" s="14">
        <f>N202*VLOOKUP('Données projet'!$B$9,Paramètres!$A$1:$I$89,3,0)*VLOOKUP('Données projet'!$B$9,Paramètres!$A$1:$I$89,5,0)</f>
        <v>-1.1527845344971866E-12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476.25344680259701</v>
      </c>
      <c r="T202" s="62">
        <f t="shared" si="204"/>
        <v>254.25036207346591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-5.1159076974727213E-13</v>
      </c>
      <c r="AJ202" s="14">
        <f>AI202*VLOOKUP('Données projet'!$B$10,Paramètres!$A$1:$I$89,3,0)*VLOOKUP('Données projet'!$B$10,Paramètres!$A$1:$I$89,5,0)</f>
        <v>-5.3471467253984886E-13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493.70175665335978</v>
      </c>
      <c r="AO202" s="62">
        <f t="shared" si="205"/>
        <v>325.12357781685949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>
        <f>BD202*VLOOKUP('Données projet'!$B$11,Paramètres!$A$1:$I$89,3,0)*VLOOKUP('Données projet'!$B$11,Paramètres!$A$1:$I$89,5,0)</f>
        <v>0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245.09257882574383</v>
      </c>
      <c r="BJ202" s="62">
        <f t="shared" si="206"/>
        <v>342.30266518164211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0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-1.1368683772161603E-12</v>
      </c>
      <c r="BZ202" s="14">
        <f>BY202*VLOOKUP('Données projet'!$B$12,Paramètres!$A$1:$I$89,3,0)*VLOOKUP('Données projet'!$B$12,Paramètres!$A$1:$I$89,5,0)</f>
        <v>-1.0286385077051818E-12</v>
      </c>
      <c r="CA202" s="14" t="e">
        <f t="shared" si="170"/>
        <v>#NUM!</v>
      </c>
      <c r="CB202" s="22" t="e">
        <f t="shared" si="171"/>
        <v>#NUM!</v>
      </c>
      <c r="CC202" s="62" t="e">
        <f t="shared" si="195"/>
        <v>#NUM!</v>
      </c>
      <c r="CD202" s="62">
        <f ca="1">AVERAGE(OFFSET($CC$3,0,0,'Données projet'!$E$12+1,1))-AVERAGE(OFFSET($H$3,0,0,'Données projet'!$E$12+1,1))</f>
        <v>429.54141820799617</v>
      </c>
      <c r="CE202" s="62">
        <f t="shared" si="207"/>
        <v>231.36959598460686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0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" thickBot="1" x14ac:dyDescent="0.35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-1.1368683772161603E-12</v>
      </c>
      <c r="O203" s="14">
        <f>N203*VLOOKUP('Données projet'!$B$9,Paramètres!$A$1:$I$89,3,0)*VLOOKUP('Données projet'!$B$9,Paramètres!$A$1:$I$89,5,0)</f>
        <v>-1.1527845344971866E-12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476.25344680259701</v>
      </c>
      <c r="T203" s="62">
        <f t="shared" si="204"/>
        <v>254.25036207346591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-5.1159076974727213E-13</v>
      </c>
      <c r="AJ203" s="14">
        <f>AI203*VLOOKUP('Données projet'!$B$10,Paramètres!$A$1:$I$89,3,0)*VLOOKUP('Données projet'!$B$10,Paramètres!$A$1:$I$89,5,0)</f>
        <v>-5.3471467253984886E-13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493.70175665335978</v>
      </c>
      <c r="AO203" s="62">
        <f t="shared" si="205"/>
        <v>325.12357781685949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>
        <f>BD203*VLOOKUP('Données projet'!$B$11,Paramètres!$A$1:$I$89,3,0)*VLOOKUP('Données projet'!$B$11,Paramètres!$A$1:$I$89,5,0)</f>
        <v>0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245.09257882574383</v>
      </c>
      <c r="BJ203" s="62">
        <f t="shared" si="206"/>
        <v>342.30266518164211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0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-1.1368683772161603E-12</v>
      </c>
      <c r="BZ203" s="14">
        <f>BY203*VLOOKUP('Données projet'!$B$12,Paramètres!$A$1:$I$89,3,0)*VLOOKUP('Données projet'!$B$12,Paramètres!$A$1:$I$89,5,0)</f>
        <v>-1.0286385077051818E-12</v>
      </c>
      <c r="CA203" s="14" t="e">
        <f t="shared" si="170"/>
        <v>#NUM!</v>
      </c>
      <c r="CB203" s="22" t="e">
        <f t="shared" si="171"/>
        <v>#NUM!</v>
      </c>
      <c r="CC203" s="62" t="e">
        <f t="shared" si="195"/>
        <v>#NUM!</v>
      </c>
      <c r="CD203" s="62">
        <f ca="1">AVERAGE(OFFSET($CC$3,0,0,'Données projet'!$E$12+1,1))-AVERAGE(OFFSET($H$3,0,0,'Données projet'!$E$12+1,1))</f>
        <v>429.54141820799617</v>
      </c>
      <c r="CE203" s="62">
        <f t="shared" si="207"/>
        <v>231.36959598460686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0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" thickBot="1" x14ac:dyDescent="0.3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" thickBot="1" x14ac:dyDescent="0.3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1.2054868146447177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1.2548684989282006</v>
      </c>
      <c r="BA205" s="88">
        <f>EXP(LN('Données projet'!B88)/'Données projet'!A88)</f>
        <v>1.838416287252544</v>
      </c>
      <c r="BV205" s="88">
        <f>EXP(LN('Données projet'!B114)/'Données projet'!A114)</f>
        <v>1.2054868146447177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5" bestFit="1" customWidth="1"/>
    <col min="2" max="2" width="27.6640625" style="5" bestFit="1" customWidth="1"/>
    <col min="3" max="3" width="11.88671875" style="5" bestFit="1" customWidth="1"/>
    <col min="4" max="4" width="40" style="5" bestFit="1" customWidth="1"/>
    <col min="5" max="5" width="11.88671875" style="5" bestFit="1" customWidth="1"/>
    <col min="6" max="6" width="13.6640625" style="5" bestFit="1" customWidth="1"/>
    <col min="7" max="7" width="11.44140625" style="5" bestFit="1" customWidth="1"/>
    <col min="8" max="8" width="39" style="5" bestFit="1" customWidth="1"/>
    <col min="9" max="9" width="16.664062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3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6" t="s">
        <v>238</v>
      </c>
      <c r="P2" s="130">
        <v>0</v>
      </c>
    </row>
    <row r="3" spans="1:16" ht="15" thickBot="1" x14ac:dyDescent="0.35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7"/>
      <c r="P3" s="137">
        <v>0.2</v>
      </c>
    </row>
    <row r="4" spans="1:16" ht="15" thickBot="1" x14ac:dyDescent="0.35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3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6" t="s">
        <v>237</v>
      </c>
      <c r="P5" s="130">
        <v>0</v>
      </c>
    </row>
    <row r="6" spans="1:16" x14ac:dyDescent="0.3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8"/>
      <c r="P6" s="138">
        <v>0.05</v>
      </c>
    </row>
    <row r="7" spans="1:16" x14ac:dyDescent="0.3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8"/>
      <c r="P7" s="138">
        <v>0.1</v>
      </c>
    </row>
    <row r="8" spans="1:16" ht="15" thickBot="1" x14ac:dyDescent="0.35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7"/>
      <c r="P8" s="137">
        <v>0.15</v>
      </c>
    </row>
    <row r="9" spans="1:16" ht="15" thickBot="1" x14ac:dyDescent="0.35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3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6" t="s">
        <v>236</v>
      </c>
      <c r="P10" s="130">
        <v>0</v>
      </c>
    </row>
    <row r="11" spans="1:16" ht="15" thickBot="1" x14ac:dyDescent="0.35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7"/>
      <c r="P11" s="137">
        <v>0.1</v>
      </c>
    </row>
    <row r="12" spans="1:16" x14ac:dyDescent="0.3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3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3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3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3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3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3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3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3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3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3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3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3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3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3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3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3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3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3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3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3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3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3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3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3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3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3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3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3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3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3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3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3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3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3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3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3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3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3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3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3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3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3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3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3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3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3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3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3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3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3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3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3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3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3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3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3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3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3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3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3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3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3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3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3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3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3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3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3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3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3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3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3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3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3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3">
      <c r="A87" s="285" t="s">
        <v>321</v>
      </c>
      <c r="B87" s="286" t="s">
        <v>322</v>
      </c>
      <c r="C87" s="287">
        <v>0.41</v>
      </c>
      <c r="D87" s="287" t="s">
        <v>323</v>
      </c>
      <c r="E87" s="287">
        <v>1.56</v>
      </c>
      <c r="F87" s="288" t="s">
        <v>274</v>
      </c>
      <c r="G87" s="289">
        <v>0.43</v>
      </c>
      <c r="H87" s="287" t="s">
        <v>278</v>
      </c>
      <c r="I87" s="290">
        <v>0.25</v>
      </c>
      <c r="J87" s="100"/>
      <c r="K87" s="100"/>
      <c r="L87" s="100"/>
      <c r="M87" s="100"/>
      <c r="N87" s="100"/>
    </row>
    <row r="88" spans="1:14" x14ac:dyDescent="0.3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" thickBot="1" x14ac:dyDescent="0.35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3">
      <c r="A93" s="131" t="s">
        <v>208</v>
      </c>
    </row>
    <row r="94" spans="1:14" x14ac:dyDescent="0.3">
      <c r="A94" s="131" t="s">
        <v>209</v>
      </c>
    </row>
    <row r="95" spans="1:14" x14ac:dyDescent="0.3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zoomScale="90" zoomScaleNormal="90" workbookViewId="0">
      <selection activeCell="F19" sqref="F17:L19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5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307" t="s">
        <v>271</v>
      </c>
      <c r="B2" s="308"/>
      <c r="C2" s="308"/>
      <c r="D2" s="308"/>
      <c r="E2" s="308"/>
      <c r="F2" s="308"/>
      <c r="G2" s="308"/>
      <c r="H2" s="308"/>
      <c r="I2" s="308"/>
      <c r="J2" s="308"/>
      <c r="K2" s="308"/>
      <c r="L2" s="309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25"/>
      <c r="B3" s="25"/>
      <c r="C3" s="25"/>
      <c r="D3" s="25"/>
      <c r="E3" s="25"/>
      <c r="F3" s="25"/>
      <c r="G3" s="25"/>
      <c r="H3" s="25"/>
      <c r="I3" s="230"/>
      <c r="J3" s="230"/>
      <c r="K3" s="230"/>
      <c r="L3" s="230"/>
      <c r="M3" s="230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25"/>
      <c r="B4" s="25"/>
      <c r="C4" s="25"/>
      <c r="D4" s="25"/>
      <c r="E4" s="25"/>
      <c r="F4" s="25"/>
      <c r="G4" s="25"/>
      <c r="H4" s="25"/>
      <c r="I4" s="230"/>
      <c r="J4" s="230"/>
      <c r="K4" s="230"/>
      <c r="L4" s="230"/>
      <c r="M4" s="230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54" t="str">
        <f>IF('Données projet'!$B$9="","",'Données projet'!$B$9)</f>
        <v>Chêne pubescent</v>
      </c>
      <c r="B6" s="155">
        <f>'Données projet'!D9</f>
        <v>2.5481500000000001</v>
      </c>
      <c r="C6" s="156">
        <f ca="1">IF(OR('Données projet'!B9="",'Données projet'!C9="",'Données projet'!C9=0%),0,Calculateur!S3)</f>
        <v>476.25344680259701</v>
      </c>
      <c r="D6" s="156">
        <f>IF(OR('Données projet'!B9="",'Données projet'!C9="",'Données projet'!C9=0%),0,Calculateur!T3)</f>
        <v>254.25036207346591</v>
      </c>
      <c r="E6" s="156">
        <f ca="1">MIN(C6,D6)</f>
        <v>254.25036207346591</v>
      </c>
      <c r="F6" s="156">
        <f ca="1">E6*B6</f>
        <v>647.86806011750218</v>
      </c>
      <c r="G6" s="156">
        <f ca="1">F6*(100%-'Données projet'!$C$24)*(100%-'Données projet'!$C$25)*(100%-'Données projet'!$C$26)*(100%-'Données projet'!$C$27)</f>
        <v>583.08125410575201</v>
      </c>
      <c r="H6" s="157">
        <f>IF(OR('Données projet'!B9="",'Données projet'!C9="",'Données projet'!C9=0%),0,AVERAGE(Calculateur!$AC$3:$AC$33)*B6)</f>
        <v>0</v>
      </c>
      <c r="I6" s="158">
        <f>H6*(100%-'Données projet'!$C$24)*(100%-'Données projet'!$C$25)*(100%-'Données projet'!$C$26)*(100%-'Données projet'!$C$27)</f>
        <v>0</v>
      </c>
      <c r="J6" s="159">
        <f>IF(OR('Données projet'!B9="",'Données projet'!C9="",'Données projet'!C9=0%),0,SUM(Calculateur!$V$3:$V$33)*VLOOKUP('Données projet'!$B$9,Paramètres!$A$1:$I$89,9,0)*B6)</f>
        <v>5.0963000000000003</v>
      </c>
      <c r="K6" s="160">
        <f>J6*(100%-'Données projet'!$C$24)*(100%-'Données projet'!$C$25)*(100%-'Données projet'!$C$26)*(100%-'Données projet'!$C$27)</f>
        <v>4.5866700000000007</v>
      </c>
      <c r="L6" s="161">
        <f ca="1">G6+I6+K6</f>
        <v>587.66792410575204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62" t="str">
        <f>IF('Données projet'!$B$10="","",'Données projet'!$B$10)</f>
        <v>Chêne chevelu</v>
      </c>
      <c r="B7" s="163">
        <f>'Données projet'!D10</f>
        <v>0.78761000000000003</v>
      </c>
      <c r="C7" s="156">
        <f ca="1">IF(OR('Données projet'!B10="",'Données projet'!C10="",'Données projet'!C10=0%),0,Calculateur!AN3)</f>
        <v>493.70175665335978</v>
      </c>
      <c r="D7" s="156">
        <f>IF(OR('Données projet'!B10="",'Données projet'!C10="",'Données projet'!C10=0%),0,Calculateur!AO3)</f>
        <v>325.12357781685949</v>
      </c>
      <c r="E7" s="156">
        <f t="shared" ref="E7:E15" ca="1" si="0">MIN(C7,D7)</f>
        <v>325.12357781685949</v>
      </c>
      <c r="F7" s="156">
        <f t="shared" ref="F7:F15" ca="1" si="1">E7*B7</f>
        <v>256.07058112433674</v>
      </c>
      <c r="G7" s="156">
        <f ca="1">F7*(100%-'Données projet'!$C$24)*(100%-'Données projet'!$C$25)*(100%-'Données projet'!$C$26)*(100%-'Données projet'!$C$27)</f>
        <v>230.46352301190308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5.5536602564102564</v>
      </c>
      <c r="K7" s="160">
        <f>J7*(100%-'Données projet'!$C$24)*(100%-'Données projet'!$C$25)*(100%-'Données projet'!$C$26)*(100%-'Données projet'!$C$27)</f>
        <v>4.9982942307692309</v>
      </c>
      <c r="L7" s="161">
        <f t="shared" ref="L7:L15" ca="1" si="2">G7+I7+K7</f>
        <v>235.46181724267231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62" t="str">
        <f>IF('Données projet'!$B$11="","",'Données projet'!$B$11)</f>
        <v>Robinier faux-acacia</v>
      </c>
      <c r="B8" s="163">
        <f>'Données projet'!D11</f>
        <v>0.69494999999999996</v>
      </c>
      <c r="C8" s="156">
        <f ca="1">IF(OR('Données projet'!B11="",'Données projet'!C11="",'Données projet'!C11=0%),0,Calculateur!BI3)</f>
        <v>245.09257882574383</v>
      </c>
      <c r="D8" s="156">
        <f>IF(OR('Données projet'!B11="",'Données projet'!C11="",'Données projet'!C11=0%),0,Calculateur!BJ3)</f>
        <v>342.30266518164211</v>
      </c>
      <c r="E8" s="156">
        <f t="shared" ca="1" si="0"/>
        <v>245.09257882574383</v>
      </c>
      <c r="F8" s="156">
        <f t="shared" ca="1" si="1"/>
        <v>170.32708765495067</v>
      </c>
      <c r="G8" s="156">
        <f ca="1">F8*(100%-'Données projet'!$C$24)*(100%-'Données projet'!$C$25)*(100%-'Données projet'!$C$26)*(100%-'Données projet'!$C$27)</f>
        <v>153.2943788894556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9.3818249999999992</v>
      </c>
      <c r="K8" s="160">
        <f>J8*(100%-'Données projet'!$C$24)*(100%-'Données projet'!$C$25)*(100%-'Données projet'!$C$26)*(100%-'Données projet'!$C$27)</f>
        <v>8.4436424999999993</v>
      </c>
      <c r="L8" s="161">
        <f t="shared" ca="1" si="2"/>
        <v>161.73802138945561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62" t="str">
        <f>IF('Données projet'!$B$12="","",'Données projet'!$B$12)</f>
        <v>Chêne sessile</v>
      </c>
      <c r="B9" s="163">
        <f>'Données projet'!D12</f>
        <v>0.430869</v>
      </c>
      <c r="C9" s="156">
        <f ca="1">IF(OR('Données projet'!B12="",'Données projet'!C12="",'Données projet'!C12=0%),0,Calculateur!CD3)</f>
        <v>429.54141820799617</v>
      </c>
      <c r="D9" s="156">
        <f>IF(OR('Données projet'!B12="",'Données projet'!C12="",'Données projet'!C12=0%),0,Calculateur!CE3)</f>
        <v>231.36959598460686</v>
      </c>
      <c r="E9" s="156">
        <f t="shared" ca="1" si="0"/>
        <v>231.36959598460686</v>
      </c>
      <c r="F9" s="156">
        <f t="shared" ca="1" si="1"/>
        <v>99.689986452291578</v>
      </c>
      <c r="G9" s="156">
        <f ca="1">F9*(100%-'Données projet'!$C$24)*(100%-'Données projet'!$C$25)*(100%-'Données projet'!$C$26)*(100%-'Données projet'!$C$27)</f>
        <v>89.720987807062428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0.861738</v>
      </c>
      <c r="K9" s="160">
        <f>J9*(100%-'Données projet'!$C$24)*(100%-'Données projet'!$C$25)*(100%-'Données projet'!$C$26)*(100%-'Données projet'!$C$27)</f>
        <v>0.77556420000000004</v>
      </c>
      <c r="L9" s="161">
        <f t="shared" ca="1" si="2"/>
        <v>90.496552007062434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225"/>
      <c r="B16" s="232"/>
      <c r="C16" s="233"/>
      <c r="D16" s="25"/>
      <c r="E16" s="25"/>
      <c r="F16" s="174">
        <f t="shared" ref="F16:L16" ca="1" si="3">SUM(F6:F15)</f>
        <v>1173.9557153490812</v>
      </c>
      <c r="G16" s="175">
        <f t="shared" ca="1" si="3"/>
        <v>1056.560143814173</v>
      </c>
      <c r="H16" s="176">
        <f t="shared" si="3"/>
        <v>0</v>
      </c>
      <c r="I16" s="176">
        <f t="shared" si="3"/>
        <v>0</v>
      </c>
      <c r="J16" s="177">
        <f t="shared" si="3"/>
        <v>20.893523256410255</v>
      </c>
      <c r="K16" s="177">
        <f t="shared" si="3"/>
        <v>18.804170930769232</v>
      </c>
      <c r="L16" s="178">
        <f t="shared" ca="1" si="3"/>
        <v>1075.3643147449425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225"/>
      <c r="B17" s="232"/>
      <c r="C17" s="233"/>
      <c r="D17" s="230"/>
      <c r="E17" s="230"/>
      <c r="F17" s="319" t="s">
        <v>246</v>
      </c>
      <c r="G17" s="320"/>
      <c r="H17" s="320"/>
      <c r="I17" s="320"/>
      <c r="J17" s="320"/>
      <c r="K17" s="320"/>
      <c r="L17" s="320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225"/>
      <c r="B18" s="232"/>
      <c r="C18" s="233"/>
      <c r="D18" s="230"/>
      <c r="E18" s="230"/>
      <c r="F18" s="321"/>
      <c r="G18" s="321"/>
      <c r="H18" s="321"/>
      <c r="I18" s="321"/>
      <c r="J18" s="321"/>
      <c r="K18" s="321"/>
      <c r="L18" s="321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25"/>
      <c r="B19" s="25"/>
      <c r="C19" s="25"/>
      <c r="D19" s="25"/>
      <c r="E19" s="25"/>
      <c r="F19" s="25"/>
      <c r="G19" s="25"/>
      <c r="H19" s="25"/>
      <c r="I19" s="230"/>
      <c r="J19" s="230"/>
      <c r="K19" s="230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25"/>
      <c r="B20" s="25"/>
      <c r="C20" s="25"/>
      <c r="D20" s="25"/>
      <c r="E20" s="25"/>
      <c r="F20" s="25"/>
      <c r="G20" s="25"/>
      <c r="H20" s="25"/>
      <c r="I20" s="230"/>
      <c r="J20" s="230"/>
      <c r="K20" s="230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79" t="str">
        <f>A6</f>
        <v>Chêne pubescent</v>
      </c>
      <c r="B21" s="5"/>
      <c r="C21" s="5"/>
      <c r="D21" s="5"/>
      <c r="E21" s="5"/>
      <c r="F21" s="5"/>
      <c r="G21" s="5"/>
      <c r="H21" s="5"/>
      <c r="I21" s="230"/>
      <c r="J21" s="230"/>
      <c r="K21" s="230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230"/>
      <c r="J22" s="230"/>
      <c r="K22" s="230"/>
      <c r="L22" s="230"/>
      <c r="M22" s="230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230"/>
      <c r="J23" s="230"/>
      <c r="K23" s="230"/>
      <c r="L23" s="230"/>
      <c r="M23" s="230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230"/>
      <c r="J24" s="230"/>
      <c r="K24" s="230"/>
      <c r="L24" s="230"/>
      <c r="M24" s="230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230"/>
      <c r="J25" s="230"/>
      <c r="K25" s="230"/>
      <c r="L25" s="230"/>
      <c r="M25" s="230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230"/>
      <c r="J26" s="230"/>
      <c r="K26" s="230"/>
      <c r="L26" s="230"/>
      <c r="M26" s="230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230"/>
      <c r="J27" s="230"/>
      <c r="K27" s="230"/>
      <c r="L27" s="230"/>
      <c r="M27" s="230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230"/>
      <c r="J28" s="230"/>
      <c r="K28" s="230"/>
      <c r="L28" s="230"/>
      <c r="M28" s="230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230"/>
      <c r="J29" s="230"/>
      <c r="K29" s="230"/>
      <c r="L29" s="230"/>
      <c r="M29" s="230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230"/>
      <c r="J30" s="230"/>
      <c r="K30" s="230"/>
      <c r="L30" s="230"/>
      <c r="M30" s="230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230"/>
      <c r="J31" s="230"/>
      <c r="K31" s="230"/>
      <c r="L31" s="230"/>
      <c r="M31" s="230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230"/>
      <c r="J32" s="230"/>
      <c r="K32" s="230"/>
      <c r="L32" s="230"/>
      <c r="M32" s="230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230"/>
      <c r="J33" s="230"/>
      <c r="K33" s="230"/>
      <c r="L33" s="230"/>
      <c r="M33" s="230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230"/>
      <c r="J34" s="230"/>
      <c r="K34" s="230"/>
      <c r="L34" s="230"/>
      <c r="M34" s="230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230"/>
      <c r="J35" s="230"/>
      <c r="K35" s="230"/>
      <c r="L35" s="230"/>
      <c r="M35" s="230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230"/>
      <c r="J36" s="230"/>
      <c r="K36" s="230"/>
      <c r="L36" s="230"/>
      <c r="M36" s="230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230"/>
      <c r="J37" s="230"/>
      <c r="K37" s="230"/>
      <c r="L37" s="230"/>
      <c r="M37" s="230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230"/>
      <c r="J38" s="230"/>
      <c r="K38" s="230"/>
      <c r="L38" s="230"/>
      <c r="M38" s="230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79" t="str">
        <f>A7</f>
        <v>Chêne chevelu</v>
      </c>
      <c r="B39" s="5"/>
      <c r="C39" s="5"/>
      <c r="D39" s="5"/>
      <c r="E39" s="5"/>
      <c r="F39" s="5"/>
      <c r="G39" s="5"/>
      <c r="H39" s="5"/>
      <c r="I39" s="230"/>
      <c r="J39" s="230"/>
      <c r="K39" s="230"/>
      <c r="L39" s="230"/>
      <c r="M39" s="230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230"/>
      <c r="J40" s="230"/>
      <c r="K40" s="230"/>
      <c r="L40" s="230"/>
      <c r="M40" s="230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230"/>
      <c r="J41" s="230"/>
      <c r="K41" s="230"/>
      <c r="L41" s="230"/>
      <c r="M41" s="230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230"/>
      <c r="J42" s="230"/>
      <c r="K42" s="230"/>
      <c r="L42" s="230"/>
      <c r="M42" s="230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230"/>
      <c r="J43" s="230"/>
      <c r="K43" s="230"/>
      <c r="L43" s="230"/>
      <c r="M43" s="230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230"/>
      <c r="J44" s="230"/>
      <c r="K44" s="230"/>
      <c r="L44" s="230"/>
      <c r="M44" s="230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230"/>
      <c r="J45" s="230"/>
      <c r="K45" s="230"/>
      <c r="L45" s="230"/>
      <c r="M45" s="230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230"/>
      <c r="J46" s="230"/>
      <c r="K46" s="230"/>
      <c r="L46" s="230"/>
      <c r="M46" s="230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230"/>
      <c r="J47" s="230"/>
      <c r="K47" s="230"/>
      <c r="L47" s="230"/>
      <c r="M47" s="230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230"/>
      <c r="J48" s="230"/>
      <c r="K48" s="230"/>
      <c r="L48" s="230"/>
      <c r="M48" s="230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230"/>
      <c r="J49" s="230"/>
      <c r="K49" s="230"/>
      <c r="L49" s="230"/>
      <c r="M49" s="230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230"/>
      <c r="J50" s="230"/>
      <c r="K50" s="230"/>
      <c r="L50" s="230"/>
      <c r="M50" s="230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230"/>
      <c r="J51" s="230"/>
      <c r="K51" s="230"/>
      <c r="L51" s="230"/>
      <c r="M51" s="230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230"/>
      <c r="J52" s="230"/>
      <c r="K52" s="230"/>
      <c r="L52" s="230"/>
      <c r="M52" s="230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230"/>
      <c r="J53" s="230"/>
      <c r="K53" s="230"/>
      <c r="L53" s="230"/>
      <c r="M53" s="230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230"/>
      <c r="J54" s="230"/>
      <c r="K54" s="230"/>
      <c r="L54" s="230"/>
      <c r="M54" s="230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230"/>
      <c r="J55" s="230"/>
      <c r="K55" s="230"/>
      <c r="L55" s="230"/>
      <c r="M55" s="230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230"/>
      <c r="J56" s="230"/>
      <c r="K56" s="230"/>
      <c r="L56" s="230"/>
      <c r="M56" s="230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79" t="str">
        <f>A8</f>
        <v>Robinier faux-acacia</v>
      </c>
      <c r="B57" s="5"/>
      <c r="C57" s="5"/>
      <c r="D57" s="5"/>
      <c r="E57" s="5"/>
      <c r="F57" s="5"/>
      <c r="G57" s="5"/>
      <c r="H57" s="5"/>
      <c r="I57" s="230"/>
      <c r="J57" s="230"/>
      <c r="K57" s="230"/>
      <c r="L57" s="230"/>
      <c r="M57" s="230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230"/>
      <c r="J58" s="230"/>
      <c r="K58" s="230"/>
      <c r="L58" s="230"/>
      <c r="M58" s="230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230"/>
      <c r="J59" s="230"/>
      <c r="K59" s="230"/>
      <c r="L59" s="230"/>
      <c r="M59" s="230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230"/>
      <c r="J60" s="230"/>
      <c r="K60" s="230"/>
      <c r="L60" s="230"/>
      <c r="M60" s="230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230"/>
      <c r="J61" s="230"/>
      <c r="K61" s="230"/>
      <c r="L61" s="230"/>
      <c r="M61" s="230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230"/>
      <c r="J62" s="230"/>
      <c r="K62" s="230"/>
      <c r="L62" s="230"/>
      <c r="M62" s="230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230"/>
      <c r="J63" s="230"/>
      <c r="K63" s="230"/>
      <c r="L63" s="230"/>
      <c r="M63" s="230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230"/>
      <c r="J64" s="230"/>
      <c r="K64" s="230"/>
      <c r="L64" s="230"/>
      <c r="M64" s="230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230"/>
      <c r="J65" s="230"/>
      <c r="K65" s="230"/>
      <c r="L65" s="230"/>
      <c r="M65" s="230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230"/>
      <c r="J66" s="230"/>
      <c r="K66" s="230"/>
      <c r="L66" s="230"/>
      <c r="M66" s="230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230"/>
      <c r="J67" s="230"/>
      <c r="K67" s="230"/>
      <c r="L67" s="230"/>
      <c r="M67" s="230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230"/>
      <c r="J68" s="230"/>
      <c r="K68" s="230"/>
      <c r="L68" s="230"/>
      <c r="M68" s="230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230"/>
      <c r="J69" s="230"/>
      <c r="K69" s="230"/>
      <c r="L69" s="230"/>
      <c r="M69" s="230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230"/>
      <c r="J70" s="230"/>
      <c r="K70" s="230"/>
      <c r="L70" s="230"/>
      <c r="M70" s="230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230"/>
      <c r="J71" s="230"/>
      <c r="K71" s="230"/>
      <c r="L71" s="230"/>
      <c r="M71" s="230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230"/>
      <c r="J72" s="230"/>
      <c r="K72" s="230"/>
      <c r="L72" s="230"/>
      <c r="M72" s="230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230"/>
      <c r="J73" s="230"/>
      <c r="K73" s="230"/>
      <c r="L73" s="230"/>
      <c r="M73" s="230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230"/>
      <c r="J74" s="230"/>
      <c r="K74" s="230"/>
      <c r="L74" s="230"/>
      <c r="M74" s="230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230"/>
      <c r="J75" s="230"/>
      <c r="K75" s="230"/>
      <c r="L75" s="230"/>
      <c r="M75" s="230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79" t="str">
        <f>A9</f>
        <v>Chêne sessile</v>
      </c>
      <c r="B76" s="5"/>
      <c r="C76" s="5"/>
      <c r="D76" s="5"/>
      <c r="E76" s="5"/>
      <c r="F76" s="5"/>
      <c r="G76" s="5"/>
      <c r="H76" s="5"/>
      <c r="I76" s="230"/>
      <c r="J76" s="230"/>
      <c r="K76" s="230"/>
      <c r="L76" s="230"/>
      <c r="M76" s="230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230"/>
      <c r="J77" s="230"/>
      <c r="K77" s="230"/>
      <c r="L77" s="230"/>
      <c r="M77" s="230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230"/>
      <c r="J78" s="230"/>
      <c r="K78" s="230"/>
      <c r="L78" s="230"/>
      <c r="M78" s="230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230"/>
      <c r="J79" s="230"/>
      <c r="K79" s="230"/>
      <c r="L79" s="230"/>
      <c r="M79" s="230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230"/>
      <c r="J80" s="230"/>
      <c r="K80" s="230"/>
      <c r="L80" s="230"/>
      <c r="M80" s="230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230"/>
      <c r="J81" s="230"/>
      <c r="K81" s="230"/>
      <c r="L81" s="230"/>
      <c r="M81" s="230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230"/>
      <c r="J82" s="230"/>
      <c r="K82" s="230"/>
      <c r="L82" s="230"/>
      <c r="M82" s="230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230"/>
      <c r="J83" s="230"/>
      <c r="K83" s="230"/>
      <c r="L83" s="230"/>
      <c r="M83" s="230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230"/>
      <c r="J84" s="230"/>
      <c r="K84" s="230"/>
      <c r="L84" s="230"/>
      <c r="M84" s="230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230"/>
      <c r="J85" s="230"/>
      <c r="K85" s="230"/>
      <c r="L85" s="230"/>
      <c r="M85" s="230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230"/>
      <c r="J86" s="230"/>
      <c r="K86" s="230"/>
      <c r="L86" s="230"/>
      <c r="M86" s="230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230"/>
      <c r="J87" s="230"/>
      <c r="K87" s="230"/>
      <c r="L87" s="230"/>
      <c r="M87" s="230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230"/>
      <c r="J88" s="230"/>
      <c r="K88" s="230"/>
      <c r="L88" s="230"/>
      <c r="M88" s="230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230"/>
      <c r="J89" s="230"/>
      <c r="K89" s="230"/>
      <c r="L89" s="230"/>
      <c r="M89" s="230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230"/>
      <c r="J90" s="230"/>
      <c r="K90" s="230"/>
      <c r="L90" s="230"/>
      <c r="M90" s="230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230"/>
      <c r="J91" s="230"/>
      <c r="K91" s="230"/>
      <c r="L91" s="230"/>
      <c r="M91" s="230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230"/>
      <c r="J92" s="230"/>
      <c r="K92" s="230"/>
      <c r="L92" s="230"/>
      <c r="M92" s="230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230"/>
      <c r="J93" s="230"/>
      <c r="K93" s="230"/>
      <c r="L93" s="230"/>
      <c r="M93" s="230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79" t="str">
        <f>A10</f>
        <v/>
      </c>
      <c r="B94" s="5"/>
      <c r="C94" s="5"/>
      <c r="D94" s="5"/>
      <c r="E94" s="5"/>
      <c r="F94" s="5"/>
      <c r="G94" s="5"/>
      <c r="H94" s="5"/>
      <c r="I94" s="230"/>
      <c r="J94" s="230"/>
      <c r="K94" s="230"/>
      <c r="L94" s="230"/>
      <c r="M94" s="230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230"/>
      <c r="J95" s="230"/>
      <c r="K95" s="230"/>
      <c r="L95" s="230"/>
      <c r="M95" s="230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230"/>
      <c r="J96" s="230"/>
      <c r="K96" s="230"/>
      <c r="L96" s="230"/>
      <c r="M96" s="230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230"/>
      <c r="J97" s="230"/>
      <c r="K97" s="230"/>
      <c r="L97" s="230"/>
      <c r="M97" s="230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230"/>
      <c r="J98" s="230"/>
      <c r="K98" s="230"/>
      <c r="L98" s="230"/>
      <c r="M98" s="230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230"/>
      <c r="J99" s="230"/>
      <c r="K99" s="230"/>
      <c r="L99" s="230"/>
      <c r="M99" s="230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230"/>
      <c r="J100" s="230"/>
      <c r="K100" s="230"/>
      <c r="L100" s="230"/>
      <c r="M100" s="230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230"/>
      <c r="J101" s="230"/>
      <c r="K101" s="230"/>
      <c r="L101" s="230"/>
      <c r="M101" s="230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230"/>
      <c r="J102" s="230"/>
      <c r="K102" s="230"/>
      <c r="L102" s="230"/>
      <c r="M102" s="230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230"/>
      <c r="J103" s="230"/>
      <c r="K103" s="230"/>
      <c r="L103" s="230"/>
      <c r="M103" s="230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230"/>
      <c r="J104" s="230"/>
      <c r="K104" s="230"/>
      <c r="L104" s="230"/>
      <c r="M104" s="230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230"/>
      <c r="J105" s="230"/>
      <c r="K105" s="230"/>
      <c r="L105" s="230"/>
      <c r="M105" s="230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230"/>
      <c r="J106" s="230"/>
      <c r="K106" s="230"/>
      <c r="L106" s="230"/>
      <c r="M106" s="230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230"/>
      <c r="J107" s="230"/>
      <c r="K107" s="230"/>
      <c r="L107" s="230"/>
      <c r="M107" s="230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230"/>
      <c r="J108" s="230"/>
      <c r="K108" s="230"/>
      <c r="L108" s="230"/>
      <c r="M108" s="230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230"/>
      <c r="J109" s="230"/>
      <c r="K109" s="230"/>
      <c r="L109" s="230"/>
      <c r="M109" s="230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230"/>
      <c r="J110" s="230"/>
      <c r="K110" s="230"/>
      <c r="L110" s="230"/>
      <c r="M110" s="230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230"/>
      <c r="J111" s="230"/>
      <c r="K111" s="230"/>
      <c r="L111" s="230"/>
      <c r="M111" s="230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0"/>
      <c r="J112" s="230"/>
      <c r="K112" s="230"/>
      <c r="L112" s="230"/>
      <c r="M112" s="230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230"/>
      <c r="J113" s="230"/>
      <c r="K113" s="230"/>
      <c r="L113" s="230"/>
      <c r="M113" s="230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230"/>
      <c r="J114" s="230"/>
      <c r="K114" s="230"/>
      <c r="L114" s="230"/>
      <c r="M114" s="230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230"/>
      <c r="J115" s="230"/>
      <c r="K115" s="230"/>
      <c r="L115" s="230"/>
      <c r="M115" s="230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230"/>
      <c r="J116" s="230"/>
      <c r="K116" s="230"/>
      <c r="L116" s="230"/>
      <c r="M116" s="230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230"/>
      <c r="J117" s="230"/>
      <c r="K117" s="230"/>
      <c r="L117" s="230"/>
      <c r="M117" s="230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230"/>
      <c r="J118" s="230"/>
      <c r="K118" s="230"/>
      <c r="L118" s="230"/>
      <c r="M118" s="230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230"/>
      <c r="J119" s="230"/>
      <c r="K119" s="230"/>
      <c r="L119" s="230"/>
      <c r="M119" s="230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230"/>
      <c r="J120" s="230"/>
      <c r="K120" s="230"/>
      <c r="L120" s="230"/>
      <c r="M120" s="230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230"/>
      <c r="J121" s="230"/>
      <c r="K121" s="230"/>
      <c r="L121" s="230"/>
      <c r="M121" s="230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230"/>
      <c r="J122" s="230"/>
      <c r="K122" s="230"/>
      <c r="L122" s="230"/>
      <c r="M122" s="230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230"/>
      <c r="J123" s="230"/>
      <c r="K123" s="230"/>
      <c r="L123" s="230"/>
      <c r="M123" s="230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230"/>
      <c r="J124" s="230"/>
      <c r="K124" s="230"/>
      <c r="L124" s="230"/>
      <c r="M124" s="230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230"/>
      <c r="J125" s="230"/>
      <c r="K125" s="230"/>
      <c r="L125" s="230"/>
      <c r="M125" s="230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230"/>
      <c r="J126" s="230"/>
      <c r="K126" s="230"/>
      <c r="L126" s="230"/>
      <c r="M126" s="230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230"/>
      <c r="J127" s="230"/>
      <c r="K127" s="230"/>
      <c r="L127" s="230"/>
      <c r="M127" s="230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230"/>
      <c r="J128" s="230"/>
      <c r="K128" s="230"/>
      <c r="L128" s="230"/>
      <c r="M128" s="230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230"/>
      <c r="J129" s="230"/>
      <c r="K129" s="230"/>
      <c r="L129" s="230"/>
      <c r="M129" s="230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0"/>
      <c r="J130" s="230"/>
      <c r="K130" s="230"/>
      <c r="L130" s="230"/>
      <c r="M130" s="230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230"/>
      <c r="J131" s="230"/>
      <c r="K131" s="230"/>
      <c r="L131" s="230"/>
      <c r="M131" s="230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230"/>
      <c r="J132" s="230"/>
      <c r="K132" s="230"/>
      <c r="L132" s="230"/>
      <c r="M132" s="230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230"/>
      <c r="J133" s="230"/>
      <c r="K133" s="230"/>
      <c r="L133" s="230"/>
      <c r="M133" s="230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230"/>
      <c r="J134" s="230"/>
      <c r="K134" s="230"/>
      <c r="L134" s="230"/>
      <c r="M134" s="230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230"/>
      <c r="J135" s="230"/>
      <c r="K135" s="230"/>
      <c r="L135" s="230"/>
      <c r="M135" s="230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230"/>
      <c r="J136" s="230"/>
      <c r="K136" s="230"/>
      <c r="L136" s="230"/>
      <c r="M136" s="230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230"/>
      <c r="J137" s="230"/>
      <c r="K137" s="230"/>
      <c r="L137" s="230"/>
      <c r="M137" s="230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230"/>
      <c r="J138" s="230"/>
      <c r="K138" s="230"/>
      <c r="L138" s="230"/>
      <c r="M138" s="230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230"/>
      <c r="J139" s="230"/>
      <c r="K139" s="230"/>
      <c r="L139" s="230"/>
      <c r="M139" s="230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230"/>
      <c r="J140" s="230"/>
      <c r="K140" s="230"/>
      <c r="L140" s="230"/>
      <c r="M140" s="230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230"/>
      <c r="J141" s="230"/>
      <c r="K141" s="230"/>
      <c r="L141" s="230"/>
      <c r="M141" s="230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230"/>
      <c r="J142" s="230"/>
      <c r="K142" s="230"/>
      <c r="L142" s="230"/>
      <c r="M142" s="230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230"/>
      <c r="J143" s="230"/>
      <c r="K143" s="230"/>
      <c r="L143" s="230"/>
      <c r="M143" s="230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230"/>
      <c r="J144" s="230"/>
      <c r="K144" s="230"/>
      <c r="L144" s="230"/>
      <c r="M144" s="230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230"/>
      <c r="J145" s="230"/>
      <c r="K145" s="230"/>
      <c r="L145" s="230"/>
      <c r="M145" s="230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230"/>
      <c r="J146" s="230"/>
      <c r="K146" s="230"/>
      <c r="L146" s="230"/>
      <c r="M146" s="230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230"/>
      <c r="J147" s="230"/>
      <c r="K147" s="230"/>
      <c r="L147" s="230"/>
      <c r="M147" s="230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0"/>
      <c r="J148" s="230"/>
      <c r="K148" s="230"/>
      <c r="L148" s="230"/>
      <c r="M148" s="230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230"/>
      <c r="J149" s="230"/>
      <c r="K149" s="230"/>
      <c r="L149" s="230"/>
      <c r="M149" s="230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230"/>
      <c r="J150" s="230"/>
      <c r="K150" s="230"/>
      <c r="L150" s="230"/>
      <c r="M150" s="230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230"/>
      <c r="J151" s="230"/>
      <c r="K151" s="230"/>
      <c r="L151" s="230"/>
      <c r="M151" s="230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230"/>
      <c r="J152" s="230"/>
      <c r="K152" s="230"/>
      <c r="L152" s="230"/>
      <c r="M152" s="230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230"/>
      <c r="J153" s="230"/>
      <c r="K153" s="230"/>
      <c r="L153" s="230"/>
      <c r="M153" s="230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230"/>
      <c r="J154" s="230"/>
      <c r="K154" s="230"/>
      <c r="L154" s="230"/>
      <c r="M154" s="230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230"/>
      <c r="J155" s="230"/>
      <c r="K155" s="230"/>
      <c r="L155" s="230"/>
      <c r="M155" s="230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230"/>
      <c r="J156" s="230"/>
      <c r="K156" s="230"/>
      <c r="L156" s="230"/>
      <c r="M156" s="230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230"/>
      <c r="J157" s="230"/>
      <c r="K157" s="230"/>
      <c r="L157" s="230"/>
      <c r="M157" s="230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230"/>
      <c r="J158" s="230"/>
      <c r="K158" s="230"/>
      <c r="L158" s="230"/>
      <c r="M158" s="230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230"/>
      <c r="J159" s="230"/>
      <c r="K159" s="230"/>
      <c r="L159" s="230"/>
      <c r="M159" s="230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230"/>
      <c r="J160" s="230"/>
      <c r="K160" s="230"/>
      <c r="L160" s="230"/>
      <c r="M160" s="230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230"/>
      <c r="J161" s="230"/>
      <c r="K161" s="230"/>
      <c r="L161" s="230"/>
      <c r="M161" s="230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230"/>
      <c r="J162" s="230"/>
      <c r="K162" s="230"/>
      <c r="L162" s="230"/>
      <c r="M162" s="230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230"/>
      <c r="J163" s="230"/>
      <c r="K163" s="230"/>
      <c r="L163" s="230"/>
      <c r="M163" s="230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230"/>
      <c r="J164" s="230"/>
      <c r="K164" s="230"/>
      <c r="L164" s="230"/>
      <c r="M164" s="230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230"/>
      <c r="J165" s="230"/>
      <c r="K165" s="230"/>
      <c r="L165" s="230"/>
      <c r="M165" s="230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0"/>
      <c r="J166" s="230"/>
      <c r="K166" s="230"/>
      <c r="L166" s="230"/>
      <c r="M166" s="230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230"/>
      <c r="J167" s="230"/>
      <c r="K167" s="230"/>
      <c r="L167" s="230"/>
      <c r="M167" s="230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230"/>
      <c r="J168" s="230"/>
      <c r="K168" s="230"/>
      <c r="L168" s="230"/>
      <c r="M168" s="230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230"/>
      <c r="J169" s="230"/>
      <c r="K169" s="230"/>
      <c r="L169" s="230"/>
      <c r="M169" s="230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230"/>
      <c r="J170" s="230"/>
      <c r="K170" s="230"/>
      <c r="L170" s="230"/>
      <c r="M170" s="230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230"/>
      <c r="J171" s="230"/>
      <c r="K171" s="230"/>
      <c r="L171" s="230"/>
      <c r="M171" s="230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230"/>
      <c r="J172" s="230"/>
      <c r="K172" s="230"/>
      <c r="L172" s="230"/>
      <c r="M172" s="230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230"/>
      <c r="J173" s="230"/>
      <c r="K173" s="230"/>
      <c r="L173" s="230"/>
      <c r="M173" s="230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230"/>
      <c r="J174" s="230"/>
      <c r="K174" s="230"/>
      <c r="L174" s="230"/>
      <c r="M174" s="230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230"/>
      <c r="J175" s="230"/>
      <c r="K175" s="230"/>
      <c r="L175" s="230"/>
      <c r="M175" s="230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230"/>
      <c r="J176" s="230"/>
      <c r="K176" s="230"/>
      <c r="L176" s="230"/>
      <c r="M176" s="230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230"/>
      <c r="J177" s="230"/>
      <c r="K177" s="230"/>
      <c r="L177" s="230"/>
      <c r="M177" s="230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230"/>
      <c r="J178" s="230"/>
      <c r="K178" s="230"/>
      <c r="L178" s="230"/>
      <c r="M178" s="230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230"/>
      <c r="J179" s="230"/>
      <c r="K179" s="230"/>
      <c r="L179" s="230"/>
      <c r="M179" s="230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230"/>
      <c r="J180" s="230"/>
      <c r="K180" s="230"/>
      <c r="L180" s="230"/>
      <c r="M180" s="230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230"/>
      <c r="J181" s="230"/>
      <c r="K181" s="230"/>
      <c r="L181" s="230"/>
      <c r="M181" s="230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230"/>
      <c r="J182" s="230"/>
      <c r="K182" s="230"/>
      <c r="L182" s="230"/>
      <c r="M182" s="230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230"/>
      <c r="J183" s="230"/>
      <c r="K183" s="230"/>
      <c r="L183" s="230"/>
      <c r="M183" s="230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0"/>
      <c r="J184" s="230"/>
      <c r="K184" s="230"/>
      <c r="L184" s="230"/>
      <c r="M184" s="230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230"/>
      <c r="J185" s="230"/>
      <c r="K185" s="230"/>
      <c r="L185" s="230"/>
      <c r="M185" s="230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230"/>
      <c r="J186" s="230"/>
      <c r="K186" s="230"/>
      <c r="L186" s="230"/>
      <c r="M186" s="230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230"/>
      <c r="J187" s="230"/>
      <c r="K187" s="230"/>
      <c r="L187" s="230"/>
      <c r="M187" s="230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230"/>
      <c r="J188" s="230"/>
      <c r="K188" s="230"/>
      <c r="L188" s="230"/>
      <c r="M188" s="230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230"/>
      <c r="J189" s="230"/>
      <c r="K189" s="230"/>
      <c r="L189" s="230"/>
      <c r="M189" s="230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230"/>
      <c r="J190" s="230"/>
      <c r="K190" s="230"/>
      <c r="L190" s="230"/>
      <c r="M190" s="230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230"/>
      <c r="J191" s="230"/>
      <c r="K191" s="230"/>
      <c r="L191" s="230"/>
      <c r="M191" s="230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230"/>
      <c r="J192" s="230"/>
      <c r="K192" s="230"/>
      <c r="L192" s="230"/>
      <c r="M192" s="230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230"/>
      <c r="J193" s="230"/>
      <c r="K193" s="230"/>
      <c r="L193" s="230"/>
      <c r="M193" s="230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230"/>
      <c r="J194" s="230"/>
      <c r="K194" s="230"/>
      <c r="L194" s="230"/>
      <c r="M194" s="230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230"/>
      <c r="J195" s="230"/>
      <c r="K195" s="230"/>
      <c r="L195" s="230"/>
      <c r="M195" s="230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230"/>
      <c r="J196" s="230"/>
      <c r="K196" s="230"/>
      <c r="L196" s="230"/>
      <c r="M196" s="230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230"/>
      <c r="J197" s="230"/>
      <c r="K197" s="230"/>
      <c r="L197" s="230"/>
      <c r="M197" s="230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230"/>
      <c r="J198" s="230"/>
      <c r="K198" s="230"/>
      <c r="L198" s="230"/>
      <c r="M198" s="230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230"/>
      <c r="J199" s="230"/>
      <c r="K199" s="230"/>
      <c r="L199" s="230"/>
      <c r="M199" s="230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230"/>
      <c r="J200" s="230"/>
      <c r="K200" s="230"/>
      <c r="L200" s="230"/>
      <c r="M200" s="230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230"/>
      <c r="J201" s="230"/>
      <c r="K201" s="230"/>
      <c r="L201" s="230"/>
      <c r="M201" s="230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230"/>
      <c r="J202" s="230"/>
      <c r="K202" s="230"/>
      <c r="L202" s="230"/>
      <c r="M202" s="230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0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zoomScale="55" zoomScaleNormal="55" workbookViewId="0">
      <selection activeCell="I21" sqref="I21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3" customWidth="1"/>
    <col min="7" max="7" width="17.5546875" style="3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6.4" thickBot="1" x14ac:dyDescent="0.55000000000000004">
      <c r="A2" s="5"/>
      <c r="B2" s="307" t="s">
        <v>272</v>
      </c>
      <c r="C2" s="308"/>
      <c r="D2" s="308"/>
      <c r="E2" s="308"/>
      <c r="F2" s="308"/>
      <c r="G2" s="308"/>
      <c r="H2" s="308"/>
      <c r="I2" s="308"/>
      <c r="J2" s="308"/>
      <c r="K2" s="308"/>
      <c r="L2" s="308"/>
      <c r="M2" s="308"/>
      <c r="N2" s="308"/>
      <c r="O2" s="308"/>
      <c r="P2" s="309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3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3">
      <c r="A4" s="99"/>
      <c r="B4" s="99"/>
      <c r="C4" s="99"/>
      <c r="D4" s="99"/>
      <c r="E4" s="99"/>
      <c r="G4" s="180"/>
      <c r="H4" s="325" t="s">
        <v>315</v>
      </c>
      <c r="I4" s="325"/>
      <c r="K4" s="322" t="s">
        <v>253</v>
      </c>
      <c r="L4" s="323"/>
      <c r="M4" s="267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3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" thickBot="1" x14ac:dyDescent="0.35">
      <c r="A6" s="99"/>
      <c r="B6" s="99"/>
      <c r="C6" s="99"/>
      <c r="D6" s="99"/>
      <c r="E6" s="99"/>
      <c r="F6" s="228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55000000000000004">
      <c r="A7" s="274"/>
      <c r="B7" s="275"/>
      <c r="C7" s="275"/>
      <c r="D7" s="275"/>
      <c r="E7" s="276"/>
      <c r="F7" s="276" t="s">
        <v>192</v>
      </c>
      <c r="G7" s="277"/>
      <c r="H7" s="275"/>
      <c r="I7" s="275"/>
      <c r="J7" s="278"/>
      <c r="K7" s="272"/>
      <c r="L7" s="273"/>
      <c r="M7" s="273"/>
      <c r="N7" s="279" t="s">
        <v>191</v>
      </c>
      <c r="O7" s="279"/>
      <c r="P7" s="280"/>
      <c r="Q7" s="281"/>
      <c r="R7" s="333" t="s">
        <v>310</v>
      </c>
      <c r="S7" s="334"/>
      <c r="T7" s="334"/>
      <c r="U7" s="334"/>
      <c r="V7" s="335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3">
      <c r="A8" s="25"/>
      <c r="C8" s="25"/>
      <c r="D8" s="25"/>
      <c r="E8" s="25"/>
      <c r="F8" s="220"/>
      <c r="G8" s="220"/>
      <c r="H8" s="5"/>
      <c r="I8" s="5"/>
      <c r="J8" s="213"/>
      <c r="K8" s="224"/>
      <c r="L8" s="25"/>
      <c r="M8" s="25"/>
      <c r="N8" s="25"/>
      <c r="O8" s="25"/>
      <c r="P8" s="25"/>
      <c r="Q8" s="264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3">
      <c r="A9" s="259" t="s">
        <v>311</v>
      </c>
      <c r="C9" s="25"/>
      <c r="D9" s="25"/>
      <c r="E9" s="25"/>
      <c r="F9" s="260"/>
      <c r="G9" s="259" t="s">
        <v>314</v>
      </c>
      <c r="J9" s="213"/>
      <c r="K9" s="224"/>
      <c r="O9" s="25"/>
      <c r="P9" s="25"/>
      <c r="Q9" s="264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3">
      <c r="A10" s="259" t="s">
        <v>317</v>
      </c>
      <c r="C10" s="25"/>
      <c r="D10" s="25"/>
      <c r="E10" s="25"/>
      <c r="F10" s="260"/>
      <c r="G10" s="259" t="s">
        <v>316</v>
      </c>
      <c r="J10" s="213"/>
      <c r="K10" s="224"/>
      <c r="O10" s="25"/>
      <c r="P10" s="25"/>
      <c r="Q10" s="264"/>
      <c r="R10" s="25"/>
      <c r="S10" s="185" t="str">
        <f>B14</f>
        <v>Chêne pubescent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654.97185690137303</v>
      </c>
      <c r="U10" s="190">
        <f>'Données projet'!D9</f>
        <v>2.5481500000000001</v>
      </c>
      <c r="V10" s="189">
        <f>U10*T10</f>
        <v>1668.9665371632339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3">
      <c r="A11" s="259" t="s">
        <v>312</v>
      </c>
      <c r="B11" s="25"/>
      <c r="C11" s="25"/>
      <c r="D11" s="25"/>
      <c r="E11" s="25"/>
      <c r="F11" s="260"/>
      <c r="G11" s="259" t="s">
        <v>313</v>
      </c>
      <c r="J11" s="213"/>
      <c r="K11" s="224"/>
      <c r="M11" s="5"/>
      <c r="N11" s="5"/>
      <c r="O11" s="25"/>
      <c r="P11" s="25"/>
      <c r="Q11" s="264"/>
      <c r="R11" s="25"/>
      <c r="S11" s="185" t="str">
        <f>B45</f>
        <v>Chêne chevelu</v>
      </c>
      <c r="T11" s="271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674.77203395904507</v>
      </c>
      <c r="U11" s="190">
        <f>'Données projet'!D10</f>
        <v>0.78761000000000003</v>
      </c>
      <c r="V11" s="189">
        <f t="shared" ref="V11" si="0">U11*T11</f>
        <v>531.45720166648357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3">
      <c r="B12" s="25"/>
      <c r="C12" s="25"/>
      <c r="D12" s="25"/>
      <c r="E12" s="25"/>
      <c r="F12" s="260"/>
      <c r="G12" s="1"/>
      <c r="J12" s="213"/>
      <c r="K12" s="224"/>
      <c r="L12" s="216"/>
      <c r="M12" s="25"/>
      <c r="N12" s="25"/>
      <c r="O12" s="25"/>
      <c r="P12" s="25"/>
      <c r="Q12" s="264"/>
      <c r="R12" s="25"/>
      <c r="S12" s="185" t="str">
        <f>B76</f>
        <v>Robinier faux-acacia</v>
      </c>
      <c r="T12" s="271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934.725884121121</v>
      </c>
      <c r="U12" s="190">
        <f>'Données projet'!D11</f>
        <v>0.69494999999999996</v>
      </c>
      <c r="V12" s="189">
        <f t="shared" ref="V12:V19" si="1">U12*T12</f>
        <v>649.58775316997298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3">
      <c r="B13" s="25"/>
      <c r="C13" s="25"/>
      <c r="D13" s="25"/>
      <c r="E13" s="25"/>
      <c r="F13" s="260"/>
      <c r="J13" s="25"/>
      <c r="K13" s="224"/>
      <c r="L13" s="184" t="s">
        <v>257</v>
      </c>
      <c r="M13" s="25"/>
      <c r="N13" s="25"/>
      <c r="O13" s="25"/>
      <c r="P13" s="25"/>
      <c r="Q13" s="264"/>
      <c r="R13" s="25"/>
      <c r="S13" s="185" t="str">
        <f>B107</f>
        <v>Chêne sessile</v>
      </c>
      <c r="T13" s="271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30.886699020703411</v>
      </c>
      <c r="U13" s="190">
        <f>'Données projet'!D12</f>
        <v>0.430869</v>
      </c>
      <c r="V13" s="189">
        <f t="shared" si="1"/>
        <v>13.308121120351458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3">
      <c r="A14" s="49" t="s">
        <v>165</v>
      </c>
      <c r="B14" s="186" t="str">
        <f>IF('Données projet'!$B$9="","",'Données projet'!$B$9)</f>
        <v>Chêne pubescent</v>
      </c>
      <c r="C14" s="5"/>
      <c r="D14" s="5"/>
      <c r="E14" s="5"/>
      <c r="F14" s="260"/>
      <c r="G14" s="220"/>
      <c r="H14" s="185" t="s">
        <v>178</v>
      </c>
      <c r="I14" s="185" t="s">
        <v>290</v>
      </c>
      <c r="J14" s="214"/>
      <c r="K14" s="183"/>
      <c r="L14" s="216"/>
      <c r="M14" s="25"/>
      <c r="N14" s="25"/>
      <c r="O14" s="5"/>
      <c r="P14" s="5"/>
      <c r="Q14" s="265"/>
      <c r="R14" s="5"/>
      <c r="S14" s="185" t="str">
        <f>B138</f>
        <v/>
      </c>
      <c r="T14" s="271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3">
      <c r="A15" s="5"/>
      <c r="B15" s="5"/>
      <c r="C15" s="5"/>
      <c r="D15" s="5"/>
      <c r="E15" s="5"/>
      <c r="F15" s="260"/>
      <c r="G15" s="326" t="s">
        <v>318</v>
      </c>
      <c r="H15" s="203">
        <v>2024</v>
      </c>
      <c r="I15" s="204">
        <v>0</v>
      </c>
      <c r="J15" s="215"/>
      <c r="K15" s="224"/>
      <c r="L15" s="216"/>
      <c r="M15" s="25"/>
      <c r="N15" s="25"/>
      <c r="O15" s="25"/>
      <c r="P15" s="25"/>
      <c r="Q15" s="264"/>
      <c r="R15" s="25"/>
      <c r="S15" s="185" t="str">
        <f>B169</f>
        <v/>
      </c>
      <c r="T15" s="271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3">
      <c r="A16" s="256" t="s">
        <v>180</v>
      </c>
      <c r="B16" s="51" t="s">
        <v>256</v>
      </c>
      <c r="C16" s="51" t="s">
        <v>255</v>
      </c>
      <c r="D16" s="256" t="s">
        <v>252</v>
      </c>
      <c r="E16" s="256" t="s">
        <v>320</v>
      </c>
      <c r="F16" s="260"/>
      <c r="G16" s="326"/>
      <c r="H16" s="203"/>
      <c r="I16" s="204"/>
      <c r="J16" s="215"/>
      <c r="K16" s="224"/>
      <c r="L16" s="322" t="s">
        <v>254</v>
      </c>
      <c r="M16" s="323"/>
      <c r="N16" s="2"/>
      <c r="O16" s="25"/>
      <c r="P16" s="25"/>
      <c r="Q16" s="264"/>
      <c r="R16" s="25"/>
      <c r="S16" s="185" t="str">
        <f>B200</f>
        <v/>
      </c>
      <c r="T16" s="271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3">
      <c r="A17" s="209">
        <v>0</v>
      </c>
      <c r="B17" s="212" t="s">
        <v>132</v>
      </c>
      <c r="C17" s="211" t="s">
        <v>132</v>
      </c>
      <c r="D17" s="210" t="s">
        <v>132</v>
      </c>
      <c r="E17" s="206"/>
      <c r="F17" s="260"/>
      <c r="G17" s="326"/>
      <c r="J17" s="215"/>
      <c r="K17" s="224"/>
      <c r="L17" s="293" t="s">
        <v>289</v>
      </c>
      <c r="M17" s="295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4"/>
      <c r="R17" s="25"/>
      <c r="S17" s="185" t="str">
        <f>B231</f>
        <v/>
      </c>
      <c r="T17" s="271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3">
      <c r="A18" s="209">
        <v>1</v>
      </c>
      <c r="B18" s="212" t="s">
        <v>132</v>
      </c>
      <c r="C18" s="211" t="s">
        <v>132</v>
      </c>
      <c r="D18" s="210" t="s">
        <v>132</v>
      </c>
      <c r="E18" s="206"/>
      <c r="F18" s="260"/>
      <c r="G18" s="326"/>
      <c r="J18" s="215"/>
      <c r="K18" s="224"/>
      <c r="L18" s="293" t="s">
        <v>255</v>
      </c>
      <c r="M18" s="295"/>
      <c r="N18" s="205"/>
      <c r="O18" s="25"/>
      <c r="P18" s="25"/>
      <c r="Q18" s="264"/>
      <c r="R18" s="25"/>
      <c r="S18" s="185" t="str">
        <f>B262</f>
        <v/>
      </c>
      <c r="T18" s="271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3">
      <c r="A19" s="209">
        <v>2</v>
      </c>
      <c r="B19" s="212" t="s">
        <v>132</v>
      </c>
      <c r="C19" s="211" t="s">
        <v>132</v>
      </c>
      <c r="D19" s="210" t="s">
        <v>132</v>
      </c>
      <c r="E19" s="206"/>
      <c r="F19" s="260"/>
      <c r="G19" s="326"/>
      <c r="H19" s="231" t="s">
        <v>178</v>
      </c>
      <c r="I19" s="231" t="s">
        <v>287</v>
      </c>
      <c r="J19" s="259"/>
      <c r="K19" s="183"/>
      <c r="L19" s="322" t="s">
        <v>288</v>
      </c>
      <c r="M19" s="323"/>
      <c r="N19" s="191">
        <f>N17*N18</f>
        <v>0</v>
      </c>
      <c r="O19" s="25"/>
      <c r="P19" s="5"/>
      <c r="Q19" s="265"/>
      <c r="R19" s="5"/>
      <c r="S19" s="185" t="str">
        <f>B293</f>
        <v/>
      </c>
      <c r="T19" s="271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3">
      <c r="A20" s="209">
        <v>3</v>
      </c>
      <c r="B20" s="212" t="s">
        <v>132</v>
      </c>
      <c r="C20" s="211" t="s">
        <v>132</v>
      </c>
      <c r="D20" s="210" t="s">
        <v>132</v>
      </c>
      <c r="E20" s="206"/>
      <c r="F20" s="260"/>
      <c r="G20" s="326"/>
      <c r="H20" s="203">
        <v>2024</v>
      </c>
      <c r="I20" s="204">
        <v>8500</v>
      </c>
      <c r="J20" s="5"/>
      <c r="K20" s="183"/>
      <c r="O20" s="25"/>
      <c r="P20" s="5"/>
      <c r="Q20" s="265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3">
      <c r="A21" s="209">
        <v>4</v>
      </c>
      <c r="B21" s="212" t="s">
        <v>132</v>
      </c>
      <c r="C21" s="211" t="s">
        <v>132</v>
      </c>
      <c r="D21" s="210" t="s">
        <v>132</v>
      </c>
      <c r="E21" s="206"/>
      <c r="F21" s="260"/>
      <c r="H21" s="203"/>
      <c r="I21" s="204"/>
      <c r="K21" s="183"/>
      <c r="O21" s="25"/>
      <c r="P21" s="5"/>
      <c r="Q21" s="265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3">
      <c r="A22" s="209">
        <v>5</v>
      </c>
      <c r="B22" s="212" t="s">
        <v>132</v>
      </c>
      <c r="C22" s="211" t="s">
        <v>132</v>
      </c>
      <c r="D22" s="210" t="s">
        <v>132</v>
      </c>
      <c r="E22" s="206"/>
      <c r="F22" s="260"/>
      <c r="H22" s="203"/>
      <c r="I22" s="204"/>
      <c r="K22" s="183"/>
      <c r="O22" s="25"/>
      <c r="P22" s="5"/>
      <c r="Q22" s="265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3">
      <c r="A23" s="192">
        <f>'Données projet'!A36</f>
        <v>20</v>
      </c>
      <c r="B23" s="193">
        <f>'Données projet'!D36</f>
        <v>0</v>
      </c>
      <c r="C23" s="206">
        <v>0</v>
      </c>
      <c r="D23" s="194">
        <f>B23*C23</f>
        <v>0</v>
      </c>
      <c r="E23" s="206"/>
      <c r="F23" s="260"/>
      <c r="H23" s="203"/>
      <c r="I23" s="204"/>
      <c r="K23" s="224"/>
      <c r="L23" s="324" t="s">
        <v>260</v>
      </c>
      <c r="M23" s="324"/>
      <c r="N23" s="324"/>
      <c r="O23" s="25"/>
      <c r="P23" s="25"/>
      <c r="Q23" s="264"/>
      <c r="R23" s="25"/>
      <c r="S23" s="185" t="s">
        <v>264</v>
      </c>
      <c r="T23" s="338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2863.319613120042</v>
      </c>
      <c r="U23" s="338"/>
      <c r="V23" s="338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3">
      <c r="A24" s="192">
        <f>'Données projet'!A37</f>
        <v>25</v>
      </c>
      <c r="B24" s="193">
        <f>'Données projet'!D37</f>
        <v>8</v>
      </c>
      <c r="C24" s="206">
        <v>10</v>
      </c>
      <c r="D24" s="194">
        <f t="shared" ref="D24:D42" si="2">B24*C24</f>
        <v>80</v>
      </c>
      <c r="E24" s="206"/>
      <c r="F24" s="263"/>
      <c r="H24" s="203"/>
      <c r="I24" s="204"/>
      <c r="K24" s="224"/>
      <c r="O24" s="25"/>
      <c r="P24" s="25"/>
      <c r="Q24" s="264"/>
      <c r="R24" s="25"/>
      <c r="S24" s="185" t="s">
        <v>261</v>
      </c>
      <c r="T24" s="339">
        <f ca="1">'Scénario référence'!$B$8*$M$30*'Données projet'!$C$5+('Scénario référence'!B9+'Scénario référence'!B10+'Scénario référence'!F8+'Scénario référence'!F9)*$N$19/(1+M4)^N16*'Données projet'!$C$5</f>
        <v>32684.525158501263</v>
      </c>
      <c r="U24" s="339"/>
      <c r="V24" s="339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3">
      <c r="A25" s="192">
        <f>'Données projet'!A38</f>
        <v>30</v>
      </c>
      <c r="B25" s="193">
        <f>'Données projet'!D38</f>
        <v>0</v>
      </c>
      <c r="C25" s="206">
        <v>0</v>
      </c>
      <c r="D25" s="194">
        <f t="shared" si="2"/>
        <v>0</v>
      </c>
      <c r="E25" s="206"/>
      <c r="F25" s="263"/>
      <c r="G25" s="1"/>
      <c r="H25" s="203"/>
      <c r="I25" s="204"/>
      <c r="K25" s="224"/>
      <c r="L25" s="270" t="s">
        <v>285</v>
      </c>
      <c r="M25" s="270"/>
      <c r="N25" s="270"/>
      <c r="O25" s="270"/>
      <c r="P25" s="205">
        <v>350</v>
      </c>
      <c r="Q25" s="264"/>
      <c r="R25" s="25"/>
      <c r="S25" s="198" t="s">
        <v>266</v>
      </c>
      <c r="T25" s="340">
        <f ca="1">T23-T24</f>
        <v>-29821.205545381221</v>
      </c>
      <c r="U25" s="340"/>
      <c r="V25" s="340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3">
      <c r="A26" s="192">
        <f>'Données projet'!A39</f>
        <v>35</v>
      </c>
      <c r="B26" s="193">
        <f>'Données projet'!D39</f>
        <v>42</v>
      </c>
      <c r="C26" s="206">
        <v>10</v>
      </c>
      <c r="D26" s="194">
        <f t="shared" si="2"/>
        <v>420</v>
      </c>
      <c r="E26" s="206"/>
      <c r="F26" s="263"/>
      <c r="G26" s="258"/>
      <c r="H26" s="203"/>
      <c r="I26" s="204"/>
      <c r="K26" s="224"/>
      <c r="L26" s="327" t="s">
        <v>258</v>
      </c>
      <c r="M26" s="328"/>
      <c r="N26" s="328"/>
      <c r="O26" s="328"/>
      <c r="P26" s="329"/>
      <c r="Q26" s="264"/>
      <c r="R26" s="25"/>
      <c r="S26" s="198" t="s">
        <v>265</v>
      </c>
      <c r="T26" s="337" t="str">
        <f ca="1">IF(T25&lt;0,"Votre projet est additionnel","Votre projet n'est pas additionnel")</f>
        <v>Votre projet est additionnel</v>
      </c>
      <c r="U26" s="337"/>
      <c r="V26" s="337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3">
      <c r="A27" s="192">
        <f>'Données projet'!A40</f>
        <v>40</v>
      </c>
      <c r="B27" s="193">
        <f>'Données projet'!D40</f>
        <v>0</v>
      </c>
      <c r="C27" s="206">
        <v>0</v>
      </c>
      <c r="D27" s="194">
        <f t="shared" si="2"/>
        <v>0</v>
      </c>
      <c r="E27" s="206"/>
      <c r="F27" s="263"/>
      <c r="G27" s="258"/>
      <c r="H27" s="203"/>
      <c r="I27" s="204"/>
      <c r="K27" s="224"/>
      <c r="L27" s="330"/>
      <c r="M27" s="331"/>
      <c r="N27" s="331"/>
      <c r="O27" s="331"/>
      <c r="P27" s="332"/>
      <c r="Q27" s="264"/>
      <c r="R27" s="25"/>
      <c r="S27" s="336" t="s">
        <v>267</v>
      </c>
      <c r="T27" s="336"/>
      <c r="U27" s="336"/>
      <c r="V27" s="336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3">
      <c r="A28" s="192">
        <f>'Données projet'!A41</f>
        <v>45</v>
      </c>
      <c r="B28" s="193">
        <f>'Données projet'!D41</f>
        <v>42</v>
      </c>
      <c r="C28" s="206">
        <v>10</v>
      </c>
      <c r="D28" s="194">
        <f t="shared" si="2"/>
        <v>420</v>
      </c>
      <c r="E28" s="206"/>
      <c r="F28" s="263"/>
      <c r="G28" s="221"/>
      <c r="H28" s="203"/>
      <c r="I28" s="204"/>
      <c r="K28" s="224"/>
      <c r="Q28" s="264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3">
      <c r="A29" s="192">
        <f>'Données projet'!A42</f>
        <v>50</v>
      </c>
      <c r="B29" s="193">
        <f>'Données projet'!D42</f>
        <v>0</v>
      </c>
      <c r="C29" s="206">
        <v>0</v>
      </c>
      <c r="D29" s="194">
        <f t="shared" si="2"/>
        <v>0</v>
      </c>
      <c r="E29" s="206"/>
      <c r="F29" s="263"/>
      <c r="G29" s="217"/>
      <c r="H29" s="203"/>
      <c r="I29" s="204"/>
      <c r="K29" s="224"/>
      <c r="O29" s="25"/>
      <c r="P29" s="25"/>
      <c r="Q29" s="264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3">
      <c r="A30" s="192">
        <f>'Données projet'!A43</f>
        <v>55</v>
      </c>
      <c r="B30" s="193">
        <f>'Données projet'!D43</f>
        <v>42</v>
      </c>
      <c r="C30" s="206">
        <v>20</v>
      </c>
      <c r="D30" s="194">
        <f t="shared" si="2"/>
        <v>840</v>
      </c>
      <c r="E30" s="206"/>
      <c r="F30" s="263"/>
      <c r="G30" s="217"/>
      <c r="H30" s="203"/>
      <c r="I30" s="204"/>
      <c r="K30" s="195"/>
      <c r="L30" s="185" t="s">
        <v>259</v>
      </c>
      <c r="M30" s="196">
        <f ca="1">SUM(OFFSET($P$33,0,0,MIN('Données projet'!$E$9:$E$18)+1,1))</f>
        <v>7054.7215969137196</v>
      </c>
      <c r="O30" s="5"/>
      <c r="P30" s="5"/>
      <c r="Q30" s="265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3">
      <c r="A31" s="192">
        <f>'Données projet'!A44</f>
        <v>60</v>
      </c>
      <c r="B31" s="193">
        <f>'Données projet'!D44</f>
        <v>0</v>
      </c>
      <c r="C31" s="206">
        <v>0</v>
      </c>
      <c r="D31" s="194">
        <f t="shared" si="2"/>
        <v>0</v>
      </c>
      <c r="E31" s="206"/>
      <c r="F31" s="263"/>
      <c r="G31" s="217"/>
      <c r="H31" s="203"/>
      <c r="I31" s="204"/>
      <c r="K31" s="183"/>
      <c r="Q31" s="264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3">
      <c r="A32" s="192">
        <f>'Données projet'!A45</f>
        <v>65</v>
      </c>
      <c r="B32" s="193">
        <f>'Données projet'!D45</f>
        <v>42</v>
      </c>
      <c r="C32" s="206">
        <v>30</v>
      </c>
      <c r="D32" s="194">
        <f t="shared" si="2"/>
        <v>1260</v>
      </c>
      <c r="E32" s="206"/>
      <c r="F32" s="263"/>
      <c r="G32" s="217"/>
      <c r="H32" s="203"/>
      <c r="I32" s="204"/>
      <c r="K32" s="183"/>
      <c r="N32" s="5"/>
      <c r="O32" s="269" t="s">
        <v>178</v>
      </c>
      <c r="P32" s="269" t="s">
        <v>252</v>
      </c>
      <c r="Q32" s="264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3">
      <c r="A33" s="192">
        <f>'Données projet'!A46</f>
        <v>70</v>
      </c>
      <c r="B33" s="193">
        <f>'Données projet'!D46</f>
        <v>0</v>
      </c>
      <c r="C33" s="206">
        <v>0</v>
      </c>
      <c r="D33" s="194">
        <f t="shared" si="2"/>
        <v>0</v>
      </c>
      <c r="E33" s="206"/>
      <c r="F33" s="263"/>
      <c r="G33" s="217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350</v>
      </c>
      <c r="Q33" s="264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3">
      <c r="A34" s="192">
        <f>'Données projet'!A47</f>
        <v>75</v>
      </c>
      <c r="B34" s="193">
        <f>'Données projet'!D47</f>
        <v>42</v>
      </c>
      <c r="C34" s="206">
        <v>40</v>
      </c>
      <c r="D34" s="194">
        <f t="shared" si="2"/>
        <v>1680</v>
      </c>
      <c r="E34" s="206"/>
      <c r="F34" s="263"/>
      <c r="G34" s="217"/>
      <c r="H34" s="203"/>
      <c r="I34" s="204"/>
      <c r="K34" s="183"/>
      <c r="L34" s="283"/>
      <c r="M34" s="283"/>
      <c r="N34" s="284"/>
      <c r="O34" s="207">
        <f>IF(O33+1&lt;=MIN('Données projet'!$E$9:$E$18),O33+1,"STOP")</f>
        <v>1</v>
      </c>
      <c r="P34" s="197">
        <f t="shared" si="3"/>
        <v>334.9282296650718</v>
      </c>
      <c r="Q34" s="264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3">
      <c r="A35" s="192">
        <f>'Données projet'!A48</f>
        <v>80</v>
      </c>
      <c r="B35" s="193">
        <f>'Données projet'!D48</f>
        <v>0</v>
      </c>
      <c r="C35" s="206">
        <v>0</v>
      </c>
      <c r="D35" s="194">
        <f t="shared" si="2"/>
        <v>0</v>
      </c>
      <c r="E35" s="206"/>
      <c r="F35" s="263"/>
      <c r="G35" s="217"/>
      <c r="H35" s="203"/>
      <c r="I35" s="204"/>
      <c r="K35" s="183"/>
      <c r="L35" s="283"/>
      <c r="M35" s="283"/>
      <c r="N35" s="284"/>
      <c r="O35" s="207">
        <f>IF(O34+1&lt;=MIN('Données projet'!$E$9:$E$18),O34+1,"STOP")</f>
        <v>2</v>
      </c>
      <c r="P35" s="197">
        <f t="shared" si="3"/>
        <v>320.5054829330831</v>
      </c>
      <c r="Q35" s="264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3">
      <c r="A36" s="192">
        <f>'Données projet'!A49</f>
        <v>90</v>
      </c>
      <c r="B36" s="193">
        <f>'Données projet'!D49</f>
        <v>42</v>
      </c>
      <c r="C36" s="206">
        <v>70</v>
      </c>
      <c r="D36" s="194">
        <f t="shared" si="2"/>
        <v>2940</v>
      </c>
      <c r="E36" s="206"/>
      <c r="F36" s="263"/>
      <c r="G36" s="217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306.70381141921825</v>
      </c>
      <c r="Q36" s="264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3">
      <c r="A37" s="192">
        <f>'Données projet'!A50</f>
        <v>100</v>
      </c>
      <c r="B37" s="193">
        <f>'Données projet'!D50</f>
        <v>42</v>
      </c>
      <c r="C37" s="206">
        <v>100</v>
      </c>
      <c r="D37" s="194">
        <f t="shared" si="2"/>
        <v>4200</v>
      </c>
      <c r="E37" s="206"/>
      <c r="F37" s="263"/>
      <c r="G37" s="217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293.49647025762522</v>
      </c>
      <c r="Q37" s="264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3">
      <c r="A38" s="192">
        <f>'Données projet'!A51</f>
        <v>110</v>
      </c>
      <c r="B38" s="193">
        <f>'Données projet'!D51</f>
        <v>39</v>
      </c>
      <c r="C38" s="206">
        <v>120</v>
      </c>
      <c r="D38" s="194">
        <f t="shared" si="2"/>
        <v>4680</v>
      </c>
      <c r="E38" s="206"/>
      <c r="F38" s="263"/>
      <c r="G38" s="217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280.85786627523942</v>
      </c>
      <c r="Q38" s="264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3">
      <c r="A39" s="192">
        <f>'Données projet'!A52</f>
        <v>120</v>
      </c>
      <c r="B39" s="193">
        <f>'Données projet'!D52</f>
        <v>35</v>
      </c>
      <c r="C39" s="206">
        <v>120</v>
      </c>
      <c r="D39" s="194">
        <f t="shared" si="2"/>
        <v>4200</v>
      </c>
      <c r="E39" s="206"/>
      <c r="F39" s="263"/>
      <c r="G39" s="217"/>
      <c r="H39" s="203"/>
      <c r="I39" s="204"/>
      <c r="K39" s="224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268.76350839735841</v>
      </c>
      <c r="Q39" s="264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3">
      <c r="A40" s="192">
        <f>'Données projet'!A53</f>
        <v>130</v>
      </c>
      <c r="B40" s="193">
        <f>'Données projet'!D53</f>
        <v>31</v>
      </c>
      <c r="C40" s="206">
        <v>150</v>
      </c>
      <c r="D40" s="194">
        <f t="shared" si="2"/>
        <v>4650</v>
      </c>
      <c r="E40" s="206"/>
      <c r="F40" s="263"/>
      <c r="G40" s="217"/>
      <c r="H40" s="203"/>
      <c r="I40" s="204"/>
      <c r="K40" s="224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257.18996018885969</v>
      </c>
      <c r="Q40" s="264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3">
      <c r="A41" s="192">
        <f>'Données projet'!A54</f>
        <v>140</v>
      </c>
      <c r="B41" s="193">
        <f>'Données projet'!D54</f>
        <v>27</v>
      </c>
      <c r="C41" s="206">
        <v>200</v>
      </c>
      <c r="D41" s="194">
        <f t="shared" si="2"/>
        <v>5400</v>
      </c>
      <c r="E41" s="206"/>
      <c r="F41" s="263"/>
      <c r="G41" s="217"/>
      <c r="H41" s="203"/>
      <c r="I41" s="204"/>
      <c r="K41" s="224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246.11479443910025</v>
      </c>
      <c r="Q41" s="264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3">
      <c r="A42" s="192">
        <f>'Données projet'!A55</f>
        <v>150</v>
      </c>
      <c r="B42" s="193">
        <f>'Données projet'!D55</f>
        <v>293</v>
      </c>
      <c r="C42" s="206">
        <v>200</v>
      </c>
      <c r="D42" s="194">
        <f t="shared" si="2"/>
        <v>58600</v>
      </c>
      <c r="E42" s="206"/>
      <c r="F42" s="263"/>
      <c r="G42" s="217"/>
      <c r="H42" s="203"/>
      <c r="I42" s="204"/>
      <c r="K42" s="224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235.51654970248828</v>
      </c>
      <c r="Q42" s="264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3">
      <c r="A43" s="199"/>
      <c r="B43" s="199"/>
      <c r="C43" s="199"/>
      <c r="D43" s="255"/>
      <c r="E43" s="255"/>
      <c r="F43" s="268"/>
      <c r="G43" s="217"/>
      <c r="H43" s="203"/>
      <c r="I43" s="204"/>
      <c r="K43" s="224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225.37468871051516</v>
      </c>
      <c r="Q43" s="26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3">
      <c r="A44" s="5"/>
      <c r="B44" s="5"/>
      <c r="C44" s="5"/>
      <c r="D44" s="5"/>
      <c r="E44" s="5"/>
      <c r="F44" s="260"/>
      <c r="G44" s="217"/>
      <c r="H44" s="203"/>
      <c r="I44" s="204"/>
      <c r="K44" s="224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215.66955857465564</v>
      </c>
      <c r="Q44" s="26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3">
      <c r="A45" s="49" t="s">
        <v>166</v>
      </c>
      <c r="B45" s="186" t="str">
        <f>IF('Données projet'!$B$10="","",'Données projet'!$B$10)</f>
        <v>Chêne chevelu</v>
      </c>
      <c r="C45" s="5"/>
      <c r="D45" s="5"/>
      <c r="E45" s="5"/>
      <c r="F45" s="260"/>
      <c r="G45" s="217"/>
      <c r="H45" s="203"/>
      <c r="I45" s="204"/>
      <c r="J45" s="25"/>
      <c r="K45" s="224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206.38235270301979</v>
      </c>
      <c r="Q45" s="26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3">
      <c r="A46" s="5"/>
      <c r="B46" s="5"/>
      <c r="C46" s="5"/>
      <c r="D46" s="5"/>
      <c r="E46" s="5"/>
      <c r="F46" s="260"/>
      <c r="G46" s="217"/>
      <c r="H46" s="203"/>
      <c r="I46" s="204"/>
      <c r="J46" s="25"/>
      <c r="K46" s="224"/>
      <c r="L46" s="219"/>
      <c r="M46" s="219"/>
      <c r="N46" s="219"/>
      <c r="O46" s="207">
        <f>IF(O45+1&lt;=MIN('Données projet'!$E$9:$E$18),O45+1,"STOP")</f>
        <v>13</v>
      </c>
      <c r="P46" s="200">
        <f t="shared" si="3"/>
        <v>197.49507435695674</v>
      </c>
      <c r="Q46" s="26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3">
      <c r="A47" s="256" t="s">
        <v>180</v>
      </c>
      <c r="B47" s="51" t="s">
        <v>256</v>
      </c>
      <c r="C47" s="51" t="s">
        <v>255</v>
      </c>
      <c r="D47" s="256" t="s">
        <v>252</v>
      </c>
      <c r="E47" s="256" t="s">
        <v>320</v>
      </c>
      <c r="F47" s="261"/>
      <c r="G47" s="217"/>
      <c r="H47" s="203"/>
      <c r="I47" s="204"/>
      <c r="J47" s="25"/>
      <c r="K47" s="224"/>
      <c r="L47" s="5"/>
      <c r="M47" s="5"/>
      <c r="N47" s="5"/>
      <c r="O47" s="207">
        <f>IF(O46+1&lt;=MIN('Données projet'!$E$9:$E$18),O46+1,"STOP")</f>
        <v>14</v>
      </c>
      <c r="P47" s="197">
        <f t="shared" si="3"/>
        <v>188.99050177699215</v>
      </c>
      <c r="Q47" s="26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3">
      <c r="A48" s="209">
        <v>0</v>
      </c>
      <c r="B48" s="212" t="s">
        <v>132</v>
      </c>
      <c r="C48" s="211" t="s">
        <v>132</v>
      </c>
      <c r="D48" s="210" t="s">
        <v>132</v>
      </c>
      <c r="E48" s="206"/>
      <c r="F48" s="261"/>
      <c r="G48" s="217"/>
      <c r="H48" s="203"/>
      <c r="I48" s="204"/>
      <c r="J48" s="25"/>
      <c r="K48" s="224"/>
      <c r="L48" s="5"/>
      <c r="M48" s="5"/>
      <c r="N48" s="5"/>
      <c r="O48" s="207">
        <f>IF(O47+1&lt;=MIN('Données projet'!$E$9:$E$18),O47+1,"STOP")</f>
        <v>15</v>
      </c>
      <c r="P48" s="197">
        <f t="shared" si="3"/>
        <v>180.85215481051878</v>
      </c>
      <c r="Q48" s="26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3">
      <c r="A49" s="209">
        <v>1</v>
      </c>
      <c r="B49" s="212" t="s">
        <v>132</v>
      </c>
      <c r="C49" s="211" t="s">
        <v>132</v>
      </c>
      <c r="D49" s="210" t="s">
        <v>132</v>
      </c>
      <c r="E49" s="206"/>
      <c r="F49" s="261"/>
      <c r="G49" s="218"/>
      <c r="H49" s="203"/>
      <c r="I49" s="204"/>
      <c r="J49" s="219"/>
      <c r="K49" s="226"/>
      <c r="L49" s="5"/>
      <c r="M49" s="5"/>
      <c r="N49" s="5"/>
      <c r="O49" s="207">
        <f>IF(O48+1&lt;=MIN('Données projet'!$E$9:$E$18),O48+1,"STOP")</f>
        <v>16</v>
      </c>
      <c r="P49" s="197">
        <f t="shared" si="3"/>
        <v>173.06426297657308</v>
      </c>
      <c r="Q49" s="266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3">
      <c r="A50" s="209">
        <v>2</v>
      </c>
      <c r="B50" s="212" t="s">
        <v>132</v>
      </c>
      <c r="C50" s="211" t="s">
        <v>132</v>
      </c>
      <c r="D50" s="210" t="s">
        <v>132</v>
      </c>
      <c r="E50" s="206"/>
      <c r="F50" s="261"/>
      <c r="G50" s="220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165.61173490581155</v>
      </c>
      <c r="Q50" s="26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3">
      <c r="A51" s="209">
        <v>3</v>
      </c>
      <c r="B51" s="212" t="s">
        <v>132</v>
      </c>
      <c r="C51" s="211" t="s">
        <v>132</v>
      </c>
      <c r="D51" s="210" t="s">
        <v>132</v>
      </c>
      <c r="E51" s="206"/>
      <c r="F51" s="261"/>
      <c r="G51" s="220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158.48012909647039</v>
      </c>
      <c r="Q51" s="26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3">
      <c r="A52" s="209">
        <v>4</v>
      </c>
      <c r="B52" s="212" t="s">
        <v>132</v>
      </c>
      <c r="C52" s="211" t="s">
        <v>132</v>
      </c>
      <c r="D52" s="210" t="s">
        <v>132</v>
      </c>
      <c r="E52" s="206"/>
      <c r="F52" s="261"/>
      <c r="G52" s="220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151.65562592963676</v>
      </c>
      <c r="Q52" s="26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3">
      <c r="A53" s="209">
        <v>5</v>
      </c>
      <c r="B53" s="212" t="s">
        <v>132</v>
      </c>
      <c r="C53" s="211" t="s">
        <v>132</v>
      </c>
      <c r="D53" s="210" t="s">
        <v>132</v>
      </c>
      <c r="E53" s="206"/>
      <c r="F53" s="261"/>
      <c r="G53" s="221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145.12500088960459</v>
      </c>
      <c r="Q53" s="26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3">
      <c r="A54" s="192">
        <f>'Données projet'!A62</f>
        <v>15</v>
      </c>
      <c r="B54" s="193">
        <f>'Données projet'!D62</f>
        <v>0</v>
      </c>
      <c r="C54" s="206">
        <v>0</v>
      </c>
      <c r="D54" s="191">
        <f>B54*C54</f>
        <v>0</v>
      </c>
      <c r="E54" s="206"/>
      <c r="F54" s="262"/>
      <c r="G54" s="221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138.87559893742065</v>
      </c>
      <c r="Q54" s="26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3">
      <c r="A55" s="192">
        <f>'Données projet'!A63</f>
        <v>20</v>
      </c>
      <c r="B55" s="193">
        <f>'Données projet'!D63</f>
        <v>0</v>
      </c>
      <c r="C55" s="206">
        <v>0</v>
      </c>
      <c r="D55" s="191">
        <f t="shared" ref="D55:D73" si="4">B55*C55</f>
        <v>0</v>
      </c>
      <c r="E55" s="206"/>
      <c r="F55" s="262"/>
      <c r="G55" s="221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132.89530998796238</v>
      </c>
      <c r="Q55" s="26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3">
      <c r="A56" s="192">
        <f>'Données projet'!A64</f>
        <v>25</v>
      </c>
      <c r="B56" s="193">
        <f>'Données projet'!D64</f>
        <v>0</v>
      </c>
      <c r="C56" s="206">
        <v>0</v>
      </c>
      <c r="D56" s="191">
        <f t="shared" si="4"/>
        <v>0</v>
      </c>
      <c r="E56" s="206"/>
      <c r="F56" s="262"/>
      <c r="G56" s="221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127.17254544302619</v>
      </c>
      <c r="Q56" s="26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3">
      <c r="A57" s="192">
        <f>'Données projet'!A65</f>
        <v>30</v>
      </c>
      <c r="B57" s="193">
        <f>'Données projet'!D65</f>
        <v>28.205128205128204</v>
      </c>
      <c r="C57" s="206">
        <v>15</v>
      </c>
      <c r="D57" s="191">
        <f t="shared" si="4"/>
        <v>423.07692307692309</v>
      </c>
      <c r="E57" s="206"/>
      <c r="F57" s="262"/>
      <c r="G57" s="221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121.69621573495333</v>
      </c>
      <c r="Q57" s="26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3">
      <c r="A58" s="192">
        <f>'Données projet'!A66</f>
        <v>35</v>
      </c>
      <c r="B58" s="193">
        <f>'Données projet'!D66</f>
        <v>0</v>
      </c>
      <c r="C58" s="206">
        <v>0</v>
      </c>
      <c r="D58" s="191">
        <f t="shared" si="4"/>
        <v>0</v>
      </c>
      <c r="E58" s="206"/>
      <c r="F58" s="262"/>
      <c r="G58" s="221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116.45570883727592</v>
      </c>
      <c r="Q58" s="26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3">
      <c r="A59" s="192">
        <f>'Données projet'!A67</f>
        <v>40</v>
      </c>
      <c r="B59" s="193">
        <f>'Données projet'!D67</f>
        <v>22.435897435897434</v>
      </c>
      <c r="C59" s="206">
        <v>20</v>
      </c>
      <c r="D59" s="191">
        <f t="shared" si="4"/>
        <v>448.71794871794867</v>
      </c>
      <c r="E59" s="206"/>
      <c r="F59" s="262"/>
      <c r="G59" s="221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111.44086970074254</v>
      </c>
      <c r="Q59" s="26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3">
      <c r="A60" s="192">
        <f>'Données projet'!A68</f>
        <v>45</v>
      </c>
      <c r="B60" s="193">
        <f>'Données projet'!D68</f>
        <v>0</v>
      </c>
      <c r="C60" s="206">
        <v>0</v>
      </c>
      <c r="D60" s="191">
        <f t="shared" si="4"/>
        <v>0</v>
      </c>
      <c r="E60" s="206"/>
      <c r="F60" s="262"/>
      <c r="G60" s="222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106.64198057487323</v>
      </c>
      <c r="Q60" s="26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3">
      <c r="A61" s="192">
        <f>'Données projet'!A69</f>
        <v>50</v>
      </c>
      <c r="B61" s="193">
        <f>'Données projet'!D69</f>
        <v>24.358974358974358</v>
      </c>
      <c r="C61" s="206">
        <v>30</v>
      </c>
      <c r="D61" s="191">
        <f t="shared" si="4"/>
        <v>730.76923076923072</v>
      </c>
      <c r="E61" s="206"/>
      <c r="F61" s="262"/>
      <c r="G61" s="222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102.04974217691222</v>
      </c>
      <c r="Q61" s="26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3">
      <c r="A62" s="192">
        <f>'Données projet'!A70</f>
        <v>55</v>
      </c>
      <c r="B62" s="193">
        <f>'Données projet'!D70</f>
        <v>0</v>
      </c>
      <c r="C62" s="206">
        <v>0</v>
      </c>
      <c r="D62" s="191">
        <f t="shared" si="4"/>
        <v>0</v>
      </c>
      <c r="E62" s="206"/>
      <c r="F62" s="262"/>
      <c r="G62" s="222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97.655255671686319</v>
      </c>
      <c r="Q62" s="26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3">
      <c r="A63" s="192">
        <f>'Données projet'!A71</f>
        <v>60</v>
      </c>
      <c r="B63" s="193">
        <f>'Données projet'!D71</f>
        <v>24.358974358974358</v>
      </c>
      <c r="C63" s="206">
        <v>40</v>
      </c>
      <c r="D63" s="191">
        <f t="shared" si="4"/>
        <v>974.35897435897436</v>
      </c>
      <c r="E63" s="206"/>
      <c r="F63" s="262"/>
      <c r="G63" s="222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93.450005427451046</v>
      </c>
      <c r="Q63" s="26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3">
      <c r="A64" s="192">
        <f>'Données projet'!A72</f>
        <v>65</v>
      </c>
      <c r="B64" s="193">
        <f>'Données projet'!D72</f>
        <v>0</v>
      </c>
      <c r="C64" s="206">
        <v>0</v>
      </c>
      <c r="D64" s="191">
        <f t="shared" si="4"/>
        <v>0</v>
      </c>
      <c r="E64" s="206"/>
      <c r="F64" s="262"/>
      <c r="G64" s="222"/>
      <c r="H64" s="203"/>
      <c r="I64" s="204"/>
      <c r="J64" s="223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89.425842514307206</v>
      </c>
      <c r="Q64" s="26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3">
      <c r="A65" s="192">
        <f>'Données projet'!A73</f>
        <v>70</v>
      </c>
      <c r="B65" s="193">
        <f>'Données projet'!D73</f>
        <v>23.076923076923077</v>
      </c>
      <c r="C65" s="206">
        <v>60</v>
      </c>
      <c r="D65" s="191">
        <f t="shared" si="4"/>
        <v>1384.6153846153845</v>
      </c>
      <c r="E65" s="206"/>
      <c r="F65" s="262"/>
      <c r="G65" s="222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85.574968913212686</v>
      </c>
      <c r="Q65" s="26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3">
      <c r="A66" s="192">
        <f>'Données projet'!A74</f>
        <v>75</v>
      </c>
      <c r="B66" s="193">
        <f>'Données projet'!D74</f>
        <v>0</v>
      </c>
      <c r="C66" s="206">
        <v>0</v>
      </c>
      <c r="D66" s="191">
        <f t="shared" si="4"/>
        <v>0</v>
      </c>
      <c r="E66" s="206"/>
      <c r="F66" s="262"/>
      <c r="G66" s="222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81.889922404988226</v>
      </c>
      <c r="Q66" s="26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3">
      <c r="A67" s="192">
        <f>'Données projet'!A75</f>
        <v>80</v>
      </c>
      <c r="B67" s="193">
        <f>'Données projet'!D75</f>
        <v>22.435897435897434</v>
      </c>
      <c r="C67" s="206">
        <v>70</v>
      </c>
      <c r="D67" s="191">
        <f t="shared" si="4"/>
        <v>1570.5128205128203</v>
      </c>
      <c r="E67" s="206"/>
      <c r="F67" s="262"/>
      <c r="G67" s="222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78.363562110036582</v>
      </c>
      <c r="Q67" s="26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3">
      <c r="A68" s="192">
        <f>'Données projet'!A76</f>
        <v>85</v>
      </c>
      <c r="B68" s="193">
        <f>'Données projet'!D76</f>
        <v>0</v>
      </c>
      <c r="C68" s="206">
        <v>0</v>
      </c>
      <c r="D68" s="191">
        <f t="shared" si="4"/>
        <v>0</v>
      </c>
      <c r="E68" s="206"/>
      <c r="F68" s="262"/>
      <c r="G68" s="222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74.98905465075272</v>
      </c>
      <c r="Q68" s="26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3">
      <c r="A69" s="192">
        <f>'Données projet'!A77</f>
        <v>90</v>
      </c>
      <c r="B69" s="193">
        <f>'Données projet'!D77</f>
        <v>21.153846153846153</v>
      </c>
      <c r="C69" s="206">
        <v>80</v>
      </c>
      <c r="D69" s="191">
        <f t="shared" si="4"/>
        <v>1692.3076923076924</v>
      </c>
      <c r="E69" s="206"/>
      <c r="F69" s="262"/>
      <c r="G69" s="222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71.759860909811223</v>
      </c>
      <c r="Q69" s="26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3">
      <c r="A70" s="192">
        <f>'Données projet'!A78</f>
        <v>100</v>
      </c>
      <c r="B70" s="193">
        <f>'Données projet'!D78</f>
        <v>20.512820512820511</v>
      </c>
      <c r="C70" s="206">
        <v>90</v>
      </c>
      <c r="D70" s="191">
        <f t="shared" si="4"/>
        <v>1846.153846153846</v>
      </c>
      <c r="E70" s="206"/>
      <c r="F70" s="262"/>
      <c r="G70" s="222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68.669723358671035</v>
      </c>
      <c r="Q70" s="26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3">
      <c r="A71" s="192">
        <f>'Données projet'!A79</f>
        <v>110</v>
      </c>
      <c r="B71" s="193">
        <f>'Données projet'!D79</f>
        <v>19.23076923076923</v>
      </c>
      <c r="C71" s="206">
        <v>100</v>
      </c>
      <c r="D71" s="191">
        <f t="shared" si="4"/>
        <v>1923.0769230769231</v>
      </c>
      <c r="E71" s="206"/>
      <c r="F71" s="262"/>
      <c r="G71" s="222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65.712653931742622</v>
      </c>
      <c r="Q71" s="26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3">
      <c r="A72" s="192">
        <f>'Données projet'!A80</f>
        <v>120</v>
      </c>
      <c r="B72" s="193">
        <f>'Données projet'!D80</f>
        <v>17.948717948717949</v>
      </c>
      <c r="C72" s="206">
        <v>110</v>
      </c>
      <c r="D72" s="191">
        <f t="shared" si="4"/>
        <v>1974.3589743589744</v>
      </c>
      <c r="E72" s="206"/>
      <c r="F72" s="262"/>
      <c r="G72" s="222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62.88292242272022</v>
      </c>
      <c r="Q72" s="26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3">
      <c r="A73" s="192">
        <f>'Données projet'!A81</f>
        <v>130</v>
      </c>
      <c r="B73" s="193">
        <f>'Données projet'!D81</f>
        <v>339.10256410256409</v>
      </c>
      <c r="C73" s="206">
        <v>130</v>
      </c>
      <c r="D73" s="191">
        <f t="shared" si="4"/>
        <v>44083.333333333328</v>
      </c>
      <c r="E73" s="206"/>
      <c r="F73" s="262"/>
      <c r="G73" s="222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60.175045380593524</v>
      </c>
      <c r="Q73" s="26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3">
      <c r="A74" s="5"/>
      <c r="B74" s="5"/>
      <c r="C74" s="5"/>
      <c r="D74" s="5"/>
      <c r="E74" s="5"/>
      <c r="F74" s="260"/>
      <c r="G74" s="222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57.583775483821562</v>
      </c>
      <c r="Q74" s="26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3">
      <c r="A75" s="5"/>
      <c r="B75" s="5"/>
      <c r="C75" s="5"/>
      <c r="D75" s="5"/>
      <c r="E75" s="5"/>
      <c r="F75" s="260"/>
      <c r="G75" s="222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55.104091372078059</v>
      </c>
      <c r="Q75" s="26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3">
      <c r="A76" s="49" t="s">
        <v>167</v>
      </c>
      <c r="B76" s="186" t="str">
        <f>IF('Données projet'!B11="","",'Données projet'!B11)</f>
        <v>Robinier faux-acacia</v>
      </c>
      <c r="C76" s="5"/>
      <c r="D76" s="5"/>
      <c r="E76" s="5"/>
      <c r="F76" s="260"/>
      <c r="G76" s="222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52.731187915864169</v>
      </c>
      <c r="Q76" s="26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3">
      <c r="A77" s="5"/>
      <c r="B77" s="5"/>
      <c r="C77" s="5"/>
      <c r="D77" s="5"/>
      <c r="E77" s="5"/>
      <c r="F77" s="260"/>
      <c r="G77" s="222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50.460466905133188</v>
      </c>
      <c r="Q77" s="26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3">
      <c r="A78" s="256" t="s">
        <v>180</v>
      </c>
      <c r="B78" s="51" t="s">
        <v>256</v>
      </c>
      <c r="C78" s="51" t="s">
        <v>255</v>
      </c>
      <c r="D78" s="256" t="s">
        <v>252</v>
      </c>
      <c r="E78" s="256" t="s">
        <v>320</v>
      </c>
      <c r="F78" s="261"/>
      <c r="G78" s="222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48.287528138883431</v>
      </c>
      <c r="Q78" s="26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3">
      <c r="A79" s="209">
        <v>0</v>
      </c>
      <c r="B79" s="212" t="s">
        <v>132</v>
      </c>
      <c r="C79" s="211" t="s">
        <v>132</v>
      </c>
      <c r="D79" s="210" t="s">
        <v>132</v>
      </c>
      <c r="E79" s="206"/>
      <c r="F79" s="261"/>
      <c r="G79" s="222"/>
      <c r="H79" s="203"/>
      <c r="I79" s="204"/>
      <c r="J79" s="5"/>
      <c r="K79" s="183"/>
      <c r="L79" s="5"/>
      <c r="M79" s="5"/>
      <c r="N79" s="5"/>
      <c r="O79" s="207" t="str">
        <f>IF(O78+1&lt;=MIN('Données projet'!$E$9:$E$18),O78+1,"STOP")</f>
        <v>STOP</v>
      </c>
      <c r="P79" s="197" t="e">
        <f t="shared" si="5"/>
        <v>#VALUE!</v>
      </c>
      <c r="Q79" s="26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3">
      <c r="A80" s="209">
        <v>1</v>
      </c>
      <c r="B80" s="212" t="s">
        <v>132</v>
      </c>
      <c r="C80" s="211" t="s">
        <v>132</v>
      </c>
      <c r="D80" s="210" t="s">
        <v>132</v>
      </c>
      <c r="E80" s="206"/>
      <c r="F80" s="261"/>
      <c r="G80" s="220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3">
      <c r="A81" s="209">
        <v>2</v>
      </c>
      <c r="B81" s="212" t="s">
        <v>132</v>
      </c>
      <c r="C81" s="211" t="s">
        <v>132</v>
      </c>
      <c r="D81" s="210" t="s">
        <v>132</v>
      </c>
      <c r="E81" s="206"/>
      <c r="F81" s="261"/>
      <c r="G81" s="220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3">
      <c r="A82" s="209">
        <v>3</v>
      </c>
      <c r="B82" s="212" t="s">
        <v>132</v>
      </c>
      <c r="C82" s="211" t="s">
        <v>132</v>
      </c>
      <c r="D82" s="210" t="s">
        <v>132</v>
      </c>
      <c r="E82" s="206"/>
      <c r="F82" s="261"/>
      <c r="G82" s="220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3">
      <c r="A83" s="209">
        <v>4</v>
      </c>
      <c r="B83" s="212" t="s">
        <v>132</v>
      </c>
      <c r="C83" s="211" t="s">
        <v>132</v>
      </c>
      <c r="D83" s="210" t="s">
        <v>132</v>
      </c>
      <c r="E83" s="206"/>
      <c r="F83" s="261"/>
      <c r="G83" s="220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3">
      <c r="A84" s="209">
        <v>5</v>
      </c>
      <c r="B84" s="212" t="s">
        <v>132</v>
      </c>
      <c r="C84" s="211" t="s">
        <v>132</v>
      </c>
      <c r="D84" s="210" t="s">
        <v>132</v>
      </c>
      <c r="E84" s="206"/>
      <c r="F84" s="261"/>
      <c r="G84" s="221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3">
      <c r="A85" s="192">
        <f>'Données projet'!A88</f>
        <v>5</v>
      </c>
      <c r="B85" s="193">
        <f>'Données projet'!D88</f>
        <v>0</v>
      </c>
      <c r="C85" s="206">
        <v>0</v>
      </c>
      <c r="D85" s="191">
        <f>B85*C85</f>
        <v>0</v>
      </c>
      <c r="E85" s="206"/>
      <c r="F85" s="262"/>
      <c r="G85" s="221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3">
      <c r="A86" s="192">
        <f>'Données projet'!A89</f>
        <v>10</v>
      </c>
      <c r="B86" s="193">
        <f>'Données projet'!D89</f>
        <v>17</v>
      </c>
      <c r="C86" s="206">
        <v>0</v>
      </c>
      <c r="D86" s="191">
        <f t="shared" ref="D86:D104" si="6">B86*C86</f>
        <v>0</v>
      </c>
      <c r="E86" s="206"/>
      <c r="F86" s="262"/>
      <c r="G86" s="221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3">
      <c r="A87" s="192">
        <f>'Données projet'!A90</f>
        <v>15</v>
      </c>
      <c r="B87" s="193">
        <f>'Données projet'!D90</f>
        <v>13</v>
      </c>
      <c r="C87" s="206">
        <v>10</v>
      </c>
      <c r="D87" s="191">
        <f t="shared" si="6"/>
        <v>130</v>
      </c>
      <c r="E87" s="206"/>
      <c r="F87" s="262"/>
      <c r="G87" s="221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3">
      <c r="A88" s="192">
        <f>'Données projet'!A91</f>
        <v>20</v>
      </c>
      <c r="B88" s="193">
        <f>'Données projet'!D91</f>
        <v>10</v>
      </c>
      <c r="C88" s="204">
        <v>0</v>
      </c>
      <c r="D88" s="191">
        <f t="shared" si="6"/>
        <v>0</v>
      </c>
      <c r="E88" s="206"/>
      <c r="F88" s="262"/>
      <c r="G88" s="221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3">
      <c r="A89" s="192">
        <f>'Données projet'!A92</f>
        <v>25</v>
      </c>
      <c r="B89" s="193">
        <f>'Données projet'!D92</f>
        <v>8</v>
      </c>
      <c r="C89" s="204">
        <v>10</v>
      </c>
      <c r="D89" s="191">
        <f t="shared" si="6"/>
        <v>80</v>
      </c>
      <c r="E89" s="206"/>
      <c r="F89" s="262"/>
      <c r="G89" s="221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3">
      <c r="A90" s="192">
        <f>'Données projet'!A93</f>
        <v>30</v>
      </c>
      <c r="B90" s="193">
        <f>'Données projet'!D93</f>
        <v>6</v>
      </c>
      <c r="C90" s="204">
        <v>0</v>
      </c>
      <c r="D90" s="191">
        <f t="shared" si="6"/>
        <v>0</v>
      </c>
      <c r="E90" s="206"/>
      <c r="F90" s="262"/>
      <c r="G90" s="221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3">
      <c r="A91" s="192">
        <f>'Données projet'!A94</f>
        <v>35</v>
      </c>
      <c r="B91" s="193">
        <f>'Données projet'!D94</f>
        <v>5</v>
      </c>
      <c r="C91" s="204">
        <v>20</v>
      </c>
      <c r="D91" s="191">
        <f t="shared" si="6"/>
        <v>100</v>
      </c>
      <c r="E91" s="206"/>
      <c r="F91" s="262"/>
      <c r="G91" s="222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3">
      <c r="A92" s="192">
        <f>'Données projet'!A95</f>
        <v>40</v>
      </c>
      <c r="B92" s="193">
        <f>'Données projet'!D95</f>
        <v>4</v>
      </c>
      <c r="C92" s="204">
        <v>0</v>
      </c>
      <c r="D92" s="191">
        <f t="shared" si="6"/>
        <v>0</v>
      </c>
      <c r="E92" s="206"/>
      <c r="F92" s="262"/>
      <c r="G92" s="222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3">
      <c r="A93" s="192">
        <f>'Données projet'!A96</f>
        <v>45</v>
      </c>
      <c r="B93" s="193">
        <f>'Données projet'!D96</f>
        <v>198</v>
      </c>
      <c r="C93" s="204">
        <v>30</v>
      </c>
      <c r="D93" s="191">
        <f t="shared" si="6"/>
        <v>5940</v>
      </c>
      <c r="E93" s="206"/>
      <c r="F93" s="262"/>
      <c r="G93" s="222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3">
      <c r="A94" s="192">
        <f>'Données projet'!A97</f>
        <v>0</v>
      </c>
      <c r="B94" s="193">
        <f>'Données projet'!D97</f>
        <v>0</v>
      </c>
      <c r="C94" s="204">
        <v>0</v>
      </c>
      <c r="D94" s="191">
        <f t="shared" si="6"/>
        <v>0</v>
      </c>
      <c r="E94" s="206"/>
      <c r="F94" s="262"/>
      <c r="G94" s="222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3">
      <c r="A95" s="192">
        <f>'Données projet'!A98</f>
        <v>0</v>
      </c>
      <c r="B95" s="193">
        <f>'Données projet'!D98</f>
        <v>0</v>
      </c>
      <c r="C95" s="204">
        <v>40</v>
      </c>
      <c r="D95" s="191">
        <f t="shared" si="6"/>
        <v>0</v>
      </c>
      <c r="E95" s="206"/>
      <c r="F95" s="262"/>
      <c r="G95" s="222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3">
      <c r="A96" s="192">
        <f>'Données projet'!A99</f>
        <v>0</v>
      </c>
      <c r="B96" s="193">
        <f>'Données projet'!D99</f>
        <v>0</v>
      </c>
      <c r="C96" s="204">
        <v>0</v>
      </c>
      <c r="D96" s="191">
        <f t="shared" si="6"/>
        <v>0</v>
      </c>
      <c r="E96" s="206"/>
      <c r="F96" s="262"/>
      <c r="G96" s="222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3">
      <c r="A97" s="192">
        <f>'Données projet'!A100</f>
        <v>0</v>
      </c>
      <c r="B97" s="193">
        <f>'Données projet'!D100</f>
        <v>0</v>
      </c>
      <c r="C97" s="204">
        <v>80</v>
      </c>
      <c r="D97" s="191">
        <f t="shared" si="6"/>
        <v>0</v>
      </c>
      <c r="E97" s="206"/>
      <c r="F97" s="262"/>
      <c r="G97" s="222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3">
      <c r="A98" s="192">
        <f>'Données projet'!A101</f>
        <v>0</v>
      </c>
      <c r="B98" s="193">
        <f>'Données projet'!D101</f>
        <v>0</v>
      </c>
      <c r="C98" s="204">
        <v>0</v>
      </c>
      <c r="D98" s="191">
        <f t="shared" si="6"/>
        <v>0</v>
      </c>
      <c r="E98" s="206"/>
      <c r="F98" s="262"/>
      <c r="G98" s="222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3">
      <c r="A99" s="192">
        <f>'Données projet'!A102</f>
        <v>0</v>
      </c>
      <c r="B99" s="193">
        <f>'Données projet'!D102</f>
        <v>0</v>
      </c>
      <c r="C99" s="204">
        <v>150</v>
      </c>
      <c r="D99" s="191">
        <f t="shared" si="6"/>
        <v>0</v>
      </c>
      <c r="E99" s="206"/>
      <c r="F99" s="262"/>
      <c r="G99" s="222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3">
      <c r="A100" s="192">
        <f>'Données projet'!A103</f>
        <v>0</v>
      </c>
      <c r="B100" s="193">
        <f>'Données projet'!D103</f>
        <v>0</v>
      </c>
      <c r="C100" s="206">
        <v>0</v>
      </c>
      <c r="D100" s="191">
        <f t="shared" si="6"/>
        <v>0</v>
      </c>
      <c r="E100" s="206"/>
      <c r="F100" s="262"/>
      <c r="G100" s="222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3">
      <c r="A101" s="192">
        <f>'Données projet'!A104</f>
        <v>0</v>
      </c>
      <c r="B101" s="193">
        <f>'Données projet'!D104</f>
        <v>0</v>
      </c>
      <c r="C101" s="206">
        <v>0</v>
      </c>
      <c r="D101" s="191">
        <f t="shared" si="6"/>
        <v>0</v>
      </c>
      <c r="E101" s="206"/>
      <c r="F101" s="262"/>
      <c r="G101" s="222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3">
      <c r="A102" s="192">
        <f>'Données projet'!A105</f>
        <v>0</v>
      </c>
      <c r="B102" s="193">
        <f>'Données projet'!D105</f>
        <v>0</v>
      </c>
      <c r="C102" s="206">
        <v>0</v>
      </c>
      <c r="D102" s="191">
        <f t="shared" si="6"/>
        <v>0</v>
      </c>
      <c r="E102" s="206"/>
      <c r="F102" s="262"/>
      <c r="G102" s="222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3">
      <c r="A103" s="192">
        <f>'Données projet'!A106</f>
        <v>0</v>
      </c>
      <c r="B103" s="193">
        <f>'Données projet'!D106</f>
        <v>0</v>
      </c>
      <c r="C103" s="206">
        <v>0</v>
      </c>
      <c r="D103" s="191">
        <f t="shared" si="6"/>
        <v>0</v>
      </c>
      <c r="E103" s="206"/>
      <c r="F103" s="262"/>
      <c r="G103" s="222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3">
      <c r="A104" s="192">
        <f>'Données projet'!A107</f>
        <v>0</v>
      </c>
      <c r="B104" s="193">
        <f>'Données projet'!D107</f>
        <v>0</v>
      </c>
      <c r="C104" s="206">
        <v>0</v>
      </c>
      <c r="D104" s="191">
        <f t="shared" si="6"/>
        <v>0</v>
      </c>
      <c r="E104" s="206"/>
      <c r="F104" s="262"/>
      <c r="G104" s="222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3">
      <c r="A105" s="5"/>
      <c r="B105" s="5"/>
      <c r="C105" s="5"/>
      <c r="D105" s="5"/>
      <c r="E105" s="5"/>
      <c r="F105" s="260"/>
      <c r="G105" s="222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3">
      <c r="A106" s="5"/>
      <c r="B106" s="5"/>
      <c r="C106" s="5"/>
      <c r="D106" s="5"/>
      <c r="E106" s="5"/>
      <c r="F106" s="260"/>
      <c r="G106" s="222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3">
      <c r="A107" s="49" t="s">
        <v>168</v>
      </c>
      <c r="B107" s="186" t="str">
        <f>IF('Données projet'!B12="","",'Données projet'!B12)</f>
        <v>Chêne sessile</v>
      </c>
      <c r="C107" s="5"/>
      <c r="D107" s="5"/>
      <c r="E107" s="5"/>
      <c r="F107" s="260"/>
      <c r="G107" s="222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3">
      <c r="A108" s="5"/>
      <c r="B108" s="5"/>
      <c r="C108" s="5"/>
      <c r="D108" s="5"/>
      <c r="E108" s="5"/>
      <c r="F108" s="260"/>
      <c r="G108" s="222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3">
      <c r="A109" s="256" t="s">
        <v>180</v>
      </c>
      <c r="B109" s="51" t="s">
        <v>256</v>
      </c>
      <c r="C109" s="51" t="s">
        <v>255</v>
      </c>
      <c r="D109" s="256" t="s">
        <v>252</v>
      </c>
      <c r="E109" s="256" t="s">
        <v>320</v>
      </c>
      <c r="F109" s="261"/>
      <c r="G109" s="222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3">
      <c r="A110" s="209">
        <v>0</v>
      </c>
      <c r="B110" s="212" t="s">
        <v>132</v>
      </c>
      <c r="C110" s="211" t="s">
        <v>132</v>
      </c>
      <c r="D110" s="210" t="s">
        <v>132</v>
      </c>
      <c r="E110" s="206"/>
      <c r="F110" s="261"/>
      <c r="G110" s="222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3">
      <c r="A111" s="209">
        <v>1</v>
      </c>
      <c r="B111" s="212" t="s">
        <v>132</v>
      </c>
      <c r="C111" s="211" t="s">
        <v>132</v>
      </c>
      <c r="D111" s="210" t="s">
        <v>132</v>
      </c>
      <c r="E111" s="206"/>
      <c r="F111" s="261"/>
      <c r="G111" s="220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3">
      <c r="A112" s="209">
        <v>2</v>
      </c>
      <c r="B112" s="212" t="s">
        <v>132</v>
      </c>
      <c r="C112" s="211" t="s">
        <v>132</v>
      </c>
      <c r="D112" s="210" t="s">
        <v>132</v>
      </c>
      <c r="E112" s="206"/>
      <c r="F112" s="261"/>
      <c r="G112" s="220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3">
      <c r="A113" s="209">
        <v>3</v>
      </c>
      <c r="B113" s="212" t="s">
        <v>132</v>
      </c>
      <c r="C113" s="211" t="s">
        <v>132</v>
      </c>
      <c r="D113" s="210" t="s">
        <v>132</v>
      </c>
      <c r="E113" s="206"/>
      <c r="F113" s="261"/>
      <c r="G113" s="220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3">
      <c r="A114" s="209">
        <v>4</v>
      </c>
      <c r="B114" s="212" t="s">
        <v>132</v>
      </c>
      <c r="C114" s="211" t="s">
        <v>132</v>
      </c>
      <c r="D114" s="210" t="s">
        <v>132</v>
      </c>
      <c r="E114" s="206"/>
      <c r="F114" s="261"/>
      <c r="G114" s="220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3">
      <c r="A115" s="209">
        <v>5</v>
      </c>
      <c r="B115" s="212" t="s">
        <v>132</v>
      </c>
      <c r="C115" s="211" t="s">
        <v>132</v>
      </c>
      <c r="D115" s="210" t="s">
        <v>132</v>
      </c>
      <c r="E115" s="206"/>
      <c r="F115" s="261"/>
      <c r="G115" s="221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3">
      <c r="A116" s="192">
        <f>'Données projet'!A114</f>
        <v>20</v>
      </c>
      <c r="B116" s="193">
        <f>'Données projet'!D114</f>
        <v>0</v>
      </c>
      <c r="C116" s="204">
        <v>0</v>
      </c>
      <c r="D116" s="191">
        <f>B116*C116</f>
        <v>0</v>
      </c>
      <c r="E116" s="206"/>
      <c r="F116" s="262"/>
      <c r="G116" s="221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3">
      <c r="A117" s="192">
        <f>'Données projet'!A115</f>
        <v>25</v>
      </c>
      <c r="B117" s="193">
        <f>'Données projet'!D115</f>
        <v>8</v>
      </c>
      <c r="C117" s="204">
        <v>0</v>
      </c>
      <c r="D117" s="191">
        <f t="shared" ref="D117:D135" si="8">B117*C117</f>
        <v>0</v>
      </c>
      <c r="E117" s="206"/>
      <c r="F117" s="262"/>
      <c r="G117" s="221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3">
      <c r="A118" s="192">
        <f>'Données projet'!A116</f>
        <v>30</v>
      </c>
      <c r="B118" s="193">
        <f>'Données projet'!D116</f>
        <v>0</v>
      </c>
      <c r="C118" s="204">
        <v>10</v>
      </c>
      <c r="D118" s="191">
        <f t="shared" si="8"/>
        <v>0</v>
      </c>
      <c r="E118" s="206"/>
      <c r="F118" s="262"/>
      <c r="G118" s="221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3">
      <c r="A119" s="192">
        <f>'Données projet'!A117</f>
        <v>35</v>
      </c>
      <c r="B119" s="193">
        <f>'Données projet'!D117</f>
        <v>42</v>
      </c>
      <c r="C119" s="206">
        <v>0</v>
      </c>
      <c r="D119" s="191">
        <f t="shared" si="8"/>
        <v>0</v>
      </c>
      <c r="E119" s="206"/>
      <c r="F119" s="262"/>
      <c r="G119" s="221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3">
      <c r="A120" s="192">
        <f>'Données projet'!A118</f>
        <v>40</v>
      </c>
      <c r="B120" s="193">
        <f>'Données projet'!D118</f>
        <v>0</v>
      </c>
      <c r="C120" s="206">
        <v>15</v>
      </c>
      <c r="D120" s="191">
        <f t="shared" si="8"/>
        <v>0</v>
      </c>
      <c r="E120" s="206"/>
      <c r="F120" s="262"/>
      <c r="G120" s="221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3">
      <c r="A121" s="192">
        <f>'Données projet'!A119</f>
        <v>45</v>
      </c>
      <c r="B121" s="193">
        <f>'Données projet'!D119</f>
        <v>42</v>
      </c>
      <c r="C121" s="206">
        <v>0</v>
      </c>
      <c r="D121" s="191">
        <f t="shared" si="8"/>
        <v>0</v>
      </c>
      <c r="E121" s="206"/>
      <c r="F121" s="262"/>
      <c r="G121" s="221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3">
      <c r="A122" s="192">
        <f>'Données projet'!A120</f>
        <v>50</v>
      </c>
      <c r="B122" s="193">
        <f>'Données projet'!D120</f>
        <v>0</v>
      </c>
      <c r="C122" s="206">
        <v>20</v>
      </c>
      <c r="D122" s="191">
        <f t="shared" si="8"/>
        <v>0</v>
      </c>
      <c r="E122" s="206"/>
      <c r="F122" s="262"/>
      <c r="G122" s="222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3">
      <c r="A123" s="192">
        <f>'Données projet'!A121</f>
        <v>55</v>
      </c>
      <c r="B123" s="193">
        <f>'Données projet'!D121</f>
        <v>42</v>
      </c>
      <c r="C123" s="206">
        <v>0</v>
      </c>
      <c r="D123" s="191">
        <f t="shared" si="8"/>
        <v>0</v>
      </c>
      <c r="E123" s="206"/>
      <c r="F123" s="262"/>
      <c r="G123" s="222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3">
      <c r="A124" s="192">
        <f>'Données projet'!A122</f>
        <v>60</v>
      </c>
      <c r="B124" s="193">
        <f>'Données projet'!D122</f>
        <v>0</v>
      </c>
      <c r="C124" s="206">
        <v>30</v>
      </c>
      <c r="D124" s="191">
        <f t="shared" si="8"/>
        <v>0</v>
      </c>
      <c r="E124" s="206"/>
      <c r="F124" s="262"/>
      <c r="G124" s="222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3">
      <c r="A125" s="192">
        <f>'Données projet'!A123</f>
        <v>65</v>
      </c>
      <c r="B125" s="193">
        <f>'Données projet'!D123</f>
        <v>42</v>
      </c>
      <c r="C125" s="206">
        <v>0</v>
      </c>
      <c r="D125" s="191">
        <f t="shared" si="8"/>
        <v>0</v>
      </c>
      <c r="E125" s="206"/>
      <c r="F125" s="262"/>
      <c r="G125" s="222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3">
      <c r="A126" s="192">
        <f>'Données projet'!A124</f>
        <v>70</v>
      </c>
      <c r="B126" s="193">
        <f>'Données projet'!D124</f>
        <v>0</v>
      </c>
      <c r="C126" s="206">
        <v>40</v>
      </c>
      <c r="D126" s="191">
        <f t="shared" si="8"/>
        <v>0</v>
      </c>
      <c r="E126" s="206"/>
      <c r="F126" s="262"/>
      <c r="G126" s="222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3">
      <c r="A127" s="192">
        <f>'Données projet'!A125</f>
        <v>75</v>
      </c>
      <c r="B127" s="193">
        <f>'Données projet'!D125</f>
        <v>42</v>
      </c>
      <c r="C127" s="206">
        <v>0</v>
      </c>
      <c r="D127" s="191">
        <f t="shared" si="8"/>
        <v>0</v>
      </c>
      <c r="E127" s="206"/>
      <c r="F127" s="262"/>
      <c r="G127" s="222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3">
      <c r="A128" s="192">
        <f>'Données projet'!A126</f>
        <v>80</v>
      </c>
      <c r="B128" s="193">
        <f>'Données projet'!D126</f>
        <v>0</v>
      </c>
      <c r="C128" s="206">
        <v>55</v>
      </c>
      <c r="D128" s="191">
        <f t="shared" si="8"/>
        <v>0</v>
      </c>
      <c r="E128" s="206"/>
      <c r="F128" s="262"/>
      <c r="G128" s="222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3">
      <c r="A129" s="192">
        <f>'Données projet'!A127</f>
        <v>90</v>
      </c>
      <c r="B129" s="193">
        <f>'Données projet'!D127</f>
        <v>42</v>
      </c>
      <c r="C129" s="206">
        <v>0</v>
      </c>
      <c r="D129" s="191">
        <f t="shared" si="8"/>
        <v>0</v>
      </c>
      <c r="E129" s="206"/>
      <c r="F129" s="262"/>
      <c r="G129" s="222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3">
      <c r="A130" s="192">
        <f>'Données projet'!A128</f>
        <v>100</v>
      </c>
      <c r="B130" s="193">
        <f>'Données projet'!D128</f>
        <v>42</v>
      </c>
      <c r="C130" s="206">
        <v>60</v>
      </c>
      <c r="D130" s="191">
        <f t="shared" si="8"/>
        <v>2520</v>
      </c>
      <c r="E130" s="206"/>
      <c r="F130" s="262"/>
      <c r="G130" s="222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3">
      <c r="A131" s="192">
        <f>'Données projet'!A129</f>
        <v>110</v>
      </c>
      <c r="B131" s="193">
        <f>'Données projet'!D129</f>
        <v>39</v>
      </c>
      <c r="C131" s="204">
        <v>0</v>
      </c>
      <c r="D131" s="191">
        <f t="shared" si="8"/>
        <v>0</v>
      </c>
      <c r="E131" s="206"/>
      <c r="F131" s="262"/>
      <c r="G131" s="222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3">
      <c r="A132" s="192">
        <f>'Données projet'!A130</f>
        <v>120</v>
      </c>
      <c r="B132" s="193">
        <f>'Données projet'!D130</f>
        <v>35</v>
      </c>
      <c r="C132" s="204">
        <v>0</v>
      </c>
      <c r="D132" s="191">
        <f t="shared" si="8"/>
        <v>0</v>
      </c>
      <c r="E132" s="206"/>
      <c r="F132" s="262"/>
      <c r="G132" s="222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3">
      <c r="A133" s="192">
        <f>'Données projet'!A131</f>
        <v>130</v>
      </c>
      <c r="B133" s="193">
        <f>'Données projet'!D131</f>
        <v>31</v>
      </c>
      <c r="C133" s="204">
        <v>0</v>
      </c>
      <c r="D133" s="191">
        <f t="shared" si="8"/>
        <v>0</v>
      </c>
      <c r="E133" s="206"/>
      <c r="F133" s="262"/>
      <c r="G133" s="222"/>
      <c r="H133" s="203"/>
      <c r="I133" s="204"/>
      <c r="J133" s="5"/>
      <c r="K133" s="183"/>
      <c r="Q133" s="26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3">
      <c r="A134" s="192">
        <f>'Données projet'!A132</f>
        <v>140</v>
      </c>
      <c r="B134" s="193">
        <f>'Données projet'!D132</f>
        <v>27</v>
      </c>
      <c r="C134" s="204">
        <v>0</v>
      </c>
      <c r="D134" s="191">
        <f t="shared" si="8"/>
        <v>0</v>
      </c>
      <c r="E134" s="206"/>
      <c r="F134" s="262"/>
      <c r="G134" s="222"/>
      <c r="H134" s="203"/>
      <c r="I134" s="204"/>
      <c r="J134" s="5"/>
      <c r="K134" s="183"/>
      <c r="Q134" s="26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3">
      <c r="A135" s="192">
        <f>'Données projet'!A133</f>
        <v>150</v>
      </c>
      <c r="B135" s="193">
        <f>'Données projet'!D133</f>
        <v>293</v>
      </c>
      <c r="C135" s="204">
        <v>0</v>
      </c>
      <c r="D135" s="191">
        <f t="shared" si="8"/>
        <v>0</v>
      </c>
      <c r="E135" s="206"/>
      <c r="F135" s="262"/>
      <c r="G135" s="222"/>
      <c r="H135" s="203"/>
      <c r="I135" s="204"/>
      <c r="J135" s="5"/>
      <c r="K135" s="183"/>
      <c r="Q135" s="26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3">
      <c r="A136" s="5"/>
      <c r="B136" s="5"/>
      <c r="C136" s="5"/>
      <c r="D136" s="5"/>
      <c r="E136" s="5"/>
      <c r="F136" s="260"/>
      <c r="G136" s="222"/>
      <c r="H136" s="203"/>
      <c r="I136" s="204"/>
      <c r="J136" s="5"/>
      <c r="K136" s="183"/>
      <c r="L136" s="5"/>
      <c r="M136" s="5"/>
      <c r="N136" s="5"/>
      <c r="Q136" s="26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3">
      <c r="A137" s="5"/>
      <c r="B137" s="5"/>
      <c r="C137" s="5"/>
      <c r="D137" s="5"/>
      <c r="E137" s="5"/>
      <c r="F137" s="260"/>
      <c r="G137" s="222"/>
      <c r="H137" s="203"/>
      <c r="I137" s="204"/>
      <c r="J137" s="5"/>
      <c r="K137" s="183"/>
      <c r="L137" s="5"/>
      <c r="M137" s="5"/>
      <c r="N137" s="5"/>
      <c r="Q137" s="26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3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0"/>
      <c r="G138" s="222"/>
      <c r="H138" s="203"/>
      <c r="I138" s="204"/>
      <c r="J138" s="5"/>
      <c r="K138" s="183"/>
      <c r="L138" s="5"/>
      <c r="M138" s="5"/>
      <c r="N138" s="5"/>
      <c r="Q138" s="26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3">
      <c r="A139" s="5"/>
      <c r="B139" s="5"/>
      <c r="C139" s="5"/>
      <c r="D139" s="5"/>
      <c r="E139" s="5"/>
      <c r="F139" s="260"/>
      <c r="G139" s="222"/>
      <c r="H139" s="203"/>
      <c r="I139" s="204"/>
      <c r="J139" s="5"/>
      <c r="K139" s="183"/>
      <c r="L139" s="5"/>
      <c r="M139" s="5"/>
      <c r="N139" s="5"/>
      <c r="Q139" s="26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3">
      <c r="A140" s="256" t="s">
        <v>180</v>
      </c>
      <c r="B140" s="51" t="s">
        <v>256</v>
      </c>
      <c r="C140" s="51" t="s">
        <v>255</v>
      </c>
      <c r="D140" s="256" t="s">
        <v>252</v>
      </c>
      <c r="E140" s="256" t="s">
        <v>320</v>
      </c>
      <c r="F140" s="261"/>
      <c r="G140" s="222"/>
      <c r="H140" s="203"/>
      <c r="I140" s="204"/>
      <c r="J140" s="5"/>
      <c r="K140" s="183"/>
      <c r="L140" s="5"/>
      <c r="M140" s="5"/>
      <c r="N140" s="5"/>
      <c r="Q140" s="26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3">
      <c r="A141" s="209">
        <v>0</v>
      </c>
      <c r="B141" s="212" t="s">
        <v>132</v>
      </c>
      <c r="C141" s="211" t="s">
        <v>132</v>
      </c>
      <c r="D141" s="210" t="s">
        <v>132</v>
      </c>
      <c r="E141" s="206"/>
      <c r="F141" s="261"/>
      <c r="G141" s="222"/>
      <c r="H141" s="203"/>
      <c r="I141" s="204"/>
      <c r="J141" s="5"/>
      <c r="K141" s="183"/>
      <c r="L141" s="5"/>
      <c r="M141" s="5"/>
      <c r="N141" s="5"/>
      <c r="Q141" s="26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3">
      <c r="A142" s="209">
        <v>1</v>
      </c>
      <c r="B142" s="212" t="s">
        <v>132</v>
      </c>
      <c r="C142" s="211" t="s">
        <v>132</v>
      </c>
      <c r="D142" s="210" t="s">
        <v>132</v>
      </c>
      <c r="E142" s="206"/>
      <c r="F142" s="261"/>
      <c r="G142" s="220"/>
      <c r="H142" s="203"/>
      <c r="I142" s="204"/>
      <c r="J142" s="5"/>
      <c r="K142" s="183"/>
      <c r="L142" s="5"/>
      <c r="M142" s="5"/>
      <c r="N142" s="5"/>
      <c r="Q142" s="26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3">
      <c r="A143" s="209">
        <v>2</v>
      </c>
      <c r="B143" s="212" t="s">
        <v>132</v>
      </c>
      <c r="C143" s="211" t="s">
        <v>132</v>
      </c>
      <c r="D143" s="210" t="s">
        <v>132</v>
      </c>
      <c r="E143" s="206"/>
      <c r="F143" s="261"/>
      <c r="G143" s="220"/>
      <c r="H143" s="203"/>
      <c r="I143" s="204"/>
      <c r="J143" s="5"/>
      <c r="K143" s="183"/>
      <c r="L143" s="5"/>
      <c r="M143" s="5"/>
      <c r="N143" s="5"/>
      <c r="Q143" s="26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3">
      <c r="A144" s="209">
        <v>3</v>
      </c>
      <c r="B144" s="212" t="s">
        <v>132</v>
      </c>
      <c r="C144" s="211" t="s">
        <v>132</v>
      </c>
      <c r="D144" s="210" t="s">
        <v>132</v>
      </c>
      <c r="E144" s="206"/>
      <c r="F144" s="261"/>
      <c r="G144" s="220"/>
      <c r="H144" s="203"/>
      <c r="I144" s="204"/>
      <c r="J144" s="5"/>
      <c r="K144" s="183"/>
      <c r="L144" s="5"/>
      <c r="M144" s="5"/>
      <c r="N144" s="5"/>
      <c r="Q144" s="26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3">
      <c r="A145" s="209">
        <v>4</v>
      </c>
      <c r="B145" s="212" t="s">
        <v>132</v>
      </c>
      <c r="C145" s="211" t="s">
        <v>132</v>
      </c>
      <c r="D145" s="210" t="s">
        <v>132</v>
      </c>
      <c r="E145" s="206"/>
      <c r="F145" s="261"/>
      <c r="G145" s="220"/>
      <c r="H145" s="203"/>
      <c r="I145" s="204"/>
      <c r="J145" s="5"/>
      <c r="K145" s="183"/>
      <c r="L145" s="5"/>
      <c r="M145" s="5"/>
      <c r="N145" s="5"/>
      <c r="Q145" s="26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3">
      <c r="A146" s="209">
        <v>5</v>
      </c>
      <c r="B146" s="212" t="s">
        <v>132</v>
      </c>
      <c r="C146" s="211" t="s">
        <v>132</v>
      </c>
      <c r="D146" s="210" t="s">
        <v>132</v>
      </c>
      <c r="E146" s="206"/>
      <c r="F146" s="261"/>
      <c r="G146" s="221"/>
      <c r="H146" s="203"/>
      <c r="I146" s="204"/>
      <c r="J146" s="5"/>
      <c r="K146" s="183"/>
      <c r="L146" s="5"/>
      <c r="M146" s="5"/>
      <c r="N146" s="5"/>
      <c r="Q146" s="26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3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3"/>
      <c r="G147" s="221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3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3"/>
      <c r="G148" s="221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3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3"/>
      <c r="G149" s="221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3">
      <c r="A150" s="45">
        <f>'Données projet'!A143</f>
        <v>0</v>
      </c>
      <c r="B150" s="187">
        <f>'Données projet'!D143</f>
        <v>0</v>
      </c>
      <c r="C150" s="206"/>
      <c r="D150" s="194">
        <f t="shared" si="10"/>
        <v>0</v>
      </c>
      <c r="E150" s="206"/>
      <c r="F150" s="263"/>
      <c r="G150" s="221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3">
      <c r="A151" s="45">
        <f>'Données projet'!A144</f>
        <v>0</v>
      </c>
      <c r="B151" s="187">
        <f>'Données projet'!D144</f>
        <v>0</v>
      </c>
      <c r="C151" s="206"/>
      <c r="D151" s="194">
        <f t="shared" si="10"/>
        <v>0</v>
      </c>
      <c r="E151" s="206"/>
      <c r="F151" s="263"/>
      <c r="G151" s="221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3">
      <c r="A152" s="45">
        <f>'Données projet'!A145</f>
        <v>0</v>
      </c>
      <c r="B152" s="187">
        <f>'Données projet'!D145</f>
        <v>0</v>
      </c>
      <c r="C152" s="206"/>
      <c r="D152" s="194">
        <f t="shared" si="10"/>
        <v>0</v>
      </c>
      <c r="E152" s="206"/>
      <c r="F152" s="263"/>
      <c r="G152" s="221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3">
      <c r="A153" s="45">
        <f>'Données projet'!A146</f>
        <v>0</v>
      </c>
      <c r="B153" s="187">
        <f>'Données projet'!D146</f>
        <v>0</v>
      </c>
      <c r="C153" s="206"/>
      <c r="D153" s="194">
        <f t="shared" si="10"/>
        <v>0</v>
      </c>
      <c r="E153" s="206"/>
      <c r="F153" s="263"/>
      <c r="G153" s="217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3">
      <c r="A154" s="45">
        <f>'Données projet'!A147</f>
        <v>0</v>
      </c>
      <c r="B154" s="187">
        <f>'Données projet'!D147</f>
        <v>0</v>
      </c>
      <c r="C154" s="206"/>
      <c r="D154" s="194">
        <f t="shared" si="10"/>
        <v>0</v>
      </c>
      <c r="E154" s="206"/>
      <c r="F154" s="263"/>
      <c r="G154" s="217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3">
      <c r="A155" s="45">
        <f>'Données projet'!A148</f>
        <v>0</v>
      </c>
      <c r="B155" s="187">
        <f>'Données projet'!D148</f>
        <v>0</v>
      </c>
      <c r="C155" s="206"/>
      <c r="D155" s="194">
        <f t="shared" si="10"/>
        <v>0</v>
      </c>
      <c r="E155" s="206"/>
      <c r="F155" s="263"/>
      <c r="G155" s="217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3">
      <c r="A156" s="45">
        <f>'Données projet'!A149</f>
        <v>0</v>
      </c>
      <c r="B156" s="187">
        <f>'Données projet'!D149</f>
        <v>0</v>
      </c>
      <c r="C156" s="206"/>
      <c r="D156" s="194">
        <f t="shared" si="10"/>
        <v>0</v>
      </c>
      <c r="E156" s="206"/>
      <c r="F156" s="263"/>
      <c r="G156" s="217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3">
      <c r="A157" s="45">
        <f>'Données projet'!A150</f>
        <v>0</v>
      </c>
      <c r="B157" s="187">
        <f>'Données projet'!D150</f>
        <v>0</v>
      </c>
      <c r="C157" s="206"/>
      <c r="D157" s="194">
        <f t="shared" si="10"/>
        <v>0</v>
      </c>
      <c r="E157" s="206"/>
      <c r="F157" s="263"/>
      <c r="G157" s="217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3">
      <c r="A158" s="45">
        <f>'Données projet'!A151</f>
        <v>0</v>
      </c>
      <c r="B158" s="187">
        <f>'Données projet'!D151</f>
        <v>0</v>
      </c>
      <c r="C158" s="206"/>
      <c r="D158" s="194">
        <f t="shared" si="10"/>
        <v>0</v>
      </c>
      <c r="E158" s="206"/>
      <c r="F158" s="263"/>
      <c r="G158" s="217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3">
      <c r="A159" s="45">
        <f>'Données projet'!A152</f>
        <v>0</v>
      </c>
      <c r="B159" s="187">
        <f>'Données projet'!D152</f>
        <v>0</v>
      </c>
      <c r="C159" s="206"/>
      <c r="D159" s="194">
        <f t="shared" si="10"/>
        <v>0</v>
      </c>
      <c r="E159" s="206"/>
      <c r="F159" s="263"/>
      <c r="G159" s="217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3">
      <c r="A160" s="45">
        <f>'Données projet'!A153</f>
        <v>0</v>
      </c>
      <c r="B160" s="187">
        <f>'Données projet'!D153</f>
        <v>0</v>
      </c>
      <c r="C160" s="206"/>
      <c r="D160" s="194">
        <f t="shared" si="10"/>
        <v>0</v>
      </c>
      <c r="E160" s="206"/>
      <c r="F160" s="263"/>
      <c r="G160" s="217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3">
      <c r="A161" s="45">
        <f>'Données projet'!A154</f>
        <v>0</v>
      </c>
      <c r="B161" s="187">
        <f>'Données projet'!D154</f>
        <v>0</v>
      </c>
      <c r="C161" s="206"/>
      <c r="D161" s="194">
        <f t="shared" si="10"/>
        <v>0</v>
      </c>
      <c r="E161" s="206"/>
      <c r="F161" s="263"/>
      <c r="G161" s="217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3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3"/>
      <c r="G162" s="217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3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3"/>
      <c r="G163" s="217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3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3"/>
      <c r="G164" s="217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3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3"/>
      <c r="G165" s="217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3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3"/>
      <c r="G166" s="217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3">
      <c r="A167" s="5"/>
      <c r="B167" s="5"/>
      <c r="C167" s="5"/>
      <c r="D167" s="5"/>
      <c r="E167" s="5"/>
      <c r="F167" s="260"/>
      <c r="G167" s="217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3">
      <c r="A168" s="5"/>
      <c r="B168" s="5"/>
      <c r="C168" s="5"/>
      <c r="D168" s="5"/>
      <c r="E168" s="5"/>
      <c r="F168" s="260"/>
      <c r="G168" s="217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3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0"/>
      <c r="G169" s="217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3">
      <c r="A170" s="5"/>
      <c r="B170" s="5"/>
      <c r="C170" s="5"/>
      <c r="D170" s="5"/>
      <c r="E170" s="5"/>
      <c r="F170" s="260"/>
      <c r="G170" s="217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3">
      <c r="A171" s="256" t="s">
        <v>180</v>
      </c>
      <c r="B171" s="51" t="s">
        <v>256</v>
      </c>
      <c r="C171" s="51" t="s">
        <v>255</v>
      </c>
      <c r="D171" s="256" t="s">
        <v>252</v>
      </c>
      <c r="E171" s="256" t="s">
        <v>320</v>
      </c>
      <c r="F171" s="261"/>
      <c r="G171" s="217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3">
      <c r="A172" s="209">
        <v>0</v>
      </c>
      <c r="B172" s="212" t="s">
        <v>132</v>
      </c>
      <c r="C172" s="211" t="s">
        <v>132</v>
      </c>
      <c r="D172" s="210" t="s">
        <v>132</v>
      </c>
      <c r="E172" s="206"/>
      <c r="F172" s="261"/>
      <c r="G172" s="217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3">
      <c r="A173" s="209">
        <v>1</v>
      </c>
      <c r="B173" s="212" t="s">
        <v>132</v>
      </c>
      <c r="C173" s="211" t="s">
        <v>132</v>
      </c>
      <c r="D173" s="210" t="s">
        <v>132</v>
      </c>
      <c r="E173" s="206"/>
      <c r="F173" s="261"/>
      <c r="G173" s="220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3">
      <c r="A174" s="209">
        <v>2</v>
      </c>
      <c r="B174" s="212" t="s">
        <v>132</v>
      </c>
      <c r="C174" s="211" t="s">
        <v>132</v>
      </c>
      <c r="D174" s="210" t="s">
        <v>132</v>
      </c>
      <c r="E174" s="206"/>
      <c r="F174" s="261"/>
      <c r="G174" s="220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3">
      <c r="A175" s="209">
        <v>3</v>
      </c>
      <c r="B175" s="212" t="s">
        <v>132</v>
      </c>
      <c r="C175" s="211" t="s">
        <v>132</v>
      </c>
      <c r="D175" s="210" t="s">
        <v>132</v>
      </c>
      <c r="E175" s="206"/>
      <c r="F175" s="261"/>
      <c r="G175" s="220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3">
      <c r="A176" s="209">
        <v>4</v>
      </c>
      <c r="B176" s="212" t="s">
        <v>132</v>
      </c>
      <c r="C176" s="211" t="s">
        <v>132</v>
      </c>
      <c r="D176" s="210" t="s">
        <v>132</v>
      </c>
      <c r="E176" s="206"/>
      <c r="F176" s="261"/>
      <c r="G176" s="220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3">
      <c r="A177" s="209">
        <v>5</v>
      </c>
      <c r="B177" s="212" t="s">
        <v>132</v>
      </c>
      <c r="C177" s="211" t="s">
        <v>132</v>
      </c>
      <c r="D177" s="210" t="s">
        <v>132</v>
      </c>
      <c r="E177" s="206"/>
      <c r="F177" s="261"/>
      <c r="G177" s="221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3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2"/>
      <c r="G178" s="221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3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2"/>
      <c r="G179" s="221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3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2"/>
      <c r="G180" s="221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3">
      <c r="A181" s="192">
        <f>'Données projet'!A169</f>
        <v>0</v>
      </c>
      <c r="B181" s="193">
        <f>'Données projet'!D169</f>
        <v>0</v>
      </c>
      <c r="C181" s="204"/>
      <c r="D181" s="191">
        <f t="shared" si="11"/>
        <v>0</v>
      </c>
      <c r="E181" s="206"/>
      <c r="F181" s="262"/>
      <c r="G181" s="221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3">
      <c r="A182" s="192">
        <f>'Données projet'!A170</f>
        <v>0</v>
      </c>
      <c r="B182" s="193">
        <f>'Données projet'!D170</f>
        <v>0</v>
      </c>
      <c r="C182" s="204"/>
      <c r="D182" s="191">
        <f t="shared" si="11"/>
        <v>0</v>
      </c>
      <c r="E182" s="206"/>
      <c r="F182" s="262"/>
      <c r="G182" s="221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3">
      <c r="A183" s="192">
        <f>'Données projet'!A171</f>
        <v>0</v>
      </c>
      <c r="B183" s="193">
        <f>'Données projet'!D171</f>
        <v>0</v>
      </c>
      <c r="C183" s="204"/>
      <c r="D183" s="191">
        <f t="shared" si="11"/>
        <v>0</v>
      </c>
      <c r="E183" s="206"/>
      <c r="F183" s="262"/>
      <c r="G183" s="221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3">
      <c r="A184" s="192">
        <f>'Données projet'!A172</f>
        <v>0</v>
      </c>
      <c r="B184" s="193">
        <f>'Données projet'!D172</f>
        <v>0</v>
      </c>
      <c r="C184" s="204"/>
      <c r="D184" s="191">
        <f t="shared" si="11"/>
        <v>0</v>
      </c>
      <c r="E184" s="206"/>
      <c r="F184" s="262"/>
      <c r="G184" s="222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3">
      <c r="A185" s="192">
        <f>'Données projet'!A173</f>
        <v>0</v>
      </c>
      <c r="B185" s="193">
        <f>'Données projet'!D173</f>
        <v>0</v>
      </c>
      <c r="C185" s="204"/>
      <c r="D185" s="191">
        <f t="shared" si="11"/>
        <v>0</v>
      </c>
      <c r="E185" s="206"/>
      <c r="F185" s="262"/>
      <c r="G185" s="222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3">
      <c r="A186" s="192">
        <f>'Données projet'!A174</f>
        <v>0</v>
      </c>
      <c r="B186" s="193">
        <f>'Données projet'!D174</f>
        <v>0</v>
      </c>
      <c r="C186" s="204"/>
      <c r="D186" s="191">
        <f t="shared" si="11"/>
        <v>0</v>
      </c>
      <c r="E186" s="206"/>
      <c r="F186" s="262"/>
      <c r="G186" s="222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3">
      <c r="A187" s="192">
        <f>'Données projet'!A175</f>
        <v>0</v>
      </c>
      <c r="B187" s="193">
        <f>'Données projet'!D175</f>
        <v>0</v>
      </c>
      <c r="C187" s="204"/>
      <c r="D187" s="191">
        <f t="shared" si="11"/>
        <v>0</v>
      </c>
      <c r="E187" s="206"/>
      <c r="F187" s="262"/>
      <c r="G187" s="222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3">
      <c r="A188" s="192">
        <f>'Données projet'!A176</f>
        <v>0</v>
      </c>
      <c r="B188" s="193">
        <f>'Données projet'!D176</f>
        <v>0</v>
      </c>
      <c r="C188" s="204"/>
      <c r="D188" s="191">
        <f t="shared" si="11"/>
        <v>0</v>
      </c>
      <c r="E188" s="206"/>
      <c r="F188" s="262"/>
      <c r="G188" s="222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3">
      <c r="A189" s="192">
        <f>'Données projet'!A177</f>
        <v>0</v>
      </c>
      <c r="B189" s="193">
        <f>'Données projet'!D177</f>
        <v>0</v>
      </c>
      <c r="C189" s="204"/>
      <c r="D189" s="191">
        <f t="shared" si="11"/>
        <v>0</v>
      </c>
      <c r="E189" s="206"/>
      <c r="F189" s="262"/>
      <c r="G189" s="222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3">
      <c r="A190" s="192">
        <f>'Données projet'!A178</f>
        <v>0</v>
      </c>
      <c r="B190" s="193">
        <f>'Données projet'!D178</f>
        <v>0</v>
      </c>
      <c r="C190" s="204"/>
      <c r="D190" s="191">
        <f t="shared" si="11"/>
        <v>0</v>
      </c>
      <c r="E190" s="206"/>
      <c r="F190" s="262"/>
      <c r="G190" s="222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3">
      <c r="A191" s="192">
        <f>'Données projet'!A179</f>
        <v>0</v>
      </c>
      <c r="B191" s="193">
        <f>'Données projet'!D179</f>
        <v>0</v>
      </c>
      <c r="C191" s="204"/>
      <c r="D191" s="191">
        <f t="shared" si="11"/>
        <v>0</v>
      </c>
      <c r="E191" s="206"/>
      <c r="F191" s="262"/>
      <c r="G191" s="222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3">
      <c r="A192" s="192">
        <f>'Données projet'!A180</f>
        <v>0</v>
      </c>
      <c r="B192" s="193">
        <f>'Données projet'!D180</f>
        <v>0</v>
      </c>
      <c r="C192" s="204"/>
      <c r="D192" s="191">
        <f t="shared" si="11"/>
        <v>0</v>
      </c>
      <c r="E192" s="206"/>
      <c r="F192" s="262"/>
      <c r="G192" s="222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3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2"/>
      <c r="G193" s="222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3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2"/>
      <c r="G194" s="222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3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2"/>
      <c r="G195" s="222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3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2"/>
      <c r="G196" s="222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3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2"/>
      <c r="G197" s="222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3">
      <c r="A198" s="5"/>
      <c r="B198" s="5"/>
      <c r="C198" s="5"/>
      <c r="D198" s="5"/>
      <c r="E198" s="5"/>
      <c r="F198" s="260"/>
      <c r="G198" s="222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3">
      <c r="A199" s="5"/>
      <c r="B199" s="5"/>
      <c r="C199" s="5"/>
      <c r="D199" s="5"/>
      <c r="E199" s="5"/>
      <c r="F199" s="260"/>
      <c r="G199" s="222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3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0"/>
      <c r="G200" s="222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3">
      <c r="A201" s="49"/>
      <c r="B201" s="5"/>
      <c r="C201" s="5"/>
      <c r="D201" s="5"/>
      <c r="E201" s="5"/>
      <c r="F201" s="260"/>
      <c r="G201" s="222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3">
      <c r="A202" s="256" t="s">
        <v>180</v>
      </c>
      <c r="B202" s="51" t="s">
        <v>256</v>
      </c>
      <c r="C202" s="51" t="s">
        <v>255</v>
      </c>
      <c r="D202" s="256" t="s">
        <v>252</v>
      </c>
      <c r="E202" s="256" t="s">
        <v>320</v>
      </c>
      <c r="F202" s="261"/>
      <c r="G202" s="222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3">
      <c r="A203" s="209">
        <v>0</v>
      </c>
      <c r="B203" s="212" t="s">
        <v>132</v>
      </c>
      <c r="C203" s="211" t="s">
        <v>132</v>
      </c>
      <c r="D203" s="210" t="s">
        <v>132</v>
      </c>
      <c r="E203" s="206"/>
      <c r="F203" s="261"/>
      <c r="G203" s="222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3">
      <c r="A204" s="209">
        <v>1</v>
      </c>
      <c r="B204" s="212" t="s">
        <v>132</v>
      </c>
      <c r="C204" s="211" t="s">
        <v>132</v>
      </c>
      <c r="D204" s="210" t="s">
        <v>132</v>
      </c>
      <c r="E204" s="206"/>
      <c r="F204" s="261"/>
      <c r="G204" s="220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3">
      <c r="A205" s="209">
        <v>2</v>
      </c>
      <c r="B205" s="212" t="s">
        <v>132</v>
      </c>
      <c r="C205" s="211" t="s">
        <v>132</v>
      </c>
      <c r="D205" s="210" t="s">
        <v>132</v>
      </c>
      <c r="E205" s="206"/>
      <c r="F205" s="261"/>
      <c r="G205" s="220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3">
      <c r="A206" s="209">
        <v>3</v>
      </c>
      <c r="B206" s="212" t="s">
        <v>132</v>
      </c>
      <c r="C206" s="211" t="s">
        <v>132</v>
      </c>
      <c r="D206" s="210" t="s">
        <v>132</v>
      </c>
      <c r="E206" s="206"/>
      <c r="F206" s="261"/>
      <c r="G206" s="220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3">
      <c r="A207" s="209">
        <v>4</v>
      </c>
      <c r="B207" s="212" t="s">
        <v>132</v>
      </c>
      <c r="C207" s="211" t="s">
        <v>132</v>
      </c>
      <c r="D207" s="210" t="s">
        <v>132</v>
      </c>
      <c r="E207" s="206"/>
      <c r="F207" s="261"/>
      <c r="G207" s="220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3">
      <c r="A208" s="209">
        <v>5</v>
      </c>
      <c r="B208" s="212" t="s">
        <v>132</v>
      </c>
      <c r="C208" s="211" t="s">
        <v>132</v>
      </c>
      <c r="D208" s="210" t="s">
        <v>132</v>
      </c>
      <c r="E208" s="206"/>
      <c r="F208" s="261"/>
      <c r="G208" s="221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3">
      <c r="A209" s="192">
        <f>'Données projet'!A192</f>
        <v>0</v>
      </c>
      <c r="B209" s="193">
        <f>'Données projet'!D192</f>
        <v>0</v>
      </c>
      <c r="C209" s="204"/>
      <c r="D209" s="191">
        <f>B209*C209</f>
        <v>0</v>
      </c>
      <c r="E209" s="206"/>
      <c r="F209" s="262"/>
      <c r="G209" s="221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3">
      <c r="A210" s="192">
        <f>'Données projet'!A193</f>
        <v>0</v>
      </c>
      <c r="B210" s="193">
        <f>'Données projet'!D193</f>
        <v>0</v>
      </c>
      <c r="C210" s="204"/>
      <c r="D210" s="191">
        <f t="shared" ref="D210:D228" si="12">B210*C210</f>
        <v>0</v>
      </c>
      <c r="E210" s="206"/>
      <c r="F210" s="262"/>
      <c r="G210" s="221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3">
      <c r="A211" s="192">
        <f>'Données projet'!A194</f>
        <v>0</v>
      </c>
      <c r="B211" s="193">
        <f>'Données projet'!D194</f>
        <v>0</v>
      </c>
      <c r="C211" s="204"/>
      <c r="D211" s="191">
        <f t="shared" si="12"/>
        <v>0</v>
      </c>
      <c r="E211" s="206"/>
      <c r="F211" s="262"/>
      <c r="G211" s="221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3">
      <c r="A212" s="192">
        <f>'Données projet'!A195</f>
        <v>0</v>
      </c>
      <c r="B212" s="193">
        <f>'Données projet'!D195</f>
        <v>0</v>
      </c>
      <c r="C212" s="204"/>
      <c r="D212" s="191">
        <f t="shared" si="12"/>
        <v>0</v>
      </c>
      <c r="E212" s="206"/>
      <c r="F212" s="262"/>
      <c r="G212" s="221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3">
      <c r="A213" s="192">
        <f>'Données projet'!A196</f>
        <v>0</v>
      </c>
      <c r="B213" s="193">
        <f>'Données projet'!D196</f>
        <v>0</v>
      </c>
      <c r="C213" s="204"/>
      <c r="D213" s="191">
        <f t="shared" si="12"/>
        <v>0</v>
      </c>
      <c r="E213" s="206"/>
      <c r="F213" s="262"/>
      <c r="G213" s="221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3">
      <c r="A214" s="192">
        <f>'Données projet'!A197</f>
        <v>0</v>
      </c>
      <c r="B214" s="193">
        <f>'Données projet'!D197</f>
        <v>0</v>
      </c>
      <c r="C214" s="204"/>
      <c r="D214" s="191">
        <f t="shared" si="12"/>
        <v>0</v>
      </c>
      <c r="E214" s="206"/>
      <c r="F214" s="262"/>
      <c r="G214" s="221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3">
      <c r="A215" s="192">
        <f>'Données projet'!A198</f>
        <v>0</v>
      </c>
      <c r="B215" s="193">
        <f>'Données projet'!D198</f>
        <v>0</v>
      </c>
      <c r="C215" s="204"/>
      <c r="D215" s="191">
        <f t="shared" si="12"/>
        <v>0</v>
      </c>
      <c r="E215" s="206"/>
      <c r="F215" s="262"/>
      <c r="G215" s="222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3">
      <c r="A216" s="192">
        <f>'Données projet'!A199</f>
        <v>0</v>
      </c>
      <c r="B216" s="193">
        <f>'Données projet'!D199</f>
        <v>0</v>
      </c>
      <c r="C216" s="204"/>
      <c r="D216" s="191">
        <f t="shared" si="12"/>
        <v>0</v>
      </c>
      <c r="E216" s="206"/>
      <c r="F216" s="262"/>
      <c r="G216" s="222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3">
      <c r="A217" s="192">
        <f>'Données projet'!A200</f>
        <v>0</v>
      </c>
      <c r="B217" s="193">
        <f>'Données projet'!D200</f>
        <v>0</v>
      </c>
      <c r="C217" s="204"/>
      <c r="D217" s="191">
        <f t="shared" si="12"/>
        <v>0</v>
      </c>
      <c r="E217" s="206"/>
      <c r="F217" s="262"/>
      <c r="G217" s="222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3">
      <c r="A218" s="192">
        <f>'Données projet'!A201</f>
        <v>0</v>
      </c>
      <c r="B218" s="193">
        <f>'Données projet'!D201</f>
        <v>0</v>
      </c>
      <c r="C218" s="204"/>
      <c r="D218" s="191">
        <f t="shared" si="12"/>
        <v>0</v>
      </c>
      <c r="E218" s="206"/>
      <c r="F218" s="262"/>
      <c r="G218" s="222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3">
      <c r="A219" s="192">
        <f>'Données projet'!A202</f>
        <v>0</v>
      </c>
      <c r="B219" s="193">
        <f>'Données projet'!D202</f>
        <v>0</v>
      </c>
      <c r="C219" s="204"/>
      <c r="D219" s="191">
        <f t="shared" si="12"/>
        <v>0</v>
      </c>
      <c r="E219" s="206"/>
      <c r="F219" s="262"/>
      <c r="G219" s="222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3">
      <c r="A220" s="192">
        <f>'Données projet'!A203</f>
        <v>0</v>
      </c>
      <c r="B220" s="193">
        <f>'Données projet'!D203</f>
        <v>0</v>
      </c>
      <c r="C220" s="204"/>
      <c r="D220" s="191">
        <f t="shared" si="12"/>
        <v>0</v>
      </c>
      <c r="E220" s="206"/>
      <c r="F220" s="262"/>
      <c r="G220" s="222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3">
      <c r="A221" s="192">
        <f>'Données projet'!A204</f>
        <v>0</v>
      </c>
      <c r="B221" s="193">
        <f>'Données projet'!D204</f>
        <v>0</v>
      </c>
      <c r="C221" s="204"/>
      <c r="D221" s="191">
        <f t="shared" si="12"/>
        <v>0</v>
      </c>
      <c r="E221" s="206"/>
      <c r="F221" s="262"/>
      <c r="G221" s="222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3">
      <c r="A222" s="192">
        <f>'Données projet'!A205</f>
        <v>0</v>
      </c>
      <c r="B222" s="193">
        <f>'Données projet'!D205</f>
        <v>0</v>
      </c>
      <c r="C222" s="204"/>
      <c r="D222" s="191">
        <f t="shared" si="12"/>
        <v>0</v>
      </c>
      <c r="E222" s="206"/>
      <c r="F222" s="262"/>
      <c r="G222" s="222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3">
      <c r="A223" s="192">
        <f>'Données projet'!A206</f>
        <v>0</v>
      </c>
      <c r="B223" s="193">
        <f>'Données projet'!D206</f>
        <v>0</v>
      </c>
      <c r="C223" s="204"/>
      <c r="D223" s="191">
        <f t="shared" si="12"/>
        <v>0</v>
      </c>
      <c r="E223" s="206"/>
      <c r="F223" s="262"/>
      <c r="G223" s="222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3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2"/>
      <c r="G224" s="222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3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2"/>
      <c r="G225" s="222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3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2"/>
      <c r="G226" s="222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3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2"/>
      <c r="G227" s="222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3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2"/>
      <c r="G228" s="222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3">
      <c r="A229" s="5"/>
      <c r="B229" s="5"/>
      <c r="C229" s="5"/>
      <c r="D229" s="5"/>
      <c r="E229" s="5"/>
      <c r="F229" s="260"/>
      <c r="G229" s="222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3">
      <c r="A230" s="5"/>
      <c r="B230" s="5"/>
      <c r="C230" s="5"/>
      <c r="D230" s="5"/>
      <c r="E230" s="5"/>
      <c r="F230" s="260"/>
      <c r="G230" s="222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3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0"/>
      <c r="G231" s="222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3">
      <c r="A232" s="49"/>
      <c r="B232" s="5"/>
      <c r="C232" s="5"/>
      <c r="D232" s="5"/>
      <c r="E232" s="5"/>
      <c r="F232" s="260"/>
      <c r="G232" s="222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3">
      <c r="A233" s="256" t="s">
        <v>180</v>
      </c>
      <c r="B233" s="51" t="s">
        <v>256</v>
      </c>
      <c r="C233" s="51" t="s">
        <v>255</v>
      </c>
      <c r="D233" s="256" t="s">
        <v>252</v>
      </c>
      <c r="E233" s="256" t="s">
        <v>320</v>
      </c>
      <c r="F233" s="261"/>
      <c r="G233" s="222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3">
      <c r="A234" s="209">
        <v>0</v>
      </c>
      <c r="B234" s="212" t="s">
        <v>132</v>
      </c>
      <c r="C234" s="211" t="s">
        <v>132</v>
      </c>
      <c r="D234" s="210" t="s">
        <v>132</v>
      </c>
      <c r="E234" s="206"/>
      <c r="F234" s="261"/>
      <c r="G234" s="222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3">
      <c r="A235" s="209">
        <v>1</v>
      </c>
      <c r="B235" s="212" t="s">
        <v>132</v>
      </c>
      <c r="C235" s="211" t="s">
        <v>132</v>
      </c>
      <c r="D235" s="210" t="s">
        <v>132</v>
      </c>
      <c r="E235" s="206"/>
      <c r="F235" s="261"/>
      <c r="G235" s="220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3">
      <c r="A236" s="209">
        <v>2</v>
      </c>
      <c r="B236" s="212" t="s">
        <v>132</v>
      </c>
      <c r="C236" s="211" t="s">
        <v>132</v>
      </c>
      <c r="D236" s="210" t="s">
        <v>132</v>
      </c>
      <c r="E236" s="206"/>
      <c r="F236" s="261"/>
      <c r="G236" s="220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3">
      <c r="A237" s="209">
        <v>3</v>
      </c>
      <c r="B237" s="212" t="s">
        <v>132</v>
      </c>
      <c r="C237" s="211" t="s">
        <v>132</v>
      </c>
      <c r="D237" s="210" t="s">
        <v>132</v>
      </c>
      <c r="E237" s="206"/>
      <c r="F237" s="261"/>
      <c r="G237" s="220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3">
      <c r="A238" s="209">
        <v>4</v>
      </c>
      <c r="B238" s="212" t="s">
        <v>132</v>
      </c>
      <c r="C238" s="211" t="s">
        <v>132</v>
      </c>
      <c r="D238" s="210" t="s">
        <v>132</v>
      </c>
      <c r="E238" s="206"/>
      <c r="F238" s="261"/>
      <c r="G238" s="220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3">
      <c r="A239" s="209">
        <v>5</v>
      </c>
      <c r="B239" s="212" t="s">
        <v>132</v>
      </c>
      <c r="C239" s="211" t="s">
        <v>132</v>
      </c>
      <c r="D239" s="210" t="s">
        <v>132</v>
      </c>
      <c r="E239" s="206"/>
      <c r="F239" s="261"/>
      <c r="G239" s="221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3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2"/>
      <c r="G240" s="221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3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2"/>
      <c r="G241" s="221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3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2"/>
      <c r="G242" s="221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3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2"/>
      <c r="G243" s="221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3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2"/>
      <c r="G244" s="221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3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2"/>
      <c r="G245" s="221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3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2"/>
      <c r="G246" s="222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3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2"/>
      <c r="G247" s="222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3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2"/>
      <c r="G248" s="222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3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2"/>
      <c r="G249" s="222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3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2"/>
      <c r="G250" s="222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3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2"/>
      <c r="G251" s="222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3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2"/>
      <c r="G252" s="222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3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2"/>
      <c r="G253" s="222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3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2"/>
      <c r="G254" s="222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3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2"/>
      <c r="G255" s="222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3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2"/>
      <c r="G256" s="222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3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2"/>
      <c r="G257" s="222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3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2"/>
      <c r="G258" s="222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3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2"/>
      <c r="G259" s="222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3">
      <c r="A260" s="5"/>
      <c r="B260" s="5"/>
      <c r="C260" s="5"/>
      <c r="D260" s="5"/>
      <c r="E260" s="5"/>
      <c r="F260" s="260"/>
      <c r="G260" s="222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3">
      <c r="A261" s="5"/>
      <c r="B261" s="5"/>
      <c r="C261" s="5"/>
      <c r="D261" s="5"/>
      <c r="E261" s="5"/>
      <c r="F261" s="260"/>
      <c r="G261" s="222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3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0"/>
      <c r="G262" s="222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3">
      <c r="A263" s="49"/>
      <c r="B263" s="5"/>
      <c r="C263" s="5"/>
      <c r="D263" s="5"/>
      <c r="E263" s="5"/>
      <c r="F263" s="260"/>
      <c r="G263" s="222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3">
      <c r="A264" s="256" t="s">
        <v>180</v>
      </c>
      <c r="B264" s="51" t="s">
        <v>256</v>
      </c>
      <c r="C264" s="51" t="s">
        <v>255</v>
      </c>
      <c r="D264" s="256" t="s">
        <v>252</v>
      </c>
      <c r="E264" s="256" t="s">
        <v>320</v>
      </c>
      <c r="F264" s="261"/>
      <c r="G264" s="222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3">
      <c r="A265" s="209">
        <v>0</v>
      </c>
      <c r="B265" s="212" t="s">
        <v>132</v>
      </c>
      <c r="C265" s="211" t="s">
        <v>132</v>
      </c>
      <c r="D265" s="210" t="s">
        <v>132</v>
      </c>
      <c r="E265" s="206"/>
      <c r="F265" s="261"/>
      <c r="G265" s="222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3">
      <c r="A266" s="209">
        <v>1</v>
      </c>
      <c r="B266" s="212" t="s">
        <v>132</v>
      </c>
      <c r="C266" s="211" t="s">
        <v>132</v>
      </c>
      <c r="D266" s="210" t="s">
        <v>132</v>
      </c>
      <c r="E266" s="206"/>
      <c r="F266" s="261"/>
      <c r="G266" s="220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3">
      <c r="A267" s="209">
        <v>2</v>
      </c>
      <c r="B267" s="212" t="s">
        <v>132</v>
      </c>
      <c r="C267" s="211" t="s">
        <v>132</v>
      </c>
      <c r="D267" s="210" t="s">
        <v>132</v>
      </c>
      <c r="E267" s="206"/>
      <c r="F267" s="261"/>
      <c r="G267" s="220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3">
      <c r="A268" s="209">
        <v>3</v>
      </c>
      <c r="B268" s="212" t="s">
        <v>132</v>
      </c>
      <c r="C268" s="211" t="s">
        <v>132</v>
      </c>
      <c r="D268" s="210" t="s">
        <v>132</v>
      </c>
      <c r="E268" s="206"/>
      <c r="F268" s="261"/>
      <c r="G268" s="220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3">
      <c r="A269" s="209">
        <v>4</v>
      </c>
      <c r="B269" s="212" t="s">
        <v>132</v>
      </c>
      <c r="C269" s="211" t="s">
        <v>132</v>
      </c>
      <c r="D269" s="210" t="s">
        <v>132</v>
      </c>
      <c r="E269" s="206"/>
      <c r="F269" s="261"/>
      <c r="G269" s="220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3">
      <c r="A270" s="209">
        <v>5</v>
      </c>
      <c r="B270" s="212" t="s">
        <v>132</v>
      </c>
      <c r="C270" s="211" t="s">
        <v>132</v>
      </c>
      <c r="D270" s="210" t="s">
        <v>132</v>
      </c>
      <c r="E270" s="206"/>
      <c r="F270" s="261"/>
      <c r="G270" s="221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3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2"/>
      <c r="G271" s="221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3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2"/>
      <c r="G272" s="221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3">
      <c r="A273" s="192">
        <f>'Données projet'!A246</f>
        <v>0</v>
      </c>
      <c r="B273" s="193">
        <f>'Données projet'!D246</f>
        <v>0</v>
      </c>
      <c r="C273" s="204"/>
      <c r="D273" s="191">
        <f t="shared" si="14"/>
        <v>0</v>
      </c>
      <c r="E273" s="206"/>
      <c r="F273" s="262"/>
      <c r="G273" s="221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3">
      <c r="A274" s="192">
        <f>'Données projet'!A247</f>
        <v>0</v>
      </c>
      <c r="B274" s="193">
        <f>'Données projet'!D247</f>
        <v>0</v>
      </c>
      <c r="C274" s="204"/>
      <c r="D274" s="191">
        <f t="shared" si="14"/>
        <v>0</v>
      </c>
      <c r="E274" s="206"/>
      <c r="F274" s="262"/>
      <c r="G274" s="221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3">
      <c r="A275" s="192">
        <f>'Données projet'!A248</f>
        <v>0</v>
      </c>
      <c r="B275" s="193">
        <f>'Données projet'!D248</f>
        <v>0</v>
      </c>
      <c r="C275" s="204"/>
      <c r="D275" s="191">
        <f t="shared" si="14"/>
        <v>0</v>
      </c>
      <c r="E275" s="206"/>
      <c r="F275" s="262"/>
      <c r="G275" s="221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3">
      <c r="A276" s="192">
        <f>'Données projet'!A249</f>
        <v>0</v>
      </c>
      <c r="B276" s="193">
        <f>'Données projet'!D249</f>
        <v>0</v>
      </c>
      <c r="C276" s="204"/>
      <c r="D276" s="191">
        <f t="shared" si="14"/>
        <v>0</v>
      </c>
      <c r="E276" s="206"/>
      <c r="F276" s="262"/>
      <c r="G276" s="221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3">
      <c r="A277" s="192">
        <f>'Données projet'!A250</f>
        <v>0</v>
      </c>
      <c r="B277" s="193">
        <f>'Données projet'!D250</f>
        <v>0</v>
      </c>
      <c r="C277" s="204"/>
      <c r="D277" s="191">
        <f t="shared" si="14"/>
        <v>0</v>
      </c>
      <c r="E277" s="206"/>
      <c r="F277" s="262"/>
      <c r="G277" s="222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3">
      <c r="A278" s="192">
        <f>'Données projet'!A251</f>
        <v>0</v>
      </c>
      <c r="B278" s="193">
        <f>'Données projet'!D251</f>
        <v>0</v>
      </c>
      <c r="C278" s="204"/>
      <c r="D278" s="191">
        <f t="shared" si="14"/>
        <v>0</v>
      </c>
      <c r="E278" s="206"/>
      <c r="F278" s="262"/>
      <c r="G278" s="222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3">
      <c r="A279" s="192">
        <f>'Données projet'!A252</f>
        <v>0</v>
      </c>
      <c r="B279" s="193">
        <f>'Données projet'!D252</f>
        <v>0</v>
      </c>
      <c r="C279" s="204"/>
      <c r="D279" s="191">
        <f t="shared" si="14"/>
        <v>0</v>
      </c>
      <c r="E279" s="206"/>
      <c r="F279" s="262"/>
      <c r="G279" s="222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3">
      <c r="A280" s="192">
        <f>'Données projet'!A253</f>
        <v>0</v>
      </c>
      <c r="B280" s="193">
        <f>'Données projet'!D253</f>
        <v>0</v>
      </c>
      <c r="C280" s="204"/>
      <c r="D280" s="191">
        <f t="shared" si="14"/>
        <v>0</v>
      </c>
      <c r="E280" s="206"/>
      <c r="F280" s="262"/>
      <c r="G280" s="222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3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2"/>
      <c r="G281" s="222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3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2"/>
      <c r="G282" s="222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3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2"/>
      <c r="G283" s="222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3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2"/>
      <c r="G284" s="222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3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2"/>
      <c r="G285" s="222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3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2"/>
      <c r="G286" s="222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3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2"/>
      <c r="G287" s="222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3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2"/>
      <c r="G288" s="222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3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2"/>
      <c r="G289" s="222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3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2"/>
      <c r="G290" s="222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3">
      <c r="A291" s="5"/>
      <c r="B291" s="5"/>
      <c r="C291" s="5"/>
      <c r="D291" s="5"/>
      <c r="E291" s="5"/>
      <c r="F291" s="260"/>
      <c r="G291" s="222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3">
      <c r="A292" s="5"/>
      <c r="B292" s="5"/>
      <c r="C292" s="5"/>
      <c r="D292" s="5"/>
      <c r="E292" s="5"/>
      <c r="F292" s="260"/>
      <c r="G292" s="222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3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0"/>
      <c r="G293" s="222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3">
      <c r="A294" s="49"/>
      <c r="B294" s="5"/>
      <c r="C294" s="5"/>
      <c r="D294" s="5"/>
      <c r="E294" s="5"/>
      <c r="F294" s="260"/>
      <c r="G294" s="222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3">
      <c r="A295" s="256" t="s">
        <v>180</v>
      </c>
      <c r="B295" s="51" t="s">
        <v>256</v>
      </c>
      <c r="C295" s="51" t="s">
        <v>255</v>
      </c>
      <c r="D295" s="256" t="s">
        <v>252</v>
      </c>
      <c r="E295" s="256" t="s">
        <v>320</v>
      </c>
      <c r="F295" s="261"/>
      <c r="G295" s="222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3">
      <c r="A296" s="209">
        <v>0</v>
      </c>
      <c r="B296" s="212" t="s">
        <v>132</v>
      </c>
      <c r="C296" s="211" t="s">
        <v>132</v>
      </c>
      <c r="D296" s="210" t="s">
        <v>132</v>
      </c>
      <c r="E296" s="206"/>
      <c r="F296" s="261"/>
      <c r="G296" s="222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3">
      <c r="A297" s="209">
        <v>1</v>
      </c>
      <c r="B297" s="212" t="s">
        <v>132</v>
      </c>
      <c r="C297" s="211" t="s">
        <v>132</v>
      </c>
      <c r="D297" s="210" t="s">
        <v>132</v>
      </c>
      <c r="E297" s="206"/>
      <c r="F297" s="261"/>
      <c r="G297" s="220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3">
      <c r="A298" s="209">
        <v>2</v>
      </c>
      <c r="B298" s="212" t="s">
        <v>132</v>
      </c>
      <c r="C298" s="211" t="s">
        <v>132</v>
      </c>
      <c r="D298" s="210" t="s">
        <v>132</v>
      </c>
      <c r="E298" s="206"/>
      <c r="F298" s="261"/>
      <c r="G298" s="220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3">
      <c r="A299" s="209">
        <v>3</v>
      </c>
      <c r="B299" s="212" t="s">
        <v>132</v>
      </c>
      <c r="C299" s="211" t="s">
        <v>132</v>
      </c>
      <c r="D299" s="210" t="s">
        <v>132</v>
      </c>
      <c r="E299" s="206"/>
      <c r="F299" s="261"/>
      <c r="G299" s="220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3">
      <c r="A300" s="209">
        <v>4</v>
      </c>
      <c r="B300" s="212" t="s">
        <v>132</v>
      </c>
      <c r="C300" s="211" t="s">
        <v>132</v>
      </c>
      <c r="D300" s="210" t="s">
        <v>132</v>
      </c>
      <c r="E300" s="206"/>
      <c r="F300" s="261"/>
      <c r="G300" s="220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3">
      <c r="A301" s="209">
        <v>5</v>
      </c>
      <c r="B301" s="212" t="s">
        <v>132</v>
      </c>
      <c r="C301" s="211" t="s">
        <v>132</v>
      </c>
      <c r="D301" s="210" t="s">
        <v>132</v>
      </c>
      <c r="E301" s="206"/>
      <c r="F301" s="261"/>
      <c r="G301" s="221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3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3"/>
      <c r="G302" s="221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3">
      <c r="A303" s="192">
        <f>'Données projet'!A271</f>
        <v>0</v>
      </c>
      <c r="B303" s="193">
        <f>'Données projet'!D271</f>
        <v>0</v>
      </c>
      <c r="C303" s="206"/>
      <c r="D303" s="194">
        <f t="shared" ref="D303:D321" si="15">B303*C303</f>
        <v>0</v>
      </c>
      <c r="E303" s="206"/>
      <c r="F303" s="263"/>
      <c r="G303" s="221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3">
      <c r="A304" s="192">
        <f>'Données projet'!A272</f>
        <v>0</v>
      </c>
      <c r="B304" s="193">
        <f>'Données projet'!D272</f>
        <v>0</v>
      </c>
      <c r="C304" s="206"/>
      <c r="D304" s="194">
        <f t="shared" si="15"/>
        <v>0</v>
      </c>
      <c r="E304" s="206"/>
      <c r="F304" s="263"/>
      <c r="G304" s="221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3">
      <c r="A305" s="192">
        <f>'Données projet'!A273</f>
        <v>0</v>
      </c>
      <c r="B305" s="193">
        <f>'Données projet'!D273</f>
        <v>0</v>
      </c>
      <c r="C305" s="206"/>
      <c r="D305" s="194">
        <f t="shared" si="15"/>
        <v>0</v>
      </c>
      <c r="E305" s="206"/>
      <c r="F305" s="263"/>
      <c r="G305" s="221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3">
      <c r="A306" s="192">
        <f>'Données projet'!A274</f>
        <v>0</v>
      </c>
      <c r="B306" s="193">
        <f>'Données projet'!D274</f>
        <v>0</v>
      </c>
      <c r="C306" s="206"/>
      <c r="D306" s="194">
        <f t="shared" si="15"/>
        <v>0</v>
      </c>
      <c r="E306" s="206"/>
      <c r="F306" s="263"/>
      <c r="G306" s="221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3">
      <c r="A307" s="192">
        <f>'Données projet'!A275</f>
        <v>0</v>
      </c>
      <c r="B307" s="193">
        <f>'Données projet'!D275</f>
        <v>0</v>
      </c>
      <c r="C307" s="206"/>
      <c r="D307" s="194">
        <f t="shared" si="15"/>
        <v>0</v>
      </c>
      <c r="E307" s="206"/>
      <c r="F307" s="263"/>
      <c r="G307" s="221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3">
      <c r="A308" s="192">
        <f>'Données projet'!A276</f>
        <v>0</v>
      </c>
      <c r="B308" s="193">
        <f>'Données projet'!D276</f>
        <v>0</v>
      </c>
      <c r="C308" s="206"/>
      <c r="D308" s="194">
        <f t="shared" si="15"/>
        <v>0</v>
      </c>
      <c r="E308" s="206"/>
      <c r="F308" s="263"/>
      <c r="G308" s="217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3">
      <c r="A309" s="192">
        <f>'Données projet'!A277</f>
        <v>0</v>
      </c>
      <c r="B309" s="193">
        <f>'Données projet'!D277</f>
        <v>0</v>
      </c>
      <c r="C309" s="206"/>
      <c r="D309" s="194">
        <f t="shared" si="15"/>
        <v>0</v>
      </c>
      <c r="E309" s="206"/>
      <c r="F309" s="263"/>
      <c r="G309" s="217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3">
      <c r="A310" s="192">
        <f>'Données projet'!A278</f>
        <v>0</v>
      </c>
      <c r="B310" s="193">
        <f>'Données projet'!D278</f>
        <v>0</v>
      </c>
      <c r="C310" s="206"/>
      <c r="D310" s="194">
        <f t="shared" si="15"/>
        <v>0</v>
      </c>
      <c r="E310" s="206"/>
      <c r="F310" s="263"/>
      <c r="G310" s="217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3">
      <c r="A311" s="192">
        <f>'Données projet'!A279</f>
        <v>0</v>
      </c>
      <c r="B311" s="193">
        <f>'Données projet'!D279</f>
        <v>0</v>
      </c>
      <c r="C311" s="206"/>
      <c r="D311" s="194">
        <f t="shared" si="15"/>
        <v>0</v>
      </c>
      <c r="E311" s="206"/>
      <c r="F311" s="263"/>
      <c r="G311" s="217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3">
      <c r="A312" s="192">
        <f>'Données projet'!A280</f>
        <v>0</v>
      </c>
      <c r="B312" s="193">
        <f>'Données projet'!D280</f>
        <v>0</v>
      </c>
      <c r="C312" s="206"/>
      <c r="D312" s="194">
        <f t="shared" si="15"/>
        <v>0</v>
      </c>
      <c r="E312" s="206"/>
      <c r="F312" s="263"/>
      <c r="G312" s="217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3">
      <c r="A313" s="192">
        <f>'Données projet'!A281</f>
        <v>0</v>
      </c>
      <c r="B313" s="193">
        <f>'Données projet'!D281</f>
        <v>0</v>
      </c>
      <c r="C313" s="206"/>
      <c r="D313" s="194">
        <f t="shared" si="15"/>
        <v>0</v>
      </c>
      <c r="E313" s="206"/>
      <c r="F313" s="263"/>
      <c r="G313" s="217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3">
      <c r="A314" s="192">
        <f>'Données projet'!A282</f>
        <v>0</v>
      </c>
      <c r="B314" s="193">
        <f>'Données projet'!D282</f>
        <v>0</v>
      </c>
      <c r="C314" s="206"/>
      <c r="D314" s="194">
        <f t="shared" si="15"/>
        <v>0</v>
      </c>
      <c r="E314" s="206"/>
      <c r="F314" s="263"/>
      <c r="G314" s="217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3">
      <c r="A315" s="192">
        <f>'Données projet'!A283</f>
        <v>0</v>
      </c>
      <c r="B315" s="193">
        <f>'Données projet'!D283</f>
        <v>0</v>
      </c>
      <c r="C315" s="206"/>
      <c r="D315" s="194">
        <f t="shared" si="15"/>
        <v>0</v>
      </c>
      <c r="E315" s="206"/>
      <c r="F315" s="263"/>
      <c r="G315" s="217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3">
      <c r="A316" s="192">
        <f>'Données projet'!A284</f>
        <v>0</v>
      </c>
      <c r="B316" s="193">
        <f>'Données projet'!D284</f>
        <v>0</v>
      </c>
      <c r="C316" s="206"/>
      <c r="D316" s="194">
        <f t="shared" si="15"/>
        <v>0</v>
      </c>
      <c r="E316" s="206"/>
      <c r="F316" s="263"/>
      <c r="G316" s="217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3">
      <c r="A317" s="192">
        <f>'Données projet'!A285</f>
        <v>0</v>
      </c>
      <c r="B317" s="193">
        <f>'Données projet'!D285</f>
        <v>0</v>
      </c>
      <c r="C317" s="206"/>
      <c r="D317" s="194">
        <f t="shared" si="15"/>
        <v>0</v>
      </c>
      <c r="E317" s="206"/>
      <c r="F317" s="263"/>
      <c r="G317" s="217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3">
      <c r="A318" s="192">
        <f>'Données projet'!A286</f>
        <v>0</v>
      </c>
      <c r="B318" s="193">
        <f>'Données projet'!D286</f>
        <v>0</v>
      </c>
      <c r="C318" s="206"/>
      <c r="D318" s="194">
        <f t="shared" si="15"/>
        <v>0</v>
      </c>
      <c r="E318" s="206"/>
      <c r="F318" s="263"/>
      <c r="G318" s="217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3">
      <c r="A319" s="192">
        <f>'Données projet'!A287</f>
        <v>0</v>
      </c>
      <c r="B319" s="193">
        <f>'Données projet'!D287</f>
        <v>0</v>
      </c>
      <c r="C319" s="206"/>
      <c r="D319" s="194">
        <f t="shared" si="15"/>
        <v>0</v>
      </c>
      <c r="E319" s="206"/>
      <c r="F319" s="263"/>
      <c r="G319" s="217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3">
      <c r="A320" s="192">
        <f>'Données projet'!A288</f>
        <v>0</v>
      </c>
      <c r="B320" s="193">
        <f>'Données projet'!D288</f>
        <v>0</v>
      </c>
      <c r="C320" s="206"/>
      <c r="D320" s="194">
        <f t="shared" si="15"/>
        <v>0</v>
      </c>
      <c r="E320" s="206"/>
      <c r="F320" s="263"/>
      <c r="G320" s="217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3">
      <c r="A321" s="192">
        <f>'Données projet'!A289</f>
        <v>0</v>
      </c>
      <c r="B321" s="193">
        <f>'Données projet'!D289</f>
        <v>0</v>
      </c>
      <c r="C321" s="206"/>
      <c r="D321" s="194">
        <f t="shared" si="15"/>
        <v>0</v>
      </c>
      <c r="E321" s="206"/>
      <c r="F321" s="263"/>
      <c r="G321" s="217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3">
      <c r="G322" s="217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3">
      <c r="G323" s="217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3">
      <c r="G324" s="217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3">
      <c r="G325" s="217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3">
      <c r="G326" s="217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3">
      <c r="G327" s="217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3">
      <c r="A328" s="5"/>
      <c r="B328" s="5"/>
      <c r="C328" s="5"/>
      <c r="D328" s="5"/>
      <c r="E328" s="5"/>
      <c r="F328" s="230"/>
      <c r="G328" s="230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3">
      <c r="A329" s="5"/>
      <c r="B329" s="5"/>
      <c r="C329" s="5"/>
      <c r="D329" s="5"/>
      <c r="E329" s="5"/>
      <c r="F329" s="230"/>
      <c r="G329" s="230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3">
      <c r="A330" s="5"/>
      <c r="B330" s="5"/>
      <c r="C330" s="5"/>
      <c r="D330" s="5"/>
      <c r="E330" s="5"/>
      <c r="F330" s="230"/>
      <c r="G330" s="230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3">
      <c r="A331" s="5"/>
      <c r="B331" s="5"/>
      <c r="C331" s="5"/>
      <c r="D331" s="5"/>
      <c r="E331" s="5"/>
      <c r="F331" s="230"/>
      <c r="G331" s="230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3">
      <c r="A332" s="5"/>
      <c r="B332" s="5"/>
      <c r="C332" s="5"/>
      <c r="D332" s="5"/>
      <c r="E332" s="5"/>
      <c r="F332" s="230"/>
      <c r="G332" s="230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3">
      <c r="A333" s="5"/>
      <c r="B333" s="5"/>
      <c r="C333" s="5"/>
      <c r="D333" s="5"/>
      <c r="E333" s="5"/>
      <c r="F333" s="230"/>
      <c r="G333" s="230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3">
      <c r="A334" s="5"/>
      <c r="B334" s="5"/>
      <c r="C334" s="5"/>
      <c r="D334" s="5"/>
      <c r="E334" s="5"/>
      <c r="F334" s="230"/>
      <c r="G334" s="230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3">
      <c r="A335" s="5"/>
      <c r="B335" s="5"/>
      <c r="C335" s="5"/>
      <c r="D335" s="5"/>
      <c r="E335" s="5"/>
      <c r="F335" s="230"/>
      <c r="G335" s="230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3">
      <c r="A336" s="5"/>
      <c r="B336" s="5"/>
      <c r="C336" s="5"/>
      <c r="D336" s="5"/>
      <c r="E336" s="5"/>
      <c r="F336" s="230"/>
      <c r="G336" s="230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3">
      <c r="A337" s="5"/>
      <c r="B337" s="5"/>
      <c r="C337" s="5"/>
      <c r="D337" s="5"/>
      <c r="E337" s="5"/>
      <c r="F337" s="230"/>
      <c r="G337" s="230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3">
      <c r="A338" s="5"/>
      <c r="B338" s="5"/>
      <c r="C338" s="5"/>
      <c r="D338" s="5"/>
      <c r="E338" s="5"/>
      <c r="F338" s="230"/>
      <c r="G338" s="230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3">
      <c r="A339" s="5"/>
      <c r="B339" s="5"/>
      <c r="C339" s="5"/>
      <c r="D339" s="5"/>
      <c r="E339" s="5"/>
      <c r="F339" s="230"/>
      <c r="G339" s="230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3">
      <c r="A340" s="5"/>
      <c r="B340" s="5"/>
      <c r="C340" s="5"/>
      <c r="D340" s="5"/>
      <c r="E340" s="5"/>
      <c r="F340" s="230"/>
      <c r="G340" s="230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3">
      <c r="A341" s="5"/>
      <c r="B341" s="5"/>
      <c r="C341" s="5"/>
      <c r="D341" s="5"/>
      <c r="E341" s="5"/>
      <c r="F341" s="230"/>
      <c r="G341" s="230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3">
      <c r="A342" s="5"/>
      <c r="B342" s="5"/>
      <c r="C342" s="5"/>
      <c r="D342" s="5"/>
      <c r="E342" s="5"/>
      <c r="F342" s="230"/>
      <c r="G342" s="230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3">
      <c r="A343" s="5"/>
      <c r="B343" s="5"/>
      <c r="C343" s="5"/>
      <c r="D343" s="5"/>
      <c r="E343" s="5"/>
      <c r="F343" s="230"/>
      <c r="G343" s="230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3">
      <c r="A344" s="5"/>
      <c r="B344" s="5"/>
      <c r="C344" s="5"/>
      <c r="D344" s="5"/>
      <c r="E344" s="5"/>
      <c r="F344" s="230"/>
      <c r="G344" s="230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3">
      <c r="A345" s="5"/>
      <c r="B345" s="5"/>
      <c r="C345" s="5"/>
      <c r="D345" s="5"/>
      <c r="E345" s="5"/>
      <c r="F345" s="230"/>
      <c r="G345" s="230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3">
      <c r="A346" s="5"/>
      <c r="B346" s="5"/>
      <c r="C346" s="5"/>
      <c r="D346" s="5"/>
      <c r="E346" s="5"/>
      <c r="F346" s="230"/>
      <c r="G346" s="230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3">
      <c r="A347" s="5"/>
      <c r="B347" s="5"/>
      <c r="C347" s="5"/>
      <c r="D347" s="5"/>
      <c r="E347" s="5"/>
      <c r="F347" s="230"/>
      <c r="G347" s="230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3">
      <c r="A348" s="5"/>
      <c r="B348" s="5"/>
      <c r="C348" s="5"/>
      <c r="D348" s="5"/>
      <c r="E348" s="5"/>
      <c r="F348" s="230"/>
      <c r="G348" s="230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3">
      <c r="A349" s="5"/>
      <c r="B349" s="5"/>
      <c r="C349" s="5"/>
      <c r="D349" s="5"/>
      <c r="E349" s="5"/>
      <c r="F349" s="230"/>
      <c r="G349" s="230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3">
      <c r="A350" s="5"/>
      <c r="B350" s="5"/>
      <c r="C350" s="5"/>
      <c r="D350" s="5"/>
      <c r="E350" s="5"/>
      <c r="F350" s="230"/>
      <c r="G350" s="230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3">
      <c r="A351" s="5"/>
      <c r="B351" s="5"/>
      <c r="C351" s="5"/>
      <c r="D351" s="5"/>
      <c r="E351" s="5"/>
      <c r="F351" s="230"/>
      <c r="G351" s="230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3">
      <c r="A352" s="5"/>
      <c r="B352" s="5"/>
      <c r="C352" s="5"/>
      <c r="D352" s="5"/>
      <c r="E352" s="5"/>
      <c r="F352" s="230"/>
      <c r="G352" s="230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3">
      <c r="A353" s="5"/>
      <c r="B353" s="5"/>
      <c r="C353" s="5"/>
      <c r="D353" s="5"/>
      <c r="E353" s="5"/>
      <c r="F353" s="230"/>
      <c r="G353" s="230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3">
      <c r="A354" s="5"/>
      <c r="B354" s="5"/>
      <c r="C354" s="5"/>
      <c r="D354" s="5"/>
      <c r="E354" s="5"/>
      <c r="F354" s="230"/>
      <c r="G354" s="230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3">
      <c r="A355" s="5"/>
      <c r="B355" s="5"/>
      <c r="C355" s="5"/>
      <c r="D355" s="5"/>
      <c r="E355" s="5"/>
      <c r="F355" s="230"/>
      <c r="G355" s="230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3">
      <c r="A356" s="5"/>
      <c r="B356" s="5"/>
      <c r="C356" s="5"/>
      <c r="D356" s="5"/>
      <c r="E356" s="5"/>
      <c r="F356" s="230"/>
      <c r="G356" s="230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3">
      <c r="A357" s="5"/>
      <c r="B357" s="5"/>
      <c r="C357" s="5"/>
      <c r="D357" s="5"/>
      <c r="E357" s="5"/>
      <c r="F357" s="230"/>
      <c r="G357" s="230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3">
      <c r="A358" s="5"/>
      <c r="B358" s="5"/>
      <c r="C358" s="5"/>
      <c r="D358" s="5"/>
      <c r="E358" s="5"/>
      <c r="F358" s="230"/>
      <c r="G358" s="230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3">
      <c r="A359" s="5"/>
      <c r="B359" s="5"/>
      <c r="C359" s="5"/>
      <c r="D359" s="5"/>
      <c r="E359" s="5"/>
      <c r="F359" s="230"/>
      <c r="G359" s="230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3">
      <c r="A360" s="5"/>
      <c r="B360" s="5"/>
      <c r="C360" s="5"/>
      <c r="D360" s="5"/>
      <c r="E360" s="5"/>
      <c r="F360" s="230"/>
      <c r="G360" s="230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3">
      <c r="A361" s="5"/>
      <c r="B361" s="5"/>
      <c r="C361" s="5"/>
      <c r="D361" s="5"/>
      <c r="E361" s="5"/>
      <c r="F361" s="230"/>
      <c r="G361" s="230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3">
      <c r="A362" s="5"/>
      <c r="B362" s="5"/>
      <c r="C362" s="5"/>
      <c r="D362" s="5"/>
      <c r="E362" s="5"/>
      <c r="F362" s="230"/>
      <c r="G362" s="230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3">
      <c r="A363" s="5"/>
      <c r="B363" s="5"/>
      <c r="C363" s="5"/>
      <c r="D363" s="5"/>
      <c r="E363" s="5"/>
      <c r="F363" s="230"/>
      <c r="G363" s="230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3">
      <c r="A364" s="5"/>
      <c r="B364" s="5"/>
      <c r="C364" s="5"/>
      <c r="D364" s="5"/>
      <c r="E364" s="5"/>
      <c r="F364" s="230"/>
      <c r="G364" s="230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3">
      <c r="A365" s="5"/>
      <c r="B365" s="5"/>
      <c r="C365" s="5"/>
      <c r="D365" s="5"/>
      <c r="E365" s="5"/>
      <c r="F365" s="230"/>
      <c r="G365" s="230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3">
      <c r="A366" s="5"/>
      <c r="B366" s="5"/>
      <c r="C366" s="5"/>
      <c r="D366" s="5"/>
      <c r="E366" s="5"/>
      <c r="F366" s="230"/>
      <c r="G366" s="230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3">
      <c r="A367" s="5"/>
      <c r="B367" s="5"/>
      <c r="C367" s="5"/>
      <c r="D367" s="5"/>
      <c r="E367" s="5"/>
      <c r="F367" s="230"/>
      <c r="G367" s="230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3">
      <c r="A368" s="5"/>
      <c r="B368" s="5"/>
      <c r="C368" s="5"/>
      <c r="D368" s="5"/>
      <c r="E368" s="5"/>
      <c r="F368" s="230"/>
      <c r="G368" s="230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3">
      <c r="A369" s="5"/>
      <c r="B369" s="5"/>
      <c r="C369" s="5"/>
      <c r="D369" s="5"/>
      <c r="E369" s="5"/>
      <c r="F369" s="230"/>
      <c r="G369" s="230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3">
      <c r="A370" s="5"/>
      <c r="B370" s="5"/>
      <c r="C370" s="5"/>
      <c r="D370" s="5"/>
      <c r="E370" s="5"/>
      <c r="F370" s="230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3">
      <c r="A371" s="5"/>
      <c r="B371" s="5"/>
      <c r="C371" s="5"/>
      <c r="D371" s="5"/>
      <c r="E371" s="5"/>
      <c r="F371" s="230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3">
      <c r="A372" s="5"/>
      <c r="B372" s="5"/>
      <c r="C372" s="5"/>
      <c r="D372" s="5"/>
      <c r="E372" s="5"/>
      <c r="F372" s="230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3">
      <c r="A373" s="5"/>
      <c r="B373" s="5"/>
      <c r="C373" s="5"/>
      <c r="D373" s="5"/>
      <c r="E373" s="5"/>
      <c r="F373" s="230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3">
      <c r="A374" s="5"/>
      <c r="B374" s="5"/>
      <c r="C374" s="5"/>
      <c r="D374" s="5"/>
      <c r="E374" s="5"/>
      <c r="F374" s="230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3">
      <c r="A375" s="5"/>
      <c r="B375" s="5"/>
      <c r="C375" s="5"/>
      <c r="D375" s="5"/>
      <c r="E375" s="5"/>
      <c r="F375" s="230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3">
      <c r="A376" s="5"/>
      <c r="B376" s="5"/>
      <c r="C376" s="5"/>
      <c r="D376" s="5"/>
      <c r="E376" s="5"/>
      <c r="F376" s="230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3">
      <c r="A377" s="5"/>
      <c r="B377" s="5"/>
      <c r="C377" s="5"/>
      <c r="D377" s="5"/>
      <c r="E377" s="5"/>
      <c r="F377" s="230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3">
      <c r="A378" s="5"/>
      <c r="B378" s="5"/>
      <c r="C378" s="5"/>
      <c r="D378" s="5"/>
      <c r="E378" s="5"/>
      <c r="F378" s="230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3">
      <c r="A379" s="5"/>
      <c r="B379" s="5"/>
      <c r="C379" s="5"/>
      <c r="D379" s="5"/>
      <c r="E379" s="5"/>
      <c r="F379" s="230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3">
      <c r="A380" s="5"/>
      <c r="B380" s="5"/>
      <c r="C380" s="5"/>
      <c r="D380" s="5"/>
      <c r="E380" s="5"/>
      <c r="F380" s="230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3">
      <c r="A381" s="5"/>
      <c r="B381" s="5"/>
      <c r="C381" s="5"/>
      <c r="D381" s="5"/>
      <c r="E381" s="5"/>
      <c r="F381" s="230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3">
      <c r="A382" s="5"/>
      <c r="B382" s="5"/>
      <c r="C382" s="5"/>
      <c r="D382" s="5"/>
      <c r="E382" s="5"/>
      <c r="F382" s="230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3">
      <c r="A383" s="5"/>
      <c r="B383" s="5"/>
      <c r="C383" s="5"/>
      <c r="D383" s="5"/>
      <c r="E383" s="5"/>
      <c r="F383" s="230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3">
      <c r="A384" s="5"/>
      <c r="B384" s="5"/>
      <c r="C384" s="5"/>
      <c r="D384" s="5"/>
      <c r="E384" s="5"/>
      <c r="F384" s="230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3">
      <c r="A385" s="5"/>
      <c r="B385" s="5"/>
      <c r="C385" s="5"/>
      <c r="D385" s="5"/>
      <c r="E385" s="5"/>
      <c r="F385" s="230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3">
      <c r="A386" s="5"/>
      <c r="B386" s="5"/>
      <c r="C386" s="5"/>
      <c r="D386" s="5"/>
      <c r="E386" s="5"/>
      <c r="F386" s="230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3">
      <c r="A387" s="5"/>
      <c r="B387" s="5"/>
      <c r="C387" s="5"/>
      <c r="D387" s="5"/>
      <c r="E387" s="5"/>
      <c r="F387" s="230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3">
      <c r="A388" s="5"/>
      <c r="B388" s="5"/>
      <c r="C388" s="5"/>
      <c r="D388" s="5"/>
      <c r="E388" s="5"/>
      <c r="F388" s="230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3">
      <c r="A389" s="5"/>
      <c r="B389" s="5"/>
      <c r="C389" s="5"/>
      <c r="D389" s="5"/>
      <c r="E389" s="5"/>
      <c r="F389" s="230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3">
      <c r="A390" s="5"/>
      <c r="B390" s="5"/>
      <c r="C390" s="5"/>
      <c r="D390" s="5"/>
      <c r="E390" s="5"/>
      <c r="F390" s="230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3">
      <c r="A391" s="5"/>
      <c r="B391" s="5"/>
      <c r="C391" s="5"/>
      <c r="D391" s="5"/>
      <c r="E391" s="5"/>
      <c r="F391" s="230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3">
      <c r="A392" s="5"/>
      <c r="B392" s="5"/>
      <c r="C392" s="5"/>
      <c r="D392" s="5"/>
      <c r="E392" s="5"/>
      <c r="F392" s="230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3">
      <c r="A393" s="5"/>
      <c r="B393" s="5"/>
      <c r="C393" s="5"/>
      <c r="D393" s="5"/>
      <c r="E393" s="5"/>
      <c r="F393" s="230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3">
      <c r="A394" s="5"/>
      <c r="B394" s="5"/>
      <c r="C394" s="5"/>
      <c r="D394" s="5"/>
      <c r="E394" s="5"/>
      <c r="F394" s="230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3">
      <c r="A395" s="5"/>
      <c r="B395" s="5"/>
      <c r="C395" s="5"/>
      <c r="D395" s="5"/>
      <c r="E395" s="5"/>
      <c r="F395" s="230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3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3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3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3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3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3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3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3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3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3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3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3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3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3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3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3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3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3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3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3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3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3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3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3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3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3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3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3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3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3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3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3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3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3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3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3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3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3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3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3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3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3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3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3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3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3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3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3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3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3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3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3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3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3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3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3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3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3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3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3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3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3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3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3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3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3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3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3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3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3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3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3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3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3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3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3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3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3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3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3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3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3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3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3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3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3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3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3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3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3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3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3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3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3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3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3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3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3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3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3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3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3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3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3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3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3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3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3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3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3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3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3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3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3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3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3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3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3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3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3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3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3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3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3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3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3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3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3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3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3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3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3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3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3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3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3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3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3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3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3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3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3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3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3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3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3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3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3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3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3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3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3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3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3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3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3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3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Geoffroy Rombaut - C+for (CNPF)</cp:lastModifiedBy>
  <dcterms:created xsi:type="dcterms:W3CDTF">2021-02-01T08:22:39Z</dcterms:created>
  <dcterms:modified xsi:type="dcterms:W3CDTF">2024-11-18T21:36:59Z</dcterms:modified>
</cp:coreProperties>
</file>