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LBC/Dossiers LBC/DE RUSSON/BOUVET - 14938506 CD/"/>
    </mc:Choice>
  </mc:AlternateContent>
  <xr:revisionPtr revIDLastSave="0" documentId="14_{5FAA5D44-58AA-455F-AF14-B0BC9AA305B1}" xr6:coauthVersionLast="47" xr6:coauthVersionMax="47" xr10:uidLastSave="{00000000-0000-0000-0000-000000000000}"/>
  <bookViews>
    <workbookView xWindow="-103" yWindow="-103" windowWidth="19543" windowHeight="12377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REE" sheetId="4" r:id="rId4"/>
    <sheet name="VAN" sheetId="6" r:id="rId5"/>
    <sheet name="Calculateur" sheetId="2" state="hidden" r:id="rId6"/>
    <sheet name="Paramètres" sheetId="3" state="hidden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GL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B22" i="2"/>
  <c r="EA22" i="2"/>
  <c r="HG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I28" i="2"/>
  <c r="EB28" i="2"/>
  <c r="EV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G75" i="2"/>
  <c r="HH75" i="2"/>
  <c r="FS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HG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B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HG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HG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HH145" i="2"/>
  <c r="EA145" i="2"/>
  <c r="HG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V150" i="2"/>
  <c r="HH150" i="2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G155" i="2" l="1"/>
  <c r="EX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FS160" i="2"/>
  <c r="DG160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EB161" i="2"/>
  <c r="EX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B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G164" i="2"/>
  <c r="FR164" i="2"/>
  <c r="HH164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W168" i="2"/>
  <c r="HI168" i="2"/>
  <c r="HH168" i="2"/>
  <c r="DI167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B175" i="2"/>
  <c r="EW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EW178" i="2"/>
  <c r="FQ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HI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B185" i="2"/>
  <c r="HI185" i="2"/>
  <c r="EA185" i="2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EW191" i="2"/>
  <c r="HI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V192" i="2"/>
  <c r="EW192" i="2"/>
  <c r="HG192" i="2"/>
  <c r="EA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HI193" i="2"/>
  <c r="EB193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EA194" i="2"/>
  <c r="EB194" i="2"/>
  <c r="HI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X195" i="2"/>
  <c r="HG195" i="2"/>
  <c r="HI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FS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HG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33" i="2" a="1"/>
  <c r="GT33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86" i="2" a="1"/>
  <c r="DN186" i="2" s="1"/>
  <c r="DN43" i="2" a="1"/>
  <c r="DN43" i="2" s="1"/>
  <c r="DN66" i="2" a="1"/>
  <c r="DN66" i="2" s="1"/>
  <c r="DN192" i="2" a="1"/>
  <c r="DN192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AH90" i="2" l="1" a="1"/>
  <c r="AH90" i="2" s="1"/>
  <c r="AH163" i="2" a="1"/>
  <c r="AH163" i="2" s="1"/>
  <c r="AH62" i="2" a="1"/>
  <c r="AH62" i="2" s="1"/>
  <c r="DN29" i="2" a="1"/>
  <c r="DN29" i="2" s="1"/>
  <c r="DN150" i="2" a="1"/>
  <c r="DN150" i="2" s="1"/>
  <c r="DN41" i="2" a="1"/>
  <c r="DN41" i="2" s="1"/>
  <c r="DN56" i="2" a="1"/>
  <c r="DN56" i="2" s="1"/>
  <c r="DN137" i="2" a="1"/>
  <c r="DN137" i="2" s="1"/>
  <c r="DN55" i="2" a="1"/>
  <c r="DN55" i="2" s="1"/>
  <c r="DN86" i="2" a="1"/>
  <c r="DN86" i="2" s="1"/>
  <c r="DN110" i="2" a="1"/>
  <c r="DN110" i="2" s="1"/>
  <c r="GT138" i="2" a="1"/>
  <c r="GT138" i="2" s="1"/>
  <c r="AH166" i="2" a="1"/>
  <c r="AH166" i="2" s="1"/>
  <c r="DN177" i="2" a="1"/>
  <c r="DN177" i="2" s="1"/>
  <c r="GT147" i="2" a="1"/>
  <c r="GT147" i="2" s="1"/>
  <c r="DN70" i="2" a="1"/>
  <c r="DN70" i="2" s="1"/>
  <c r="DN188" i="2" a="1"/>
  <c r="DN188" i="2" s="1"/>
  <c r="DN187" i="2" a="1"/>
  <c r="DN187" i="2" s="1"/>
  <c r="AH199" i="2" a="1"/>
  <c r="AH199" i="2" s="1"/>
  <c r="BX107" i="2" a="1"/>
  <c r="BX107" i="2" s="1"/>
  <c r="DN31" i="2" a="1"/>
  <c r="DN31" i="2" s="1"/>
  <c r="GT107" i="2" a="1"/>
  <c r="GT107" i="2" s="1"/>
  <c r="AH19" i="2" a="1"/>
  <c r="AH19" i="2" s="1"/>
  <c r="DN115" i="2" a="1"/>
  <c r="DN115" i="2" s="1"/>
  <c r="DN124" i="2" a="1"/>
  <c r="DN124" i="2" s="1"/>
  <c r="GT152" i="2" a="1"/>
  <c r="GT152" i="2" s="1"/>
  <c r="DN63" i="2" a="1"/>
  <c r="DN63" i="2" s="1"/>
  <c r="DN153" i="2" a="1"/>
  <c r="DN153" i="2" s="1"/>
  <c r="DN170" i="2" a="1"/>
  <c r="DN170" i="2" s="1"/>
  <c r="DN155" i="2" a="1"/>
  <c r="DN155" i="2" s="1"/>
  <c r="GT133" i="2" a="1"/>
  <c r="GT133" i="2" s="1"/>
  <c r="DN45" i="2" a="1"/>
  <c r="DN45" i="2" s="1"/>
  <c r="DN114" i="2" a="1"/>
  <c r="DN114" i="2" s="1"/>
  <c r="DN129" i="2" a="1"/>
  <c r="DN129" i="2" s="1"/>
  <c r="GT121" i="2" a="1"/>
  <c r="GT121" i="2" s="1"/>
  <c r="AH92" i="2" a="1"/>
  <c r="AH92" i="2" s="1"/>
  <c r="DN162" i="2" a="1"/>
  <c r="DN162" i="2" s="1"/>
  <c r="DN50" i="2" a="1"/>
  <c r="DN50" i="2" s="1"/>
  <c r="GT122" i="2" a="1"/>
  <c r="GT122" i="2" s="1"/>
  <c r="FS203" i="2"/>
  <c r="AH151" i="2" a="1"/>
  <c r="AH151" i="2" s="1"/>
  <c r="DN113" i="2" a="1"/>
  <c r="DN113" i="2" s="1"/>
  <c r="GT51" i="2" a="1"/>
  <c r="GT51" i="2" s="1"/>
  <c r="DN49" i="2" a="1"/>
  <c r="DN49" i="2" s="1"/>
  <c r="DN164" i="2" a="1"/>
  <c r="DN164" i="2" s="1"/>
  <c r="GT68" i="2" a="1"/>
  <c r="GT68" i="2" s="1"/>
  <c r="DN16" i="2" a="1"/>
  <c r="DN16" i="2" s="1"/>
  <c r="DN132" i="2" a="1"/>
  <c r="DN132" i="2" s="1"/>
  <c r="DN30" i="2" a="1"/>
  <c r="DN30" i="2" s="1"/>
  <c r="DN25" i="2" a="1"/>
  <c r="DN25" i="2" s="1"/>
  <c r="DN46" i="2" a="1"/>
  <c r="DN46" i="2" s="1"/>
  <c r="DN38" i="2" a="1"/>
  <c r="DN38" i="2" s="1"/>
  <c r="GT178" i="2" a="1"/>
  <c r="GT178" i="2" s="1"/>
  <c r="DN123" i="2" a="1"/>
  <c r="DN123" i="2" s="1"/>
  <c r="DN184" i="2" a="1"/>
  <c r="DN184" i="2" s="1"/>
  <c r="GT181" i="2" a="1"/>
  <c r="GT181" i="2" s="1"/>
  <c r="FD21" i="2" a="1"/>
  <c r="FD21" i="2" s="1"/>
  <c r="DN167" i="2" a="1"/>
  <c r="DN167" i="2" s="1"/>
  <c r="DN103" i="2" a="1"/>
  <c r="DN103" i="2" s="1"/>
  <c r="DN135" i="2" a="1"/>
  <c r="DN135" i="2" s="1"/>
  <c r="GT189" i="2" a="1"/>
  <c r="GT189" i="2" s="1"/>
  <c r="DN152" i="2" a="1"/>
  <c r="DN152" i="2" s="1"/>
  <c r="GT184" i="2" a="1"/>
  <c r="GT184" i="2" s="1"/>
  <c r="HH203" i="2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I47" i="2" s="1"/>
  <c r="BE105" i="2"/>
  <c r="BS103" i="2"/>
  <c r="BI202" i="2" l="1"/>
  <c r="BI92" i="2"/>
  <c r="BI28" i="2"/>
  <c r="BI167" i="2"/>
  <c r="BI152" i="2"/>
  <c r="BI97" i="2"/>
  <c r="BI140" i="2"/>
  <c r="BI137" i="2"/>
  <c r="BI93" i="2"/>
  <c r="BI56" i="2"/>
  <c r="BI126" i="2"/>
  <c r="BI198" i="2"/>
  <c r="BI108" i="2"/>
  <c r="BI165" i="2"/>
  <c r="BI37" i="2"/>
  <c r="BI40" i="2"/>
  <c r="BI153" i="2"/>
  <c r="BI169" i="2"/>
  <c r="BI197" i="2"/>
  <c r="BI164" i="2"/>
  <c r="BI155" i="2"/>
  <c r="BI78" i="2"/>
  <c r="BI70" i="2"/>
  <c r="BI75" i="2"/>
  <c r="BI15" i="2"/>
  <c r="BI60" i="2"/>
  <c r="BI24" i="2"/>
  <c r="BI10" i="2"/>
  <c r="BI112" i="2"/>
  <c r="BI143" i="2"/>
  <c r="BI36" i="2"/>
  <c r="BI76" i="2"/>
  <c r="BI7" i="2"/>
  <c r="BI116" i="2"/>
  <c r="BI101" i="2"/>
  <c r="BI121" i="2"/>
  <c r="BI44" i="2"/>
  <c r="BI96" i="2"/>
  <c r="BI12" i="2"/>
  <c r="BI117" i="2"/>
  <c r="BI35" i="2"/>
  <c r="BI4" i="2"/>
  <c r="BI105" i="2"/>
  <c r="BI71" i="2"/>
  <c r="BI104" i="2"/>
  <c r="BI54" i="2"/>
  <c r="BI115" i="2"/>
  <c r="BI174" i="2"/>
  <c r="BI119" i="2"/>
  <c r="BI122" i="2"/>
  <c r="BI173" i="2"/>
  <c r="BI111" i="2"/>
  <c r="BI13" i="2"/>
  <c r="BI168" i="2"/>
  <c r="BI19" i="2"/>
  <c r="BI192" i="2"/>
  <c r="BI45" i="2"/>
  <c r="BI23" i="2"/>
  <c r="BI32" i="2"/>
  <c r="BI185" i="2"/>
  <c r="BI187" i="2"/>
  <c r="BI25" i="2"/>
  <c r="BI87" i="2"/>
  <c r="BI6" i="2"/>
  <c r="BI186" i="2"/>
  <c r="BI30" i="2"/>
  <c r="BI129" i="2"/>
  <c r="BI196" i="2"/>
  <c r="BI33" i="2"/>
  <c r="BI171" i="2"/>
  <c r="BI175" i="2"/>
  <c r="BI149" i="2"/>
  <c r="BI64" i="2"/>
  <c r="BI50" i="2"/>
  <c r="BI136" i="2"/>
  <c r="BI67" i="2"/>
  <c r="BI113" i="2"/>
  <c r="BI181" i="2"/>
  <c r="BI194" i="2"/>
  <c r="BI110" i="2"/>
  <c r="BI55" i="2"/>
  <c r="BI203" i="2"/>
  <c r="BI133" i="2"/>
  <c r="BI81" i="2"/>
  <c r="BI80" i="2"/>
  <c r="BI195" i="2"/>
  <c r="BI127" i="2"/>
  <c r="BI83" i="2"/>
  <c r="BI184" i="2"/>
  <c r="BI46" i="2"/>
  <c r="BI38" i="2"/>
  <c r="BI107" i="2"/>
  <c r="BI27" i="2"/>
  <c r="BI31" i="2"/>
  <c r="BI57" i="2"/>
  <c r="BI103" i="2"/>
  <c r="BI48" i="2"/>
  <c r="BI53" i="2"/>
  <c r="BI148" i="2"/>
  <c r="BI160" i="2"/>
  <c r="BI20" i="2"/>
  <c r="BI58" i="2"/>
  <c r="BI162" i="2"/>
  <c r="BI151" i="2"/>
  <c r="BI170" i="2"/>
  <c r="BI135" i="2"/>
  <c r="BI62" i="2"/>
  <c r="BI146" i="2"/>
  <c r="BI125" i="2"/>
  <c r="BI26" i="2"/>
  <c r="BI79" i="2"/>
  <c r="BI61" i="2"/>
  <c r="BI106" i="2"/>
  <c r="BI120" i="2"/>
  <c r="BI144" i="2"/>
  <c r="BI88" i="2"/>
  <c r="BI163" i="2"/>
  <c r="BI147" i="2"/>
  <c r="BI132" i="2"/>
  <c r="BI201" i="2"/>
  <c r="BI84" i="2"/>
  <c r="BI11" i="2"/>
  <c r="BI90" i="2"/>
  <c r="BI141" i="2"/>
  <c r="BI91" i="2"/>
  <c r="BI166" i="2"/>
  <c r="BI145" i="2"/>
  <c r="BI8" i="2"/>
  <c r="BI72" i="2"/>
  <c r="BI89" i="2"/>
  <c r="BI21" i="2"/>
  <c r="BI41" i="2"/>
  <c r="BI68" i="2"/>
  <c r="BI191" i="2"/>
  <c r="BI189" i="2"/>
  <c r="BI130" i="2"/>
  <c r="BI100" i="2"/>
  <c r="BI199" i="2"/>
  <c r="BI134" i="2"/>
  <c r="BI161" i="2"/>
  <c r="BI34" i="2"/>
  <c r="BI182" i="2"/>
  <c r="BI29" i="2"/>
  <c r="BI59" i="2"/>
  <c r="BI142" i="2"/>
  <c r="BI188" i="2"/>
  <c r="BI200" i="2"/>
  <c r="BI102" i="2"/>
  <c r="BI150" i="2"/>
  <c r="BI183" i="2"/>
  <c r="BI3" i="2"/>
  <c r="C8" i="4" s="1"/>
  <c r="E8" i="4" s="1"/>
  <c r="F8" i="4" s="1"/>
  <c r="G8" i="4" s="1"/>
  <c r="L8" i="4" s="1"/>
  <c r="BI5" i="2"/>
  <c r="BI43" i="2"/>
  <c r="BI123" i="2"/>
  <c r="BI42" i="2"/>
  <c r="BI14" i="2"/>
  <c r="BI176" i="2"/>
  <c r="BI18" i="2"/>
  <c r="BI65" i="2"/>
  <c r="BI66" i="2"/>
  <c r="BI49" i="2"/>
  <c r="BI118" i="2"/>
  <c r="BI138" i="2"/>
  <c r="BI85" i="2"/>
  <c r="BI22" i="2"/>
  <c r="BI139" i="2"/>
  <c r="BI51" i="2"/>
  <c r="BI16" i="2"/>
  <c r="BI82" i="2"/>
  <c r="BI94" i="2"/>
  <c r="BI17" i="2"/>
  <c r="BI172" i="2"/>
  <c r="BI109" i="2"/>
  <c r="BI177" i="2"/>
  <c r="BI193" i="2"/>
  <c r="BI180" i="2"/>
  <c r="BI156" i="2"/>
  <c r="BI73" i="2"/>
  <c r="BI86" i="2"/>
  <c r="BI98" i="2"/>
  <c r="BI114" i="2"/>
  <c r="BI154" i="2"/>
  <c r="BI159" i="2"/>
  <c r="BI95" i="2"/>
  <c r="BI63" i="2"/>
  <c r="BI128" i="2"/>
  <c r="BI178" i="2"/>
  <c r="BI99" i="2"/>
  <c r="BI179" i="2"/>
  <c r="BI131" i="2"/>
  <c r="BI77" i="2"/>
  <c r="BI69" i="2"/>
  <c r="BI157" i="2"/>
  <c r="BI39" i="2"/>
  <c r="BI9" i="2"/>
  <c r="BI52" i="2"/>
  <c r="BI124" i="2"/>
  <c r="BI74" i="2"/>
  <c r="BI158" i="2"/>
  <c r="BI190" i="2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<sst xmlns="http://schemas.openxmlformats.org/spreadsheetml/2006/main" count="1173" uniqueCount="324">
  <si>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</si>
  <si>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</si>
  <si>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</si>
  <si>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</si>
  <si>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</si>
  <si>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</si>
  <si>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</si>
  <si>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</si>
  <si>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</si>
  <si>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</si>
  <si>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</si>
  <si>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</si>
  <si>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</si>
  <si>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</si>
  <si>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</si>
  <si>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</si>
  <si>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</si>
  <si>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</si>
  <si>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</si>
  <si>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Pin maritime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</si>
  <si>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</si>
  <si>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</si>
  <si>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</si>
  <si>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</si>
  <si>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</si>
  <si>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</si>
  <si>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</si>
  <si>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</si>
  <si>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</si>
  <si>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</si>
  <si>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</si>
  <si>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</si>
  <si>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</si>
  <si>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</si>
  <si>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</si>
  <si>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</si>
  <si>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</si>
  <si>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</si>
  <si>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</si>
  <si>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</si>
  <si>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</si>
  <si>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</si>
  <si>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</si>
  <si>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</si>
  <si>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</si>
  <si>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</si>
  <si>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</si>
  <si>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</si>
  <si>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</si>
  <si>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</si>
  <si>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</si>
  <si>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</si>
  <si>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</si>
  <si>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</si>
  <si>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</si>
  <si>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</si>
  <si>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</si>
  <si>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</si>
  <si>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</si>
  <si>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</si>
  <si>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</si>
  <si>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</si>
  <si>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</si>
  <si>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</si>
  <si>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</si>
  <si>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</si>
  <si>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</si>
  <si>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</si>
  <si>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</si>
  <si>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</si>
  <si>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</si>
  <si>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</si>
  <si>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</si>
  <si>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</si>
  <si>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</si>
  <si>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</si>
  <si>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</si>
  <si>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</si>
  <si>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</si>
  <si>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</si>
  <si>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</si>
  <si>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</si>
  <si>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</si>
  <si>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</si>
  <si>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</si>
  <si>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</si>
  <si>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</si>
  <si>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</si>
  <si>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</si>
  <si>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</si>
  <si>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</si>
  <si>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</si>
  <si>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</si>
  <si>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</si>
  <si>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</si>
  <si>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</si>
  <si>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</si>
  <si>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</si>
  <si>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</si>
  <si>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Année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</si>
  <si>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</si>
  <si>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</si>
  <si>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</si>
  <si>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</si>
  <si>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</si>
  <si>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</si>
  <si>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</si>
  <si>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-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</si>
  <si>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</si>
  <si>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</si>
  <si>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</si>
  <si>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</si>
  <si>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</si>
  <si>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</si>
  <si>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</si>
  <si>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</si>
  <si>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</si>
  <si>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</si>
  <si>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</si>
  <si>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</si>
  <si>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Scénario de référence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</si>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</sst>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134.28250989030781</c:v>
                </c:pt>
                <c:pt idx="19">
                  <c:v>157.45506117882073</c:v>
                </c:pt>
                <c:pt idx="20">
                  <c:v>180.54657390777126</c:v>
                </c:pt>
                <c:pt idx="21">
                  <c:v>203.56888236001612</c:v>
                </c:pt>
                <c:pt idx="22">
                  <c:v>226.53091750255075</c:v>
                </c:pt>
                <c:pt idx="23">
                  <c:v>249.43964844709606</c:v>
                </c:pt>
                <c:pt idx="24">
                  <c:v>198.2631718527642</c:v>
                </c:pt>
                <c:pt idx="25">
                  <c:v>222.37968742634794</c:v>
                </c:pt>
                <c:pt idx="26">
                  <c:v>246.4361891457107</c:v>
                </c:pt>
                <c:pt idx="27">
                  <c:v>270.43935829312153</c:v>
                </c:pt>
                <c:pt idx="28">
                  <c:v>294.39459227178389</c:v>
                </c:pt>
                <c:pt idx="29">
                  <c:v>318.30633801047736</c:v>
                </c:pt>
                <c:pt idx="30">
                  <c:v>270.68449172782698</c:v>
                </c:pt>
                <c:pt idx="31">
                  <c:v>293.51930351408345</c:v>
                </c:pt>
                <c:pt idx="32">
                  <c:v>316.31447172414227</c:v>
                </c:pt>
                <c:pt idx="33">
                  <c:v>339.07325336996888</c:v>
                </c:pt>
                <c:pt idx="34">
                  <c:v>361.7984326115573</c:v>
                </c:pt>
                <c:pt idx="35">
                  <c:v>384.49241541397896</c:v>
                </c:pt>
                <c:pt idx="36">
                  <c:v>407.15730067263689</c:v>
                </c:pt>
                <c:pt idx="37">
                  <c:v>330.75137896983284</c:v>
                </c:pt>
                <c:pt idx="38">
                  <c:v>351.93090381479277</c:v>
                </c:pt>
                <c:pt idx="39">
                  <c:v>373.08249524821412</c:v>
                </c:pt>
                <c:pt idx="40">
                  <c:v>394.20795870969431</c:v>
                </c:pt>
                <c:pt idx="41">
                  <c:v>415.30889042922746</c:v>
                </c:pt>
                <c:pt idx="42">
                  <c:v>436.38671128579443</c:v>
                </c:pt>
                <c:pt idx="43">
                  <c:v>457.44269378262044</c:v>
                </c:pt>
                <c:pt idx="44">
                  <c:v>478.47798379712521</c:v>
                </c:pt>
                <c:pt idx="45">
                  <c:v>397.753227063145</c:v>
                </c:pt>
                <c:pt idx="46">
                  <c:v>416.44223811477758</c:v>
                </c:pt>
                <c:pt idx="47">
                  <c:v>435.11317365477458</c:v>
                </c:pt>
                <c:pt idx="48">
                  <c:v>453.76691805289994</c:v>
                </c:pt>
                <c:pt idx="49">
                  <c:v>472.40427707439738</c:v>
                </c:pt>
                <c:pt idx="50">
                  <c:v>491.0259877555323</c:v>
                </c:pt>
                <c:pt idx="51">
                  <c:v>509.63272670342303</c:v>
                </c:pt>
                <c:pt idx="52">
                  <c:v>528.22511712105825</c:v>
                </c:pt>
                <c:pt idx="53">
                  <c:v>448.98126779829232</c:v>
                </c:pt>
                <c:pt idx="54">
                  <c:v>465.70732350694396</c:v>
                </c:pt>
                <c:pt idx="55">
                  <c:v>482.42057605284941</c:v>
                </c:pt>
                <c:pt idx="56">
                  <c:v>499.12153124405523</c:v>
                </c:pt>
                <c:pt idx="57">
                  <c:v>515.81065829469196</c:v>
                </c:pt>
                <c:pt idx="58">
                  <c:v>532.48839359517024</c:v>
                </c:pt>
                <c:pt idx="59">
                  <c:v>549.15514398564108</c:v>
                </c:pt>
                <c:pt idx="60">
                  <c:v>565.81128961154946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9.3192472891094518</c:v>
                </c:pt>
                <c:pt idx="2">
                  <c:v>18.230113708515919</c:v>
                </c:pt>
                <c:pt idx="3">
                  <c:v>27.009093606445614</c:v>
                </c:pt>
                <c:pt idx="4">
                  <c:v>35.706775583876187</c:v>
                </c:pt>
                <c:pt idx="5">
                  <c:v>44.346088053174704</c:v>
                </c:pt>
                <c:pt idx="6">
                  <c:v>52.940110338043276</c:v>
                </c:pt>
                <c:pt idx="7">
                  <c:v>61.497274172753265</c:v>
                </c:pt>
                <c:pt idx="8">
                  <c:v>70.023452593109326</c:v>
                </c:pt>
                <c:pt idx="9">
                  <c:v>78.522962355138873</c:v>
                </c:pt>
                <c:pt idx="10">
                  <c:v>86.999104659517684</c:v>
                </c:pt>
                <c:pt idx="11">
                  <c:v>95.454482260454384</c:v>
                </c:pt>
                <c:pt idx="12">
                  <c:v>103.89119754131609</c:v>
                </c:pt>
                <c:pt idx="13">
                  <c:v>112.31098250711379</c:v>
                </c:pt>
                <c:pt idx="14">
                  <c:v>120.71528756377522</c:v>
                </c:pt>
                <c:pt idx="15">
                  <c:v>129.10534417540421</c:v>
                </c:pt>
                <c:pt idx="16">
                  <c:v>137.48221032160947</c:v>
                </c:pt>
                <c:pt idx="17">
                  <c:v>145.84680425989848</c:v>
                </c:pt>
                <c:pt idx="18">
                  <c:v>154.19993011477371</c:v>
                </c:pt>
                <c:pt idx="19">
                  <c:v>162.5422976173368</c:v>
                </c:pt>
                <c:pt idx="20">
                  <c:v>170.87453757063398</c:v>
                </c:pt>
                <c:pt idx="21">
                  <c:v>179.19721413403215</c:v>
                </c:pt>
                <c:pt idx="22">
                  <c:v>187.51083470141759</c:v>
                </c:pt>
                <c:pt idx="23">
                  <c:v>195.81585793258819</c:v>
                </c:pt>
                <c:pt idx="24">
                  <c:v>204.1127003484697</c:v>
                </c:pt>
                <c:pt idx="25">
                  <c:v>212.40174179615579</c:v>
                </c:pt>
                <c:pt idx="26">
                  <c:v>220.68333001492809</c:v>
                </c:pt>
                <c:pt idx="27">
                  <c:v>228.95778448005277</c:v>
                </c:pt>
                <c:pt idx="28">
                  <c:v>237.22539966111853</c:v>
                </c:pt>
                <c:pt idx="29">
                  <c:v>245.48644780181621</c:v>
                </c:pt>
                <c:pt idx="30">
                  <c:v>253.74118130552972</c:v>
                </c:pt>
                <c:pt idx="31">
                  <c:v>261.98983479391171</c:v>
                </c:pt>
                <c:pt idx="32">
                  <c:v>270.23262689237549</c:v>
                </c:pt>
                <c:pt idx="33">
                  <c:v>278.46976178613153</c:v>
                </c:pt>
                <c:pt idx="34">
                  <c:v>286.70143058231258</c:v>
                </c:pt>
                <c:pt idx="35">
                  <c:v>294.92781250734646</c:v>
                </c:pt>
                <c:pt idx="36">
                  <c:v>303.14907596364111</c:v>
                </c:pt>
                <c:pt idx="37">
                  <c:v>311.36537946555717</c:v>
                </c:pt>
                <c:pt idx="38">
                  <c:v>319.57687247135044</c:v>
                </c:pt>
                <c:pt idx="39">
                  <c:v>327.7836961250776</c:v>
                </c:pt>
                <c:pt idx="40">
                  <c:v>335.98598392026793</c:v>
                </c:pt>
                <c:pt idx="41">
                  <c:v>344.18386229535935</c:v>
                </c:pt>
                <c:pt idx="42">
                  <c:v>352.37745116940761</c:v>
                </c:pt>
                <c:pt idx="43">
                  <c:v>262.40778495948553</c:v>
                </c:pt>
                <c:pt idx="44">
                  <c:v>279.77778324441709</c:v>
                </c:pt>
                <c:pt idx="45">
                  <c:v>297.12360313078824</c:v>
                </c:pt>
                <c:pt idx="46">
                  <c:v>314.44685454766693</c:v>
                </c:pt>
                <c:pt idx="47">
                  <c:v>331.74895554826963</c:v>
                </c:pt>
                <c:pt idx="48">
                  <c:v>349.03116420256214</c:v>
                </c:pt>
                <c:pt idx="49">
                  <c:v>366.29460383970854</c:v>
                </c:pt>
                <c:pt idx="50">
                  <c:v>383.54028328139998</c:v>
                </c:pt>
                <c:pt idx="51">
                  <c:v>292.05092461873784</c:v>
                </c:pt>
                <c:pt idx="52">
                  <c:v>308.65064589135704</c:v>
                </c:pt>
                <c:pt idx="53">
                  <c:v>325.23054531597643</c:v>
                </c:pt>
                <c:pt idx="54">
                  <c:v>341.7917754639322</c:v>
                </c:pt>
                <c:pt idx="55">
                  <c:v>358.33536810122433</c:v>
                </c:pt>
                <c:pt idx="56">
                  <c:v>374.86225195980757</c:v>
                </c:pt>
                <c:pt idx="57">
                  <c:v>391.37326721033105</c:v>
                </c:pt>
                <c:pt idx="58">
                  <c:v>407.8691773646886</c:v>
                </c:pt>
                <c:pt idx="59">
                  <c:v>335.57765361490061</c:v>
                </c:pt>
                <c:pt idx="60">
                  <c:v>351.6458228184726</c:v>
                </c:pt>
                <c:pt idx="61">
                  <c:v>367.69789975552197</c:v>
                </c:pt>
                <c:pt idx="62">
                  <c:v>383.73468571094264</c:v>
                </c:pt>
                <c:pt idx="63">
                  <c:v>399.75690954133552</c:v>
                </c:pt>
                <c:pt idx="64">
                  <c:v>415.76523692275788</c:v>
                </c:pt>
                <c:pt idx="65">
                  <c:v>431.7602780998393</c:v>
                </c:pt>
                <c:pt idx="66">
                  <c:v>447.74259442675452</c:v>
                </c:pt>
                <c:pt idx="67">
                  <c:v>374.51674712801105</c:v>
                </c:pt>
                <c:pt idx="68">
                  <c:v>389.81214935934941</c:v>
                </c:pt>
                <c:pt idx="69">
                  <c:v>405.09453150971348</c:v>
                </c:pt>
                <c:pt idx="70">
                  <c:v>420.36445384023858</c:v>
                </c:pt>
                <c:pt idx="71">
                  <c:v>435.6224325956893</c:v>
                </c:pt>
                <c:pt idx="72">
                  <c:v>450.86894491524566</c:v>
                </c:pt>
                <c:pt idx="73">
                  <c:v>466.10443304448285</c:v>
                </c:pt>
                <c:pt idx="74">
                  <c:v>481.32930796803049</c:v>
                </c:pt>
                <c:pt idx="75">
                  <c:v>496.54395255876426</c:v>
                </c:pt>
                <c:pt idx="76">
                  <c:v>422.39338609589839</c:v>
                </c:pt>
                <c:pt idx="77">
                  <c:v>436.79749057783533</c:v>
                </c:pt>
                <c:pt idx="78">
                  <c:v>451.19140615963164</c:v>
                </c:pt>
                <c:pt idx="79">
                  <c:v>465.57550360621468</c:v>
                </c:pt>
                <c:pt idx="80">
                  <c:v>479.95012890910158</c:v>
                </c:pt>
                <c:pt idx="81">
                  <c:v>494.31560564955754</c:v>
                </c:pt>
                <c:pt idx="82">
                  <c:v>508.67223707280192</c:v>
                </c:pt>
                <c:pt idx="83">
                  <c:v>523.02030791590971</c:v>
                </c:pt>
                <c:pt idx="84">
                  <c:v>445.55527897620863</c:v>
                </c:pt>
                <c:pt idx="85">
                  <c:v>458.85576549100148</c:v>
                </c:pt>
                <c:pt idx="86">
                  <c:v>472.14802254741471</c:v>
                </c:pt>
                <c:pt idx="87">
                  <c:v>485.43231443562428</c:v>
                </c:pt>
                <c:pt idx="88">
                  <c:v>498.70888980334422</c:v>
                </c:pt>
                <c:pt idx="89">
                  <c:v>511.97798298217077</c:v>
                </c:pt>
                <c:pt idx="90">
                  <c:v>525.23981516929643</c:v>
                </c:pt>
                <c:pt idx="91">
                  <c:v>538.49459548369111</c:v>
                </c:pt>
                <c:pt idx="92">
                  <c:v>283.96640459535541</c:v>
                </c:pt>
                <c:pt idx="93">
                  <c:v>292.91819403107104</c:v>
                </c:pt>
                <c:pt idx="94">
                  <c:v>301.8638769495987</c:v>
                </c:pt>
                <c:pt idx="95">
                  <c:v>310.80365997983705</c:v>
                </c:pt>
                <c:pt idx="96">
                  <c:v>319.7377368842632</c:v>
                </c:pt>
                <c:pt idx="97">
                  <c:v>328.66628970508418</c:v>
                </c:pt>
                <c:pt idx="98">
                  <c:v>337.58948977925905</c:v>
                </c:pt>
                <c:pt idx="99">
                  <c:v>346.50749864053495</c:v>
                </c:pt>
                <c:pt idx="100">
                  <c:v>355.42046882371937</c:v>
                </c:pt>
                <c:pt idx="101">
                  <c:v>364.32854458402329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B12" zoomScale="80" zoomScaleNormal="80" workbookViewId="0">
      <selection activeCell="B12" sqref="B12"/>
    </sheetView>
  </sheetViews>
  <sheetFormatPr baseColWidth="10" defaultColWidth="11.3828125" defaultRowHeight="14.6" x14ac:dyDescent="0.4"/>
  <cols>
    <col min="1" max="1" width="6.69140625" customWidth="1"/>
    <col min="2" max="13" width="15.84375" customWidth="1"/>
  </cols>
  <sheetData>
    <row r="12" spans="2:13" ht="15" customHeight="1" x14ac:dyDescent="0.4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30" sqref="E30"/>
    </sheetView>
  </sheetViews>
  <sheetFormatPr baseColWidth="10" defaultColWidth="11.3828125" defaultRowHeight="14.6" x14ac:dyDescent="0.4"/>
  <cols>
    <col min="1" max="1" width="13.69140625" style="23" customWidth="1"/>
    <col min="2" max="2" width="36.07421875" style="23" customWidth="1"/>
    <col min="3" max="3" width="14.84375" style="23" bestFit="1" customWidth="1"/>
    <col min="4" max="4" width="16.3828125" style="23" customWidth="1"/>
    <col min="5" max="5" width="23.23046875" style="23" customWidth="1"/>
    <col min="6" max="6" width="28.84375" style="23" bestFit="1" customWidth="1"/>
    <col min="7" max="8" width="14.69140625" style="23" customWidth="1"/>
    <col min="9" max="9" width="17" style="23" customWidth="1"/>
    <col min="10" max="10" width="13.84375" style="23" customWidth="1"/>
    <col min="11" max="16384" width="11.3828125" style="23"/>
  </cols>
  <sheetData>
    <row r="1" spans="1:38" x14ac:dyDescent="0.4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7</v>
      </c>
      <c r="B5" s="268"/>
      <c r="C5" s="24">
        <v>6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30" t="s">
        <v>15</v>
      </c>
      <c r="B9" s="31" t="s">
        <v>16</v>
      </c>
      <c r="C9" s="32">
        <v>0.21</v>
      </c>
      <c r="D9" s="33">
        <f t="shared" ref="D9:D18" si="0">C9*$C$5</f>
        <v>1.26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30" t="s">
        <v>18</v>
      </c>
      <c r="B10" s="31" t="s">
        <v>19</v>
      </c>
      <c r="C10" s="32">
        <v>0.65</v>
      </c>
      <c r="D10" s="33">
        <f t="shared" si="0"/>
        <v>3.9000000000000004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30" t="s">
        <v>20</v>
      </c>
      <c r="B11" s="31" t="s">
        <v>170</v>
      </c>
      <c r="C11" s="32">
        <v>0.13</v>
      </c>
      <c r="D11" s="33">
        <f t="shared" si="0"/>
        <v>0.78</v>
      </c>
      <c r="E11" s="34">
        <v>101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30" t="s">
        <v>21</v>
      </c>
      <c r="B12" s="31" t="s">
        <v>204</v>
      </c>
      <c r="C12" s="32">
        <v>0.01</v>
      </c>
      <c r="D12" s="33">
        <f t="shared" si="0"/>
        <v>0.06</v>
      </c>
      <c r="E12" s="34">
        <v>70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8"/>
      <c r="B19" s="36" t="s">
        <v>28</v>
      </c>
      <c r="C19" s="37">
        <f>SUM(C9:C18)</f>
        <v>1</v>
      </c>
      <c r="D19" s="38">
        <f>SUM(D9:D18)</f>
        <v>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29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1" t="s">
        <v>35</v>
      </c>
      <c r="B26" s="42" t="s">
        <v>36</v>
      </c>
      <c r="C26" s="43">
        <v>0.05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41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6" t="s">
        <v>15</v>
      </c>
      <c r="B32" s="47" t="str">
        <f>IF(B9="","",B9)</f>
        <v>Chêne sessile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5" t="s">
        <v>43</v>
      </c>
      <c r="C34" s="259" t="s">
        <v>44</v>
      </c>
      <c r="D34" s="259"/>
      <c r="E34" s="260" t="s">
        <v>45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50">
        <v>42</v>
      </c>
      <c r="B36" s="60">
        <v>171.96</v>
      </c>
      <c r="C36" s="60">
        <v>3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50">
        <v>50</v>
      </c>
      <c r="B37" s="60">
        <v>208.33</v>
      </c>
      <c r="C37" s="60">
        <v>4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50">
        <v>58</v>
      </c>
      <c r="B38" s="60">
        <v>253.7</v>
      </c>
      <c r="C38" s="60">
        <v>5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50">
        <v>66</v>
      </c>
      <c r="B39" s="60">
        <v>286.77</v>
      </c>
      <c r="C39" s="60">
        <v>6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50">
        <v>74</v>
      </c>
      <c r="B40" s="60">
        <v>310.95999999999998</v>
      </c>
      <c r="C40" s="60">
        <v>7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50">
        <v>84</v>
      </c>
      <c r="B41" s="60">
        <v>355.09</v>
      </c>
      <c r="C41" s="60">
        <v>8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50">
        <v>94</v>
      </c>
      <c r="B42" s="60">
        <v>380.13</v>
      </c>
      <c r="C42" s="60">
        <v>9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50">
        <v>104</v>
      </c>
      <c r="B43" s="60">
        <v>402.2</v>
      </c>
      <c r="C43" s="60">
        <v>10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50">
        <v>114</v>
      </c>
      <c r="B44" s="60">
        <v>424.56</v>
      </c>
      <c r="C44" s="60">
        <v>11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50">
        <v>124</v>
      </c>
      <c r="B45" s="60">
        <v>451.86</v>
      </c>
      <c r="C45" s="60">
        <v>12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50">
        <v>134</v>
      </c>
      <c r="B46" s="60">
        <v>484.28</v>
      </c>
      <c r="C46" s="60">
        <v>13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50">
        <v>144</v>
      </c>
      <c r="B47" s="60">
        <v>514.94000000000005</v>
      </c>
      <c r="C47" s="60">
        <v>14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50">
        <v>154</v>
      </c>
      <c r="B48" s="60">
        <v>546.49</v>
      </c>
      <c r="C48" s="60">
        <v>15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50">
        <v>164</v>
      </c>
      <c r="B49" s="60">
        <v>580.32000000000005</v>
      </c>
      <c r="C49" s="60">
        <v>16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50">
        <v>174</v>
      </c>
      <c r="B50" s="50">
        <v>610.52</v>
      </c>
      <c r="C50" s="50">
        <v>17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50">
        <v>177</v>
      </c>
      <c r="B51" s="50">
        <v>388.94</v>
      </c>
      <c r="C51" s="50">
        <v>18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50">
        <v>180</v>
      </c>
      <c r="B52" s="50">
        <v>271.56</v>
      </c>
      <c r="C52" s="50">
        <v>19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50">
        <v>183</v>
      </c>
      <c r="B53" s="50">
        <v>191.47</v>
      </c>
      <c r="C53" s="50">
        <v>20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6" t="s">
        <v>18</v>
      </c>
      <c r="B58" s="52" t="str">
        <f>IF(B10="","",B10)</f>
        <v>Pin maritime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5" t="s">
        <v>43</v>
      </c>
      <c r="C60" s="259" t="s">
        <v>44</v>
      </c>
      <c r="D60" s="259"/>
      <c r="E60" s="260" t="s">
        <v>45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50">
        <v>17</v>
      </c>
      <c r="B62" s="60">
        <v>123.63</v>
      </c>
      <c r="C62" s="60">
        <v>1</v>
      </c>
      <c r="D62" s="60">
        <v>41.179999999999993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7.2723529411764707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50">
        <v>23</v>
      </c>
      <c r="B63" s="60">
        <v>189.21</v>
      </c>
      <c r="C63" s="60">
        <v>2</v>
      </c>
      <c r="D63" s="60">
        <v>58.370000000000005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17.793333333333333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50">
        <v>29</v>
      </c>
      <c r="B64" s="60">
        <v>242.91</v>
      </c>
      <c r="C64" s="60">
        <v>3</v>
      </c>
      <c r="D64" s="60">
        <v>54.97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18.678333333333331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50">
        <v>36</v>
      </c>
      <c r="B65" s="60">
        <v>312.57</v>
      </c>
      <c r="C65" s="60">
        <v>4</v>
      </c>
      <c r="D65" s="60">
        <v>76.509999999999991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17.804285714285715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50">
        <v>44</v>
      </c>
      <c r="B66" s="60">
        <v>368.73</v>
      </c>
      <c r="C66" s="60">
        <v>5</v>
      </c>
      <c r="D66" s="60">
        <v>78.240000000000009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16.583750000000002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50">
        <v>52</v>
      </c>
      <c r="B67" s="60">
        <v>408.01</v>
      </c>
      <c r="C67" s="60">
        <v>6</v>
      </c>
      <c r="D67" s="60">
        <v>75.70999999999998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14.689999999999998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50">
        <v>60</v>
      </c>
      <c r="B68" s="60">
        <v>437.74</v>
      </c>
      <c r="C68" s="60">
        <v>7</v>
      </c>
      <c r="D68" s="60">
        <v>437.74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13.18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6" t="s">
        <v>20</v>
      </c>
      <c r="B84" s="52" t="str">
        <f>IF(B11="","",B11)</f>
        <v>Cèdre de l'Atlas</v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5" t="s">
        <v>43</v>
      </c>
      <c r="C86" s="259" t="s">
        <v>44</v>
      </c>
      <c r="D86" s="259"/>
      <c r="E86" s="260" t="s">
        <v>45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50">
        <v>42</v>
      </c>
      <c r="B88" s="60">
        <v>344.46</v>
      </c>
      <c r="C88" s="60">
        <v>1</v>
      </c>
      <c r="D88" s="60">
        <v>107.08999999999997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8.2014285714285702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50">
        <v>50</v>
      </c>
      <c r="B89" s="60">
        <v>375.69</v>
      </c>
      <c r="C89" s="60">
        <v>2</v>
      </c>
      <c r="D89" s="60">
        <v>108.07</v>
      </c>
      <c r="E89" s="51">
        <v>0.6</v>
      </c>
      <c r="F89" s="51">
        <v>0.2</v>
      </c>
      <c r="G89" s="51">
        <v>0.2</v>
      </c>
      <c r="H89" s="87">
        <v>0</v>
      </c>
      <c r="I89" s="53">
        <f t="shared" ref="I89:I107" si="3">IF(A89&lt;&gt;0,(B89-(B88-D88))/(A89-A88),"")</f>
        <v>17.29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50">
        <v>58</v>
      </c>
      <c r="B90" s="60">
        <v>400.11</v>
      </c>
      <c r="C90" s="60">
        <v>3</v>
      </c>
      <c r="D90" s="60">
        <v>88.54000000000002</v>
      </c>
      <c r="E90" s="87">
        <v>0.6</v>
      </c>
      <c r="F90" s="87">
        <v>0.2</v>
      </c>
      <c r="G90" s="87">
        <v>0.2</v>
      </c>
      <c r="H90" s="87">
        <v>0</v>
      </c>
      <c r="I90" s="53">
        <f t="shared" si="3"/>
        <v>16.561250000000001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50">
        <v>66</v>
      </c>
      <c r="B91" s="60">
        <v>440.2</v>
      </c>
      <c r="C91" s="60">
        <v>4</v>
      </c>
      <c r="D91" s="60">
        <v>88.899999999999977</v>
      </c>
      <c r="E91" s="87">
        <v>0.6</v>
      </c>
      <c r="F91" s="87">
        <v>0.2</v>
      </c>
      <c r="G91" s="87">
        <v>0.2</v>
      </c>
      <c r="H91" s="87">
        <v>0</v>
      </c>
      <c r="I91" s="53">
        <f t="shared" si="3"/>
        <v>16.078749999999999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50">
        <v>75</v>
      </c>
      <c r="B92" s="60">
        <v>489.37</v>
      </c>
      <c r="C92" s="60">
        <v>5</v>
      </c>
      <c r="D92" s="60">
        <v>89.149999999999977</v>
      </c>
      <c r="E92" s="87">
        <v>0.6</v>
      </c>
      <c r="F92" s="87">
        <v>0.2</v>
      </c>
      <c r="G92" s="87">
        <v>0.2</v>
      </c>
      <c r="H92" s="87">
        <v>0</v>
      </c>
      <c r="I92" s="53">
        <f t="shared" si="3"/>
        <v>15.341111111111111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50">
        <v>83</v>
      </c>
      <c r="B93" s="60">
        <v>516.09</v>
      </c>
      <c r="C93" s="60">
        <v>6</v>
      </c>
      <c r="D93" s="60">
        <v>91.480000000000018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14.483750000000001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50">
        <v>91</v>
      </c>
      <c r="B94" s="60">
        <v>531.72</v>
      </c>
      <c r="C94" s="60">
        <v>7</v>
      </c>
      <c r="D94" s="60">
        <v>264.52000000000004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13.388750000000002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60">
        <v>101</v>
      </c>
      <c r="B95" s="60">
        <v>356.43</v>
      </c>
      <c r="C95" s="60">
        <v>8</v>
      </c>
      <c r="D95" s="60">
        <v>356.43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8.9230000000000018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6" t="s">
        <v>21</v>
      </c>
      <c r="B110" s="52" t="str">
        <f>IF(B12="","",B12)</f>
        <v>Douglas</v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5" t="s">
        <v>43</v>
      </c>
      <c r="C112" s="259" t="s">
        <v>44</v>
      </c>
      <c r="D112" s="259"/>
      <c r="E112" s="260" t="s">
        <v>45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50">
        <v>21</v>
      </c>
      <c r="B114" s="60">
        <v>195.31</v>
      </c>
      <c r="C114" s="50">
        <v>1</v>
      </c>
      <c r="D114" s="60">
        <v>64.599999999999994</v>
      </c>
      <c r="E114" s="51">
        <v>0.25</v>
      </c>
      <c r="F114" s="51">
        <v>0.37</v>
      </c>
      <c r="G114" s="51">
        <v>0.38</v>
      </c>
      <c r="H114" s="51">
        <v>0</v>
      </c>
      <c r="I114" s="53">
        <f>IFERROR(B114/A114,"")</f>
        <v>9.300476190476191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50">
        <v>28</v>
      </c>
      <c r="B115" s="60">
        <v>282.01</v>
      </c>
      <c r="C115" s="50">
        <v>2</v>
      </c>
      <c r="D115" s="60">
        <v>67.639999999999986</v>
      </c>
      <c r="E115" s="51">
        <v>0.25</v>
      </c>
      <c r="F115" s="51">
        <v>0.37</v>
      </c>
      <c r="G115" s="51">
        <v>0.38</v>
      </c>
      <c r="H115" s="51">
        <v>0</v>
      </c>
      <c r="I115" s="53">
        <f t="shared" ref="I115:I133" si="4">IF(A115&lt;&gt;0,(B115-(B114-D114))/(A115-A114),"")</f>
        <v>21.61428571428571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50">
        <v>35</v>
      </c>
      <c r="B116" s="60">
        <v>377.23</v>
      </c>
      <c r="C116" s="50">
        <v>3</v>
      </c>
      <c r="D116" s="60">
        <v>86.700000000000045</v>
      </c>
      <c r="E116" s="51">
        <v>0.6</v>
      </c>
      <c r="F116" s="51">
        <v>0.2</v>
      </c>
      <c r="G116" s="51">
        <v>0.2</v>
      </c>
      <c r="H116" s="51">
        <v>0</v>
      </c>
      <c r="I116" s="53">
        <f t="shared" si="4"/>
        <v>23.265714285714289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50">
        <v>42</v>
      </c>
      <c r="B117" s="60">
        <v>450.49</v>
      </c>
      <c r="C117" s="50">
        <v>4</v>
      </c>
      <c r="D117" s="60">
        <v>100.04000000000002</v>
      </c>
      <c r="E117" s="51">
        <v>0.6</v>
      </c>
      <c r="F117" s="51">
        <v>0.2</v>
      </c>
      <c r="G117" s="51">
        <v>0.2</v>
      </c>
      <c r="H117" s="51">
        <v>0</v>
      </c>
      <c r="I117" s="53">
        <f t="shared" si="4"/>
        <v>22.851428571428578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50">
        <v>49</v>
      </c>
      <c r="B118" s="60">
        <v>504.24</v>
      </c>
      <c r="C118" s="50">
        <v>5</v>
      </c>
      <c r="D118" s="60">
        <v>112.69999999999999</v>
      </c>
      <c r="E118" s="51">
        <v>0.6</v>
      </c>
      <c r="F118" s="51">
        <v>0.2</v>
      </c>
      <c r="G118" s="51">
        <v>0.2</v>
      </c>
      <c r="H118" s="51">
        <v>0</v>
      </c>
      <c r="I118" s="53">
        <f t="shared" si="4"/>
        <v>21.970000000000002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50">
        <v>56</v>
      </c>
      <c r="B119" s="60">
        <v>534.03</v>
      </c>
      <c r="C119" s="50">
        <v>6</v>
      </c>
      <c r="D119" s="60">
        <v>94.669999999999959</v>
      </c>
      <c r="E119" s="51">
        <v>0.6</v>
      </c>
      <c r="F119" s="51">
        <v>0.2</v>
      </c>
      <c r="G119" s="51">
        <v>0.2</v>
      </c>
      <c r="H119" s="51">
        <v>0</v>
      </c>
      <c r="I119" s="53">
        <f t="shared" si="4"/>
        <v>20.355714285714278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60">
        <v>63</v>
      </c>
      <c r="B120" s="60">
        <v>569.67999999999995</v>
      </c>
      <c r="C120" s="60">
        <v>7</v>
      </c>
      <c r="D120" s="60">
        <v>99.599999999999966</v>
      </c>
      <c r="E120" s="87">
        <v>0.6</v>
      </c>
      <c r="F120" s="87">
        <v>0.2</v>
      </c>
      <c r="G120" s="87">
        <v>0.2</v>
      </c>
      <c r="H120" s="87">
        <v>0</v>
      </c>
      <c r="I120" s="53">
        <f t="shared" si="4"/>
        <v>18.617142857142849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60">
        <v>70</v>
      </c>
      <c r="B121" s="60">
        <v>586.86</v>
      </c>
      <c r="C121" s="60">
        <v>8</v>
      </c>
      <c r="D121" s="60">
        <v>586.86</v>
      </c>
      <c r="E121" s="87">
        <v>0.6</v>
      </c>
      <c r="F121" s="87">
        <v>0.2</v>
      </c>
      <c r="G121" s="87">
        <v>0.2</v>
      </c>
      <c r="H121" s="87">
        <v>0</v>
      </c>
      <c r="I121" s="53">
        <f t="shared" si="4"/>
        <v>16.682857142857149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5" t="s">
        <v>43</v>
      </c>
      <c r="C138" s="259" t="s">
        <v>44</v>
      </c>
      <c r="D138" s="259"/>
      <c r="E138" s="260" t="s">
        <v>45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5" t="s">
        <v>43</v>
      </c>
      <c r="C164" s="259" t="s">
        <v>44</v>
      </c>
      <c r="D164" s="259"/>
      <c r="E164" s="260" t="s">
        <v>45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5" t="s">
        <v>43</v>
      </c>
      <c r="C190" s="259" t="s">
        <v>44</v>
      </c>
      <c r="D190" s="259"/>
      <c r="E190" s="260" t="s">
        <v>45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5" t="s">
        <v>43</v>
      </c>
      <c r="C216" s="259" t="s">
        <v>44</v>
      </c>
      <c r="D216" s="259"/>
      <c r="E216" s="260" t="s">
        <v>45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5" t="s">
        <v>43</v>
      </c>
      <c r="C242" s="259" t="s">
        <v>44</v>
      </c>
      <c r="D242" s="259"/>
      <c r="E242" s="260" t="s">
        <v>45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5" t="s">
        <v>43</v>
      </c>
      <c r="C268" s="259" t="s">
        <v>44</v>
      </c>
      <c r="D268" s="259"/>
      <c r="E268" s="260" t="s">
        <v>45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3828125" defaultRowHeight="14.6" x14ac:dyDescent="0.4"/>
  <cols>
    <col min="1" max="1" width="5.84375" style="1" customWidth="1"/>
    <col min="2" max="2" width="14.07421875" style="1" customWidth="1"/>
    <col min="3" max="3" width="62.07421875" style="1" customWidth="1"/>
    <col min="4" max="5" width="4.23046875" style="1" customWidth="1"/>
    <col min="6" max="6" width="14.23046875" style="1" customWidth="1"/>
    <col min="7" max="7" width="73.23046875" style="1" bestFit="1" customWidth="1"/>
    <col min="8" max="10" width="11.3828125" style="1"/>
    <col min="11" max="11" width="12.61328125" style="1" customWidth="1"/>
    <col min="12" max="16384" width="11.382812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67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8" t="s">
        <v>68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9"/>
      <c r="B7" s="26" t="s">
        <v>69</v>
      </c>
      <c r="C7" s="100" t="s">
        <v>70</v>
      </c>
      <c r="D7" s="215"/>
      <c r="E7" s="101"/>
      <c r="F7" s="26" t="s">
        <v>69</v>
      </c>
      <c r="G7" s="100" t="s">
        <v>71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">
      <c r="A8" s="105">
        <v>1</v>
      </c>
      <c r="B8" s="61">
        <v>1</v>
      </c>
      <c r="C8" s="49" t="s">
        <v>72</v>
      </c>
      <c r="D8" s="23"/>
      <c r="E8" s="105">
        <v>4</v>
      </c>
      <c r="F8" s="61">
        <v>0</v>
      </c>
      <c r="G8" s="102" t="s">
        <v>73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5">
        <v>2</v>
      </c>
      <c r="B9" s="61">
        <v>0</v>
      </c>
      <c r="C9" s="108" t="s">
        <v>74</v>
      </c>
      <c r="D9" s="23"/>
      <c r="E9" s="105">
        <v>5</v>
      </c>
      <c r="F9" s="61">
        <v>0</v>
      </c>
      <c r="G9" s="103" t="s">
        <v>75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5">
        <v>3</v>
      </c>
      <c r="B10" s="61">
        <v>0</v>
      </c>
      <c r="C10" s="109" t="s">
        <v>76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6"/>
      <c r="B13" s="107"/>
      <c r="C13" s="98" t="s">
        <v>77</v>
      </c>
      <c r="D13" s="216"/>
      <c r="E13" s="99"/>
      <c r="F13" s="107"/>
      <c r="G13" s="98" t="s">
        <v>78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">
      <c r="A14" s="216"/>
      <c r="B14" s="107"/>
      <c r="C14" s="98" t="s">
        <v>79</v>
      </c>
      <c r="D14" s="216"/>
      <c r="E14" s="99"/>
      <c r="F14" s="107"/>
      <c r="G14" s="98" t="s">
        <v>80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">
      <c r="A15" s="23"/>
      <c r="B15" s="26" t="s">
        <v>69</v>
      </c>
      <c r="C15" s="4"/>
      <c r="D15" s="23"/>
      <c r="E15" s="4"/>
      <c r="F15" s="4"/>
      <c r="G15" s="2" t="s">
        <v>81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1">
        <v>0.36</v>
      </c>
      <c r="C16" s="110" t="s">
        <v>82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1">
        <v>0.64</v>
      </c>
      <c r="C17" s="110" t="s">
        <v>83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1">
        <v>0</v>
      </c>
      <c r="C18" s="110" t="s">
        <v>84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1" zoomScale="90" zoomScaleNormal="90" workbookViewId="0">
      <selection activeCell="M9" sqref="M9"/>
    </sheetView>
  </sheetViews>
  <sheetFormatPr baseColWidth="10" defaultColWidth="11.3828125" defaultRowHeight="14.6" x14ac:dyDescent="0.4"/>
  <cols>
    <col min="1" max="1" width="22.84375" style="1" bestFit="1" customWidth="1"/>
    <col min="2" max="2" width="10.61328125" style="1" bestFit="1" customWidth="1"/>
    <col min="3" max="3" width="15.61328125" style="1" bestFit="1" customWidth="1"/>
    <col min="4" max="4" width="13.3828125" style="1" bestFit="1" customWidth="1"/>
    <col min="5" max="8" width="11.3828125" style="1"/>
    <col min="9" max="13" width="11.3828125" style="62"/>
    <col min="14" max="15" width="11.3828125" style="1"/>
    <col min="16" max="17" width="13.3828125" style="1" customWidth="1"/>
    <col min="18" max="16384" width="11.382812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55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8" t="s">
        <v>56</v>
      </c>
      <c r="B5" s="139" t="s">
        <v>57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58</v>
      </c>
      <c r="F5" s="140" t="s">
        <v>59</v>
      </c>
      <c r="G5" s="140" t="s">
        <v>60</v>
      </c>
      <c r="H5" s="141" t="s">
        <v>61</v>
      </c>
      <c r="I5" s="142" t="s">
        <v>62</v>
      </c>
      <c r="J5" s="143" t="s">
        <v>63</v>
      </c>
      <c r="K5" s="144" t="s">
        <v>64</v>
      </c>
      <c r="L5" s="84" t="s">
        <v>65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5" t="str">
        <f>IF('Données projet'!$B$9="","",'Données projet'!$B$9)</f>
        <v>Chêne sessile</v>
      </c>
      <c r="B6" s="146">
        <f>'Données projet'!D9</f>
        <v>1.26</v>
      </c>
      <c r="C6" s="147">
        <f ca="1">IF(OR('Données projet'!B9="",'Données projet'!C9="",'Données projet'!C9=0%),0,Calculateur!S3)</f>
        <v>652.18744712713965</v>
      </c>
      <c r="D6" s="147">
        <f>IF(OR('Données projet'!B9="",'Données projet'!C9="",'Données projet'!C9=0%),0,Calculateur!T3)</f>
        <v>288.65635870281199</v>
      </c>
      <c r="E6" s="147">
        <f ca="1">MIN(C6,D6)</f>
        <v>288.65635870281199</v>
      </c>
      <c r="F6" s="147">
        <f ca="1">E6*B6</f>
        <v>363.70701196554313</v>
      </c>
      <c r="G6" s="147">
        <f ca="1">F6*(100%-'Données projet'!$C$24)*(100%-'Données projet'!$C$25)*(100%-'Données projet'!$C$26)*(100%-'Données projet'!$C$27)</f>
        <v>310.96949523053939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310.96949523053939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3" t="str">
        <f>IF('Données projet'!$B$10="","",'Données projet'!$B$10)</f>
        <v>Pin maritime</v>
      </c>
      <c r="B7" s="154">
        <f>'Données projet'!D10</f>
        <v>3.9000000000000004</v>
      </c>
      <c r="C7" s="147">
        <f ca="1">IF(OR('Données projet'!B10="",'Données projet'!C10="",'Données projet'!C10=0%),0,Calculateur!AN3)</f>
        <v>307.94699176410495</v>
      </c>
      <c r="D7" s="147">
        <f>IF(OR('Données projet'!B10="",'Données projet'!C10="",'Données projet'!C10=0%),0,Calculateur!AO3)</f>
        <v>314.22983137038875</v>
      </c>
      <c r="E7" s="147">
        <f t="shared" ref="E7:E15" ca="1" si="0">MIN(C7,D7)</f>
        <v>307.94699176410495</v>
      </c>
      <c r="F7" s="147">
        <f t="shared" ref="F7:F15" ca="1" si="1">E7*B7</f>
        <v>1200.9932678800094</v>
      </c>
      <c r="G7" s="147">
        <f ca="1">F7*(100%-'Données projet'!$C$24)*(100%-'Données projet'!$C$25)*(100%-'Données projet'!$C$26)*(100%-'Données projet'!$C$27)</f>
        <v>1026.849244037408</v>
      </c>
      <c r="H7" s="155">
        <f>IF(OR('Données projet'!B10="",'Données projet'!C10="",'Données projet'!C10=0%),0,AVERAGE(Calculateur!$AX$3:$AX$33)*B7)</f>
        <v>40.251669661052141</v>
      </c>
      <c r="I7" s="149">
        <f>H7*(100%-'Données projet'!$C$24)*(100%-'Données projet'!$C$25)*(100%-'Données projet'!$C$26)*(100%-'Données projet'!$C$27)</f>
        <v>34.415177560199581</v>
      </c>
      <c r="J7" s="150">
        <f>IF(OR('Données projet'!B10="",'Données projet'!C10="",'Données projet'!C10=0%),0,SUM(Calculateur!$AQ$3:$AQ$33)*VLOOKUP('Données projet'!$B$10,Paramètres!$A$1:$I$89,9,0)*B7)</f>
        <v>355.55051999999995</v>
      </c>
      <c r="K7" s="151">
        <f>J7*(100%-'Données projet'!$C$24)*(100%-'Données projet'!$C$25)*(100%-'Données projet'!$C$26)*(100%-'Données projet'!$C$27)</f>
        <v>303.99569459999992</v>
      </c>
      <c r="L7" s="152">
        <f t="shared" ref="L7:L15" ca="1" si="2">G7+I7+K7</f>
        <v>1365.2601161976074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3" t="str">
        <f>IF('Données projet'!$B$11="","",'Données projet'!$B$11)</f>
        <v>Cèdre de l'Atlas</v>
      </c>
      <c r="B8" s="154">
        <f>'Données projet'!D11</f>
        <v>0.78</v>
      </c>
      <c r="C8" s="147">
        <f ca="1">IF(OR('Données projet'!B11="",'Données projet'!C11="",'Données projet'!C11=0%),0,Calculateur!BI3)</f>
        <v>346.55780187946573</v>
      </c>
      <c r="D8" s="147">
        <f>IF(OR('Données projet'!B11="",'Données projet'!C11="",'Données projet'!C11=0%),0,Calculateur!BJ3)</f>
        <v>297.28652094809149</v>
      </c>
      <c r="E8" s="147">
        <f t="shared" ca="1" si="0"/>
        <v>297.28652094809149</v>
      </c>
      <c r="F8" s="147">
        <f t="shared" ca="1" si="1"/>
        <v>231.88348633951136</v>
      </c>
      <c r="G8" s="147">
        <f ca="1">F8*(100%-'Données projet'!$C$24)*(100%-'Données projet'!$C$25)*(100%-'Données projet'!$C$26)*(100%-'Données projet'!$C$27)</f>
        <v>198.26038082028219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198.26038082028219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3" t="str">
        <f>IF('Données projet'!$B$12="","",'Données projet'!$B$12)</f>
        <v>Douglas</v>
      </c>
      <c r="B9" s="154">
        <f>'Données projet'!D12</f>
        <v>0.06</v>
      </c>
      <c r="C9" s="147">
        <f ca="1">IF(OR('Données projet'!B12="",'Données projet'!C12="",'Données projet'!C12=0%),0,Calculateur!CD3)</f>
        <v>394.00476121021177</v>
      </c>
      <c r="D9" s="147">
        <f>IF(OR('Données projet'!B12="",'Données projet'!C12="",'Données projet'!C12=0%),0,Calculateur!CE3)</f>
        <v>363.10016759175278</v>
      </c>
      <c r="E9" s="147">
        <f t="shared" ca="1" si="0"/>
        <v>363.10016759175278</v>
      </c>
      <c r="F9" s="147">
        <f t="shared" ca="1" si="1"/>
        <v>21.786010055505166</v>
      </c>
      <c r="G9" s="147">
        <f ca="1">F9*(100%-'Données projet'!$C$24)*(100%-'Données projet'!$C$25)*(100%-'Données projet'!$C$26)*(100%-'Données projet'!$C$27)</f>
        <v>18.627038597456917</v>
      </c>
      <c r="H9" s="155">
        <f>IF(OR('Données projet'!B12="",'Données projet'!C12="",'Données projet'!C12=0%),0,AVERAGE(Calculateur!$CN$3:$CN$33)*B9)</f>
        <v>0.54888120448437461</v>
      </c>
      <c r="I9" s="149">
        <f>H9*(100%-'Données projet'!$C$24)*(100%-'Données projet'!$C$25)*(100%-'Données projet'!$C$26)*(100%-'Données projet'!$C$27)</f>
        <v>0.4692934298341403</v>
      </c>
      <c r="J9" s="150">
        <f>IF(OR('Données projet'!B12="",'Données projet'!C12="",'Données projet'!C12=0%),0,SUM(Calculateur!$CG$3:$CG$33)*VLOOKUP('Données projet'!$B$12,Paramètres!$A$1:$I$89,9,0)*B9)</f>
        <v>3.4117919999999993</v>
      </c>
      <c r="K9" s="151">
        <f>J9*(100%-'Données projet'!$C$24)*(100%-'Données projet'!$C$25)*(100%-'Données projet'!$C$26)*(100%-'Données projet'!$C$27)</f>
        <v>2.9170821599999992</v>
      </c>
      <c r="L9" s="152">
        <f t="shared" ca="1" si="2"/>
        <v>22.013414187291058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9"/>
      <c r="B16" s="213"/>
      <c r="C16" s="214"/>
      <c r="D16" s="23"/>
      <c r="E16" s="23"/>
      <c r="F16" s="165">
        <f t="shared" ref="F16:L16" ca="1" si="3">SUM(F6:F15)</f>
        <v>1818.3697762405691</v>
      </c>
      <c r="G16" s="166">
        <f t="shared" ca="1" si="3"/>
        <v>1554.7061586856864</v>
      </c>
      <c r="H16" s="167">
        <f t="shared" si="3"/>
        <v>40.800550865536515</v>
      </c>
      <c r="I16" s="167">
        <f t="shared" si="3"/>
        <v>34.884470990033719</v>
      </c>
      <c r="J16" s="168">
        <f t="shared" si="3"/>
        <v>358.96231199999994</v>
      </c>
      <c r="K16" s="168">
        <f t="shared" si="3"/>
        <v>306.91277675999993</v>
      </c>
      <c r="L16" s="169">
        <f t="shared" ca="1" si="3"/>
        <v>1896.5034064357203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9"/>
      <c r="B17" s="213"/>
      <c r="C17" s="214"/>
      <c r="D17" s="23"/>
      <c r="E17" s="23"/>
      <c r="F17" s="275" t="s">
        <v>66</v>
      </c>
      <c r="G17" s="276"/>
      <c r="H17" s="276"/>
      <c r="I17" s="276"/>
      <c r="J17" s="276"/>
      <c r="K17" s="276"/>
      <c r="L17" s="27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70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7" zoomScaleNormal="100" workbookViewId="0">
      <selection activeCell="C42" sqref="C42"/>
    </sheetView>
  </sheetViews>
  <sheetFormatPr baseColWidth="10" defaultColWidth="11.3828125" defaultRowHeight="14.6" x14ac:dyDescent="0.4"/>
  <cols>
    <col min="1" max="1" width="11.3828125" style="1"/>
    <col min="2" max="2" width="30.84375" style="1" bestFit="1" customWidth="1"/>
    <col min="3" max="3" width="18.07421875" style="1" bestFit="1" customWidth="1"/>
    <col min="4" max="5" width="11.3828125" style="1"/>
    <col min="6" max="6" width="14" style="1" customWidth="1"/>
    <col min="7" max="7" width="17.61328125" style="1" customWidth="1"/>
    <col min="8" max="8" width="21.69140625" style="1" customWidth="1"/>
    <col min="9" max="9" width="37" style="1" customWidth="1"/>
    <col min="10" max="10" width="11.3828125" style="1"/>
    <col min="11" max="11" width="8.84375" style="1" customWidth="1"/>
    <col min="12" max="12" width="11.3828125" style="1"/>
    <col min="13" max="13" width="21" style="1" customWidth="1"/>
    <col min="14" max="16" width="11.3828125" style="1"/>
    <col min="17" max="17" width="8" style="1" customWidth="1"/>
    <col min="18" max="18" width="11.3828125" style="1"/>
    <col min="19" max="19" width="31" style="1" customWidth="1"/>
    <col min="20" max="20" width="18.07421875" style="1" customWidth="1"/>
    <col min="21" max="21" width="16.3828125" style="1" customWidth="1"/>
    <col min="22" max="22" width="17.84375" style="1" customWidth="1"/>
    <col min="23" max="16384" width="11.382812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85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86</v>
      </c>
      <c r="I4" s="258"/>
      <c r="K4" s="291" t="s">
        <v>87</v>
      </c>
      <c r="L4" s="29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67</v>
      </c>
      <c r="O7" s="247"/>
      <c r="P7" s="248"/>
      <c r="Q7" s="249"/>
      <c r="R7" s="283" t="s">
        <v>88</v>
      </c>
      <c r="S7" s="284"/>
      <c r="T7" s="284"/>
      <c r="U7" s="284"/>
      <c r="V7" s="28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3" t="s">
        <v>89</v>
      </c>
      <c r="C9" s="23"/>
      <c r="D9" s="23"/>
      <c r="E9" s="23"/>
      <c r="F9" s="230"/>
      <c r="G9" s="93" t="s">
        <v>90</v>
      </c>
      <c r="J9" s="200"/>
      <c r="K9" s="208"/>
      <c r="O9" s="23"/>
      <c r="P9" s="23"/>
      <c r="Q9" s="234"/>
      <c r="R9" s="23"/>
      <c r="S9" s="4"/>
      <c r="T9" s="36" t="s">
        <v>91</v>
      </c>
      <c r="U9" s="176" t="s">
        <v>92</v>
      </c>
      <c r="V9" s="36" t="s">
        <v>93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3" t="s">
        <v>94</v>
      </c>
      <c r="C10" s="23"/>
      <c r="D10" s="23"/>
      <c r="E10" s="23"/>
      <c r="F10" s="230"/>
      <c r="G10" s="93" t="s">
        <v>95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637.32610820199909</v>
      </c>
      <c r="U10" s="178">
        <f>'Données projet'!D9</f>
        <v>1.26</v>
      </c>
      <c r="V10" s="177">
        <f>U10*T10</f>
        <v>803.03089633451884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3" t="s">
        <v>96</v>
      </c>
      <c r="B11" s="23"/>
      <c r="C11" s="23"/>
      <c r="D11" s="23"/>
      <c r="E11" s="23"/>
      <c r="F11" s="230"/>
      <c r="G11" s="93" t="s">
        <v>97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2200.1966689472488</v>
      </c>
      <c r="U11" s="178">
        <f>'Données projet'!D10</f>
        <v>3.9000000000000004</v>
      </c>
      <c r="V11" s="177">
        <f t="shared" ref="V11" si="0">U11*T11</f>
        <v>8580.7670088942705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1497.3583770001674</v>
      </c>
      <c r="U12" s="178">
        <f>'Données projet'!D11</f>
        <v>0.78</v>
      </c>
      <c r="V12" s="177">
        <f t="shared" ref="V12:V19" si="1">U12*T12</f>
        <v>1167.9395340601307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30"/>
      <c r="J13" s="23"/>
      <c r="K13" s="208"/>
      <c r="L13" s="93" t="s">
        <v>98</v>
      </c>
      <c r="M13" s="23"/>
      <c r="N13" s="23"/>
      <c r="O13" s="23"/>
      <c r="P13" s="23"/>
      <c r="Q13" s="234"/>
      <c r="R13" s="23"/>
      <c r="S13" s="36" t="str">
        <f>B107</f>
        <v>Douglas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4771.85859865159</v>
      </c>
      <c r="U13" s="178">
        <f>'Données projet'!D12</f>
        <v>0.06</v>
      </c>
      <c r="V13" s="177">
        <f t="shared" si="1"/>
        <v>286.31151591909537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6" t="s">
        <v>15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99</v>
      </c>
      <c r="I14" s="36" t="s">
        <v>100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30"/>
      <c r="G15" s="294" t="s">
        <v>101</v>
      </c>
      <c r="H15" s="190">
        <v>1</v>
      </c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6" t="s">
        <v>46</v>
      </c>
      <c r="B16" s="48" t="s">
        <v>102</v>
      </c>
      <c r="C16" s="48" t="s">
        <v>103</v>
      </c>
      <c r="D16" s="36" t="s">
        <v>104</v>
      </c>
      <c r="E16" s="36" t="s">
        <v>105</v>
      </c>
      <c r="F16" s="230"/>
      <c r="G16" s="294"/>
      <c r="H16" s="190"/>
      <c r="I16" s="191"/>
      <c r="J16" s="202"/>
      <c r="K16" s="208"/>
      <c r="L16" s="291" t="s">
        <v>106</v>
      </c>
      <c r="M16" s="29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9">
        <v>0</v>
      </c>
      <c r="B17" s="199" t="s">
        <v>107</v>
      </c>
      <c r="C17" s="198" t="s">
        <v>107</v>
      </c>
      <c r="D17" s="197" t="s">
        <v>107</v>
      </c>
      <c r="E17" s="193"/>
      <c r="F17" s="230"/>
      <c r="G17" s="294"/>
      <c r="J17" s="202"/>
      <c r="K17" s="208"/>
      <c r="L17" s="260" t="s">
        <v>108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9">
        <v>1</v>
      </c>
      <c r="B18" s="199" t="s">
        <v>107</v>
      </c>
      <c r="C18" s="198" t="s">
        <v>107</v>
      </c>
      <c r="D18" s="197" t="s">
        <v>107</v>
      </c>
      <c r="E18" s="193"/>
      <c r="F18" s="230"/>
      <c r="G18" s="294"/>
      <c r="J18" s="202"/>
      <c r="K18" s="208"/>
      <c r="L18" s="260" t="s">
        <v>103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9">
        <v>2</v>
      </c>
      <c r="B19" s="199" t="s">
        <v>107</v>
      </c>
      <c r="C19" s="198" t="s">
        <v>107</v>
      </c>
      <c r="D19" s="197" t="s">
        <v>107</v>
      </c>
      <c r="E19" s="193"/>
      <c r="F19" s="230"/>
      <c r="G19" s="294"/>
      <c r="H19" s="212" t="s">
        <v>99</v>
      </c>
      <c r="I19" s="212" t="s">
        <v>109</v>
      </c>
      <c r="J19" s="93"/>
      <c r="K19" s="173"/>
      <c r="L19" s="291" t="s">
        <v>110</v>
      </c>
      <c r="M19" s="29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9">
        <v>3</v>
      </c>
      <c r="B20" s="199" t="s">
        <v>107</v>
      </c>
      <c r="C20" s="198" t="s">
        <v>107</v>
      </c>
      <c r="D20" s="197" t="s">
        <v>107</v>
      </c>
      <c r="E20" s="193"/>
      <c r="F20" s="230"/>
      <c r="G20" s="294"/>
      <c r="H20" s="190">
        <v>1</v>
      </c>
      <c r="I20" s="191">
        <v>3896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9">
        <v>4</v>
      </c>
      <c r="B21" s="199" t="s">
        <v>107</v>
      </c>
      <c r="C21" s="198" t="s">
        <v>107</v>
      </c>
      <c r="D21" s="197" t="s">
        <v>107</v>
      </c>
      <c r="E21" s="193"/>
      <c r="F21" s="230"/>
      <c r="H21" s="190">
        <v>4</v>
      </c>
      <c r="I21" s="191">
        <v>733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9">
        <v>5</v>
      </c>
      <c r="B22" s="199" t="s">
        <v>107</v>
      </c>
      <c r="C22" s="198" t="s">
        <v>107</v>
      </c>
      <c r="D22" s="197" t="s">
        <v>107</v>
      </c>
      <c r="E22" s="193"/>
      <c r="F22" s="230"/>
      <c r="H22" s="190">
        <v>6</v>
      </c>
      <c r="I22" s="191">
        <v>620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80">
        <f>'Données projet'!A36</f>
        <v>42</v>
      </c>
      <c r="B23" s="181">
        <f>'Données projet'!D36</f>
        <v>44.510000000000005</v>
      </c>
      <c r="C23" s="193">
        <v>12.5</v>
      </c>
      <c r="D23" s="182">
        <f>B23*C23</f>
        <v>556.37500000000011</v>
      </c>
      <c r="E23" s="193">
        <v>100</v>
      </c>
      <c r="F23" s="230"/>
      <c r="H23" s="190">
        <v>8</v>
      </c>
      <c r="I23" s="191">
        <v>942</v>
      </c>
      <c r="K23" s="208"/>
      <c r="L23" s="293" t="s">
        <v>111</v>
      </c>
      <c r="M23" s="293"/>
      <c r="N23" s="293"/>
      <c r="O23" s="23"/>
      <c r="P23" s="23"/>
      <c r="Q23" s="234"/>
      <c r="R23" s="23"/>
      <c r="S23" s="36" t="s">
        <v>112</v>
      </c>
      <c r="T23" s="28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-22050.296308368328</v>
      </c>
      <c r="U23" s="288"/>
      <c r="V23" s="28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80">
        <f>'Données projet'!A37</f>
        <v>50</v>
      </c>
      <c r="B24" s="181">
        <f>'Données projet'!D37</f>
        <v>37.54000000000002</v>
      </c>
      <c r="C24" s="193">
        <v>12.5</v>
      </c>
      <c r="D24" s="182">
        <f t="shared" ref="D24:D42" si="2">B24*C24</f>
        <v>469.25000000000023</v>
      </c>
      <c r="E24" s="193">
        <v>100</v>
      </c>
      <c r="F24" s="233"/>
      <c r="H24" s="190"/>
      <c r="I24" s="191"/>
      <c r="K24" s="208"/>
      <c r="O24" s="23"/>
      <c r="P24" s="23"/>
      <c r="Q24" s="234"/>
      <c r="R24" s="23"/>
      <c r="S24" s="36" t="s">
        <v>113</v>
      </c>
      <c r="T24" s="289">
        <f ca="1">'Scénario référence'!$B$8*$M$30*'Données projet'!$C$5+('Scénario référence'!B9+'Scénario référence'!B10+'Scénario référence'!F8+'Scénario référence'!F9)*$N$19/(1+M4)^N16*'Données projet'!$C$5</f>
        <v>25965.626445846996</v>
      </c>
      <c r="U24" s="289"/>
      <c r="V24" s="28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80">
        <f>'Données projet'!A38</f>
        <v>58</v>
      </c>
      <c r="B25" s="181">
        <f>'Données projet'!D38</f>
        <v>47.789999999999992</v>
      </c>
      <c r="C25" s="193">
        <v>12.5</v>
      </c>
      <c r="D25" s="182">
        <f t="shared" si="2"/>
        <v>597.37499999999989</v>
      </c>
      <c r="E25" s="193">
        <v>100</v>
      </c>
      <c r="F25" s="233"/>
      <c r="H25" s="190"/>
      <c r="I25" s="191"/>
      <c r="K25" s="208"/>
      <c r="L25" s="130" t="s">
        <v>114</v>
      </c>
      <c r="M25" s="130"/>
      <c r="N25" s="130"/>
      <c r="O25" s="130"/>
      <c r="P25" s="192">
        <v>200</v>
      </c>
      <c r="Q25" s="234"/>
      <c r="R25" s="23"/>
      <c r="S25" s="186" t="s">
        <v>115</v>
      </c>
      <c r="T25" s="290">
        <f ca="1">T23-T24</f>
        <v>-48015.922754215324</v>
      </c>
      <c r="U25" s="290"/>
      <c r="V25" s="29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80">
        <f>'Données projet'!A39</f>
        <v>66</v>
      </c>
      <c r="B26" s="181">
        <f>'Données projet'!D39</f>
        <v>53.679999999999978</v>
      </c>
      <c r="C26" s="193">
        <v>45.375</v>
      </c>
      <c r="D26" s="182">
        <f t="shared" si="2"/>
        <v>2435.7299999999991</v>
      </c>
      <c r="E26" s="193">
        <v>100</v>
      </c>
      <c r="F26" s="233"/>
      <c r="G26" s="229"/>
      <c r="H26" s="190"/>
      <c r="I26" s="191"/>
      <c r="K26" s="208"/>
      <c r="L26" s="277" t="s">
        <v>116</v>
      </c>
      <c r="M26" s="278"/>
      <c r="N26" s="278"/>
      <c r="O26" s="278"/>
      <c r="P26" s="279"/>
      <c r="Q26" s="234"/>
      <c r="R26" s="23"/>
      <c r="S26" s="186" t="s">
        <v>117</v>
      </c>
      <c r="T26" s="287" t="str">
        <f ca="1">IF(T25&lt;0,"Votre projet est additionnel","Votre projet n'est pas additionnel")</f>
        <v>Votre projet est additionnel</v>
      </c>
      <c r="U26" s="287"/>
      <c r="V26" s="28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80">
        <f>'Données projet'!A40</f>
        <v>74</v>
      </c>
      <c r="B27" s="181">
        <f>'Données projet'!D40</f>
        <v>51.339999999999975</v>
      </c>
      <c r="C27" s="193">
        <v>45.375</v>
      </c>
      <c r="D27" s="182">
        <f t="shared" si="2"/>
        <v>2329.5524999999989</v>
      </c>
      <c r="E27" s="193">
        <v>100</v>
      </c>
      <c r="F27" s="233"/>
      <c r="G27" s="229"/>
      <c r="H27" s="190"/>
      <c r="I27" s="191"/>
      <c r="K27" s="208"/>
      <c r="L27" s="280"/>
      <c r="M27" s="281"/>
      <c r="N27" s="281"/>
      <c r="O27" s="281"/>
      <c r="P27" s="282"/>
      <c r="Q27" s="234"/>
      <c r="R27" s="23"/>
      <c r="S27" s="286" t="s">
        <v>118</v>
      </c>
      <c r="T27" s="286"/>
      <c r="U27" s="286"/>
      <c r="V27" s="28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80">
        <f>'Données projet'!A41</f>
        <v>84</v>
      </c>
      <c r="B28" s="181">
        <f>'Données projet'!D41</f>
        <v>66.69</v>
      </c>
      <c r="C28" s="193">
        <v>45.375</v>
      </c>
      <c r="D28" s="182">
        <f t="shared" si="2"/>
        <v>3026.0587499999997</v>
      </c>
      <c r="E28" s="193">
        <v>100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80">
        <f>'Données projet'!A42</f>
        <v>94</v>
      </c>
      <c r="B29" s="181">
        <f>'Données projet'!D42</f>
        <v>67.350000000000023</v>
      </c>
      <c r="C29" s="193">
        <v>45.375</v>
      </c>
      <c r="D29" s="182">
        <f t="shared" si="2"/>
        <v>3056.0062500000008</v>
      </c>
      <c r="E29" s="193">
        <v>100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80">
        <f>'Données projet'!A43</f>
        <v>104</v>
      </c>
      <c r="B30" s="181">
        <f>'Données projet'!D43</f>
        <v>66.089999999999975</v>
      </c>
      <c r="C30" s="193">
        <v>45.375</v>
      </c>
      <c r="D30" s="182">
        <f t="shared" si="2"/>
        <v>2998.8337499999989</v>
      </c>
      <c r="E30" s="193">
        <v>100</v>
      </c>
      <c r="F30" s="233"/>
      <c r="G30" s="203"/>
      <c r="H30" s="190"/>
      <c r="I30" s="191"/>
      <c r="K30" s="183"/>
      <c r="L30" s="36" t="s">
        <v>119</v>
      </c>
      <c r="M30" s="184">
        <f ca="1">SUM(OFFSET($P$33,0,0,MIN('Données projet'!$E$9:$E$18)+1,1))</f>
        <v>4327.6044076411663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80">
        <f>'Données projet'!A44</f>
        <v>114</v>
      </c>
      <c r="B31" s="181">
        <f>'Données projet'!D44</f>
        <v>61.860000000000014</v>
      </c>
      <c r="C31" s="193">
        <v>45.375</v>
      </c>
      <c r="D31" s="182">
        <f t="shared" si="2"/>
        <v>2806.8975000000005</v>
      </c>
      <c r="E31" s="193">
        <v>100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80">
        <f>'Données projet'!A45</f>
        <v>124</v>
      </c>
      <c r="B32" s="181">
        <f>'Données projet'!D45</f>
        <v>57.81</v>
      </c>
      <c r="C32" s="193">
        <v>45.375</v>
      </c>
      <c r="D32" s="182">
        <f t="shared" si="2"/>
        <v>2623.1287500000003</v>
      </c>
      <c r="E32" s="193">
        <v>100</v>
      </c>
      <c r="F32" s="233"/>
      <c r="G32" s="203"/>
      <c r="H32" s="190"/>
      <c r="I32" s="191"/>
      <c r="K32" s="173"/>
      <c r="N32" s="4"/>
      <c r="O32" s="85" t="s">
        <v>99</v>
      </c>
      <c r="P32" s="85" t="s">
        <v>104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80">
        <f>'Données projet'!A46</f>
        <v>134</v>
      </c>
      <c r="B33" s="181">
        <f>'Données projet'!D46</f>
        <v>60.779999999999973</v>
      </c>
      <c r="C33" s="193">
        <v>138</v>
      </c>
      <c r="D33" s="182">
        <f t="shared" si="2"/>
        <v>8387.6399999999958</v>
      </c>
      <c r="E33" s="193">
        <v>100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80">
        <f>'Données projet'!A47</f>
        <v>144</v>
      </c>
      <c r="B34" s="181">
        <f>'Données projet'!D47</f>
        <v>61.800000000000068</v>
      </c>
      <c r="C34" s="193">
        <v>138</v>
      </c>
      <c r="D34" s="182">
        <f t="shared" si="2"/>
        <v>8528.4000000000087</v>
      </c>
      <c r="E34" s="193">
        <v>100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191.38755980861245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80">
        <f>'Données projet'!A48</f>
        <v>154</v>
      </c>
      <c r="B35" s="181">
        <f>'Données projet'!D48</f>
        <v>61.050000000000011</v>
      </c>
      <c r="C35" s="193">
        <v>138</v>
      </c>
      <c r="D35" s="182">
        <f t="shared" si="2"/>
        <v>8424.9000000000015</v>
      </c>
      <c r="E35" s="193">
        <v>100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183.14599024747605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80">
        <f>'Données projet'!A49</f>
        <v>164</v>
      </c>
      <c r="B36" s="181">
        <f>'Données projet'!D49</f>
        <v>66.020000000000095</v>
      </c>
      <c r="C36" s="193">
        <v>138</v>
      </c>
      <c r="D36" s="182">
        <f t="shared" si="2"/>
        <v>9110.760000000013</v>
      </c>
      <c r="E36" s="193">
        <v>100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175.25932081098188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80">
        <f>'Données projet'!A50</f>
        <v>174</v>
      </c>
      <c r="B37" s="181">
        <f>'Données projet'!D50</f>
        <v>240</v>
      </c>
      <c r="C37" s="193">
        <v>156.375</v>
      </c>
      <c r="D37" s="182">
        <f t="shared" si="2"/>
        <v>37530</v>
      </c>
      <c r="E37" s="193">
        <v>100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167.71226871864297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80">
        <f>'Données projet'!A51</f>
        <v>177</v>
      </c>
      <c r="B38" s="181">
        <f>'Données projet'!D51</f>
        <v>128.66000000000003</v>
      </c>
      <c r="C38" s="193">
        <v>156.375</v>
      </c>
      <c r="D38" s="182">
        <f t="shared" si="2"/>
        <v>20119.207500000004</v>
      </c>
      <c r="E38" s="193">
        <v>100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160.49020930013683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80">
        <f>'Données projet'!A52</f>
        <v>180</v>
      </c>
      <c r="B39" s="181">
        <f>'Données projet'!D52</f>
        <v>86.97</v>
      </c>
      <c r="C39" s="193">
        <v>156.375</v>
      </c>
      <c r="D39" s="182">
        <f t="shared" si="2"/>
        <v>13599.93375</v>
      </c>
      <c r="E39" s="193">
        <v>100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153.57914765563336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80">
        <f>'Données projet'!A53</f>
        <v>183</v>
      </c>
      <c r="B40" s="181">
        <f>'Données projet'!D53</f>
        <v>191.47</v>
      </c>
      <c r="C40" s="193">
        <v>156.375</v>
      </c>
      <c r="D40" s="182">
        <f t="shared" si="2"/>
        <v>29941.12125</v>
      </c>
      <c r="E40" s="193">
        <v>100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146.96569153649125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140.63702539377158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134.58088554427903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128.78553640600865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123.23974775694609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6" t="s">
        <v>18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117.93277297315417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112.85432820397527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6" t="s">
        <v>46</v>
      </c>
      <c r="B47" s="48" t="s">
        <v>102</v>
      </c>
      <c r="C47" s="48" t="s">
        <v>103</v>
      </c>
      <c r="D47" s="36" t="s">
        <v>104</v>
      </c>
      <c r="E47" s="36" t="s">
        <v>105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107.99457244399551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9">
        <v>0</v>
      </c>
      <c r="B48" s="199" t="s">
        <v>107</v>
      </c>
      <c r="C48" s="198" t="s">
        <v>107</v>
      </c>
      <c r="D48" s="197" t="s">
        <v>107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103.34408846315358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">
      <c r="A49" s="49">
        <v>1</v>
      </c>
      <c r="B49" s="199" t="s">
        <v>107</v>
      </c>
      <c r="C49" s="198" t="s">
        <v>107</v>
      </c>
      <c r="D49" s="197" t="s">
        <v>107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98.893864558041756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">
      <c r="A50" s="49">
        <v>2</v>
      </c>
      <c r="B50" s="199" t="s">
        <v>107</v>
      </c>
      <c r="C50" s="198" t="s">
        <v>107</v>
      </c>
      <c r="D50" s="197" t="s">
        <v>107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94.635277089035171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9">
        <v>3</v>
      </c>
      <c r="B51" s="199" t="s">
        <v>107</v>
      </c>
      <c r="C51" s="198" t="s">
        <v>107</v>
      </c>
      <c r="D51" s="197" t="s">
        <v>107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90.560073769411659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9">
        <v>4</v>
      </c>
      <c r="B52" s="199" t="s">
        <v>107</v>
      </c>
      <c r="C52" s="198" t="s">
        <v>107</v>
      </c>
      <c r="D52" s="197" t="s">
        <v>107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86.660357674078142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9">
        <v>5</v>
      </c>
      <c r="B53" s="199" t="s">
        <v>107</v>
      </c>
      <c r="C53" s="198" t="s">
        <v>107</v>
      </c>
      <c r="D53" s="197" t="s">
        <v>107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82.92857193691691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80">
        <f>'Données projet'!A62</f>
        <v>17</v>
      </c>
      <c r="B54" s="181">
        <f>'Données projet'!D62</f>
        <v>41.179999999999993</v>
      </c>
      <c r="C54" s="191">
        <v>8</v>
      </c>
      <c r="D54" s="179">
        <f>B54*C54</f>
        <v>329.43999999999994</v>
      </c>
      <c r="E54" s="193">
        <v>100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79.357485107097517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80">
        <f>'Données projet'!A63</f>
        <v>23</v>
      </c>
      <c r="B55" s="181">
        <f>'Données projet'!D63</f>
        <v>58.370000000000005</v>
      </c>
      <c r="C55" s="191">
        <v>10.625</v>
      </c>
      <c r="D55" s="179">
        <f t="shared" ref="D55:D73" si="4">B55*C55</f>
        <v>620.18125000000009</v>
      </c>
      <c r="E55" s="193">
        <v>100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75.940177135978502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80">
        <f>'Données projet'!A64</f>
        <v>29</v>
      </c>
      <c r="B56" s="181">
        <f>'Données projet'!D64</f>
        <v>54.97</v>
      </c>
      <c r="C56" s="191">
        <v>26.75</v>
      </c>
      <c r="D56" s="179">
        <f t="shared" si="4"/>
        <v>1470.4475</v>
      </c>
      <c r="E56" s="193">
        <v>100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72.67002596744355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80">
        <f>'Données projet'!A65</f>
        <v>36</v>
      </c>
      <c r="B57" s="181">
        <f>'Données projet'!D65</f>
        <v>76.509999999999991</v>
      </c>
      <c r="C57" s="191">
        <v>26.75</v>
      </c>
      <c r="D57" s="179">
        <f t="shared" si="4"/>
        <v>2046.6424999999997</v>
      </c>
      <c r="E57" s="193">
        <v>100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69.540694705687613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80">
        <f>'Données projet'!A66</f>
        <v>44</v>
      </c>
      <c r="B58" s="181">
        <f>'Données projet'!D66</f>
        <v>78.240000000000009</v>
      </c>
      <c r="C58" s="191">
        <v>26.75</v>
      </c>
      <c r="D58" s="179">
        <f t="shared" si="4"/>
        <v>2092.92</v>
      </c>
      <c r="E58" s="193">
        <v>100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66.546119335586241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80">
        <f>'Données projet'!A67</f>
        <v>52</v>
      </c>
      <c r="B59" s="181">
        <f>'Données projet'!D67</f>
        <v>75.70999999999998</v>
      </c>
      <c r="C59" s="191">
        <v>26.75</v>
      </c>
      <c r="D59" s="179">
        <f t="shared" si="4"/>
        <v>2025.2424999999994</v>
      </c>
      <c r="E59" s="193">
        <v>100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63.680496971852875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80">
        <f>'Données projet'!A68</f>
        <v>60</v>
      </c>
      <c r="B60" s="181">
        <f>'Données projet'!D68</f>
        <v>437.74</v>
      </c>
      <c r="C60" s="191">
        <v>26.75</v>
      </c>
      <c r="D60" s="179">
        <f t="shared" si="4"/>
        <v>11709.545</v>
      </c>
      <c r="E60" s="193">
        <v>100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60.938274614213277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58.314138386806981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55.803003240963605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53.4000031014006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51.100481436746975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48.899982236121538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46.79424137427899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44.779178348592339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42.850888371858694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41.005634805606419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39.23984191924059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37.550087960995789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35.933098527268697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34.385740217482017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32.905014562183752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31.488052212616033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6" t="s">
        <v>20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30.132107380493814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28.834552517218963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6" t="s">
        <v>46</v>
      </c>
      <c r="B78" s="48" t="s">
        <v>102</v>
      </c>
      <c r="C78" s="48" t="s">
        <v>103</v>
      </c>
      <c r="D78" s="36" t="s">
        <v>104</v>
      </c>
      <c r="E78" s="36" t="s">
        <v>105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27.592873222219101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9">
        <v>0</v>
      </c>
      <c r="B79" s="199" t="s">
        <v>107</v>
      </c>
      <c r="C79" s="198" t="s">
        <v>107</v>
      </c>
      <c r="D79" s="197" t="s">
        <v>107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26.404663370544601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9">
        <v>1</v>
      </c>
      <c r="B80" s="199" t="s">
        <v>107</v>
      </c>
      <c r="C80" s="198" t="s">
        <v>107</v>
      </c>
      <c r="D80" s="197" t="s">
        <v>107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25.267620450281914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9">
        <v>2</v>
      </c>
      <c r="B81" s="199" t="s">
        <v>107</v>
      </c>
      <c r="C81" s="198" t="s">
        <v>107</v>
      </c>
      <c r="D81" s="197" t="s">
        <v>107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24.179541100748253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9">
        <v>3</v>
      </c>
      <c r="B82" s="199" t="s">
        <v>107</v>
      </c>
      <c r="C82" s="198" t="s">
        <v>107</v>
      </c>
      <c r="D82" s="197" t="s">
        <v>107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23.138316842821293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9">
        <v>4</v>
      </c>
      <c r="B83" s="199" t="s">
        <v>107</v>
      </c>
      <c r="C83" s="198" t="s">
        <v>107</v>
      </c>
      <c r="D83" s="197" t="s">
        <v>107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22.141929993130429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9">
        <v>5</v>
      </c>
      <c r="B84" s="199" t="s">
        <v>107</v>
      </c>
      <c r="C84" s="198" t="s">
        <v>107</v>
      </c>
      <c r="D84" s="197" t="s">
        <v>107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21.188449754191801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80">
        <f>'Données projet'!A88</f>
        <v>42</v>
      </c>
      <c r="B85" s="181">
        <f>'Données projet'!D88</f>
        <v>107.08999999999997</v>
      </c>
      <c r="C85" s="191">
        <v>17.774999999999999</v>
      </c>
      <c r="D85" s="179">
        <f>B85*C85</f>
        <v>1903.5247499999994</v>
      </c>
      <c r="E85" s="193">
        <v>100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20.276028472910816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80">
        <f>'Données projet'!A89</f>
        <v>50</v>
      </c>
      <c r="B86" s="181">
        <f>'Données projet'!D89</f>
        <v>108.07</v>
      </c>
      <c r="C86" s="191">
        <v>30.374999999999996</v>
      </c>
      <c r="D86" s="179">
        <f t="shared" ref="D86:D104" si="6">B86*C86</f>
        <v>3282.6262499999993</v>
      </c>
      <c r="E86" s="193">
        <v>100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19.402898060201739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80">
        <f>'Données projet'!A90</f>
        <v>58</v>
      </c>
      <c r="B87" s="181">
        <f>'Données projet'!D90</f>
        <v>88.54000000000002</v>
      </c>
      <c r="C87" s="191">
        <v>30.374999999999996</v>
      </c>
      <c r="D87" s="179">
        <f t="shared" si="6"/>
        <v>2689.4025000000001</v>
      </c>
      <c r="E87" s="193">
        <v>100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18.567366564786358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80">
        <f>'Données projet'!A91</f>
        <v>66</v>
      </c>
      <c r="B88" s="181">
        <f>'Données projet'!D91</f>
        <v>88.899999999999977</v>
      </c>
      <c r="C88" s="191">
        <v>30.374999999999996</v>
      </c>
      <c r="D88" s="179">
        <f t="shared" si="6"/>
        <v>2700.3374999999992</v>
      </c>
      <c r="E88" s="193">
        <v>100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17.7678148945324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80">
        <f>'Données projet'!A92</f>
        <v>75</v>
      </c>
      <c r="B89" s="181">
        <f>'Données projet'!D92</f>
        <v>89.149999999999977</v>
      </c>
      <c r="C89" s="191">
        <v>30.374999999999996</v>
      </c>
      <c r="D89" s="179">
        <f t="shared" si="6"/>
        <v>2707.9312499999992</v>
      </c>
      <c r="E89" s="193">
        <v>100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17.002693678978375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80">
        <f>'Données projet'!A93</f>
        <v>83</v>
      </c>
      <c r="B90" s="181">
        <f>'Données projet'!D93</f>
        <v>91.480000000000018</v>
      </c>
      <c r="C90" s="191">
        <v>37.53</v>
      </c>
      <c r="D90" s="179">
        <f t="shared" si="6"/>
        <v>3433.244400000001</v>
      </c>
      <c r="E90" s="193">
        <v>100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16.270520266964954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80">
        <f>'Données projet'!A94</f>
        <v>91</v>
      </c>
      <c r="B91" s="181">
        <f>'Données projet'!D94</f>
        <v>264.52000000000004</v>
      </c>
      <c r="C91" s="191">
        <v>37.53</v>
      </c>
      <c r="D91" s="179">
        <f t="shared" si="6"/>
        <v>9927.4356000000025</v>
      </c>
      <c r="E91" s="193">
        <v>100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15.569875853554985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80">
        <f>'Données projet'!A95</f>
        <v>101</v>
      </c>
      <c r="B92" s="181">
        <f>'Données projet'!D95</f>
        <v>356.43</v>
      </c>
      <c r="C92" s="191">
        <v>37.53</v>
      </c>
      <c r="D92" s="179">
        <f t="shared" si="6"/>
        <v>13376.8179</v>
      </c>
      <c r="E92" s="193">
        <v>100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14.899402730674627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14.25780165614797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6" t="s">
        <v>21</v>
      </c>
      <c r="B107" s="174" t="str">
        <f>IF('Données projet'!B12="","",'Données projet'!B12)</f>
        <v>Douglas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6" t="s">
        <v>46</v>
      </c>
      <c r="B109" s="48" t="s">
        <v>102</v>
      </c>
      <c r="C109" s="48" t="s">
        <v>103</v>
      </c>
      <c r="D109" s="36" t="s">
        <v>104</v>
      </c>
      <c r="E109" s="36" t="s">
        <v>105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9">
        <v>0</v>
      </c>
      <c r="B110" s="199" t="s">
        <v>107</v>
      </c>
      <c r="C110" s="198" t="s">
        <v>107</v>
      </c>
      <c r="D110" s="197" t="s">
        <v>107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9">
        <v>1</v>
      </c>
      <c r="B111" s="199" t="s">
        <v>107</v>
      </c>
      <c r="C111" s="198" t="s">
        <v>107</v>
      </c>
      <c r="D111" s="197" t="s">
        <v>107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9">
        <v>2</v>
      </c>
      <c r="B112" s="199" t="s">
        <v>107</v>
      </c>
      <c r="C112" s="198" t="s">
        <v>107</v>
      </c>
      <c r="D112" s="197" t="s">
        <v>107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9">
        <v>3</v>
      </c>
      <c r="B113" s="199" t="s">
        <v>107</v>
      </c>
      <c r="C113" s="198" t="s">
        <v>107</v>
      </c>
      <c r="D113" s="197" t="s">
        <v>107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9">
        <v>4</v>
      </c>
      <c r="B114" s="199" t="s">
        <v>107</v>
      </c>
      <c r="C114" s="198" t="s">
        <v>107</v>
      </c>
      <c r="D114" s="197" t="s">
        <v>107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9">
        <v>5</v>
      </c>
      <c r="B115" s="199" t="s">
        <v>107</v>
      </c>
      <c r="C115" s="198" t="s">
        <v>107</v>
      </c>
      <c r="D115" s="197" t="s">
        <v>107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80">
        <f>'Données projet'!A114</f>
        <v>21</v>
      </c>
      <c r="B116" s="181">
        <f>'Données projet'!D114</f>
        <v>64.599999999999994</v>
      </c>
      <c r="C116" s="191">
        <v>16.875</v>
      </c>
      <c r="D116" s="179">
        <f>B116*C116</f>
        <v>1090.125</v>
      </c>
      <c r="E116" s="193">
        <v>100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80">
        <f>'Données projet'!A115</f>
        <v>28</v>
      </c>
      <c r="B117" s="181">
        <f>'Données projet'!D115</f>
        <v>67.639999999999986</v>
      </c>
      <c r="C117" s="191">
        <v>16.875</v>
      </c>
      <c r="D117" s="179">
        <f t="shared" ref="D117:D135" si="8">B117*C117</f>
        <v>1141.4249999999997</v>
      </c>
      <c r="E117" s="193">
        <v>100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80">
        <f>'Données projet'!A116</f>
        <v>35</v>
      </c>
      <c r="B118" s="181">
        <f>'Données projet'!D116</f>
        <v>86.700000000000045</v>
      </c>
      <c r="C118" s="191">
        <v>41</v>
      </c>
      <c r="D118" s="179">
        <f t="shared" si="8"/>
        <v>3554.7000000000016</v>
      </c>
      <c r="E118" s="193">
        <v>100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80">
        <f>'Données projet'!A117</f>
        <v>42</v>
      </c>
      <c r="B119" s="181">
        <f>'Données projet'!D117</f>
        <v>100.04000000000002</v>
      </c>
      <c r="C119" s="191">
        <v>41</v>
      </c>
      <c r="D119" s="179">
        <f t="shared" si="8"/>
        <v>4101.6400000000012</v>
      </c>
      <c r="E119" s="193">
        <v>100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80">
        <f>'Données projet'!A118</f>
        <v>49</v>
      </c>
      <c r="B120" s="181">
        <f>'Données projet'!D118</f>
        <v>112.69999999999999</v>
      </c>
      <c r="C120" s="191">
        <v>41</v>
      </c>
      <c r="D120" s="179">
        <f t="shared" si="8"/>
        <v>4620.7</v>
      </c>
      <c r="E120" s="193">
        <v>100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80">
        <f>'Données projet'!A119</f>
        <v>56</v>
      </c>
      <c r="B121" s="181">
        <f>'Données projet'!D119</f>
        <v>94.669999999999959</v>
      </c>
      <c r="C121" s="191">
        <v>41</v>
      </c>
      <c r="D121" s="179">
        <f t="shared" si="8"/>
        <v>3881.4699999999984</v>
      </c>
      <c r="E121" s="193">
        <v>100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80">
        <f>'Données projet'!A120</f>
        <v>63</v>
      </c>
      <c r="B122" s="181">
        <f>'Données projet'!D120</f>
        <v>99.599999999999966</v>
      </c>
      <c r="C122" s="191">
        <v>41</v>
      </c>
      <c r="D122" s="179">
        <f t="shared" si="8"/>
        <v>4083.5999999999985</v>
      </c>
      <c r="E122" s="193">
        <v>100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80">
        <f>'Données projet'!A121</f>
        <v>70</v>
      </c>
      <c r="B123" s="181">
        <f>'Données projet'!D121</f>
        <v>586.86</v>
      </c>
      <c r="C123" s="191">
        <v>60</v>
      </c>
      <c r="D123" s="179">
        <f t="shared" si="8"/>
        <v>35211.599999999999</v>
      </c>
      <c r="E123" s="193">
        <v>100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6" t="s">
        <v>46</v>
      </c>
      <c r="B140" s="48" t="s">
        <v>102</v>
      </c>
      <c r="C140" s="48" t="s">
        <v>103</v>
      </c>
      <c r="D140" s="36" t="s">
        <v>104</v>
      </c>
      <c r="E140" s="36" t="s">
        <v>105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9">
        <v>0</v>
      </c>
      <c r="B141" s="199" t="s">
        <v>107</v>
      </c>
      <c r="C141" s="198" t="s">
        <v>107</v>
      </c>
      <c r="D141" s="197" t="s">
        <v>107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9">
        <v>1</v>
      </c>
      <c r="B142" s="199" t="s">
        <v>107</v>
      </c>
      <c r="C142" s="198" t="s">
        <v>107</v>
      </c>
      <c r="D142" s="197" t="s">
        <v>107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9">
        <v>2</v>
      </c>
      <c r="B143" s="199" t="s">
        <v>107</v>
      </c>
      <c r="C143" s="198" t="s">
        <v>107</v>
      </c>
      <c r="D143" s="197" t="s">
        <v>107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9">
        <v>3</v>
      </c>
      <c r="B144" s="199" t="s">
        <v>107</v>
      </c>
      <c r="C144" s="198" t="s">
        <v>107</v>
      </c>
      <c r="D144" s="197" t="s">
        <v>107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9">
        <v>4</v>
      </c>
      <c r="B145" s="199" t="s">
        <v>107</v>
      </c>
      <c r="C145" s="198" t="s">
        <v>107</v>
      </c>
      <c r="D145" s="197" t="s">
        <v>107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9">
        <v>5</v>
      </c>
      <c r="B146" s="199" t="s">
        <v>107</v>
      </c>
      <c r="C146" s="198" t="s">
        <v>107</v>
      </c>
      <c r="D146" s="197" t="s">
        <v>107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6" t="s">
        <v>46</v>
      </c>
      <c r="B171" s="48" t="s">
        <v>102</v>
      </c>
      <c r="C171" s="48" t="s">
        <v>103</v>
      </c>
      <c r="D171" s="36" t="s">
        <v>104</v>
      </c>
      <c r="E171" s="36" t="s">
        <v>105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9">
        <v>0</v>
      </c>
      <c r="B172" s="199" t="s">
        <v>107</v>
      </c>
      <c r="C172" s="198" t="s">
        <v>107</v>
      </c>
      <c r="D172" s="197" t="s">
        <v>107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9">
        <v>1</v>
      </c>
      <c r="B173" s="199" t="s">
        <v>107</v>
      </c>
      <c r="C173" s="198" t="s">
        <v>107</v>
      </c>
      <c r="D173" s="197" t="s">
        <v>107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9">
        <v>2</v>
      </c>
      <c r="B174" s="199" t="s">
        <v>107</v>
      </c>
      <c r="C174" s="198" t="s">
        <v>107</v>
      </c>
      <c r="D174" s="197" t="s">
        <v>107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9">
        <v>3</v>
      </c>
      <c r="B175" s="199" t="s">
        <v>107</v>
      </c>
      <c r="C175" s="198" t="s">
        <v>107</v>
      </c>
      <c r="D175" s="197" t="s">
        <v>107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9">
        <v>4</v>
      </c>
      <c r="B176" s="199" t="s">
        <v>107</v>
      </c>
      <c r="C176" s="198" t="s">
        <v>107</v>
      </c>
      <c r="D176" s="197" t="s">
        <v>107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9">
        <v>5</v>
      </c>
      <c r="B177" s="199" t="s">
        <v>107</v>
      </c>
      <c r="C177" s="198" t="s">
        <v>107</v>
      </c>
      <c r="D177" s="197" t="s">
        <v>107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6" t="s">
        <v>46</v>
      </c>
      <c r="B202" s="48" t="s">
        <v>102</v>
      </c>
      <c r="C202" s="48" t="s">
        <v>103</v>
      </c>
      <c r="D202" s="36" t="s">
        <v>104</v>
      </c>
      <c r="E202" s="36" t="s">
        <v>105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9">
        <v>0</v>
      </c>
      <c r="B203" s="199" t="s">
        <v>107</v>
      </c>
      <c r="C203" s="198" t="s">
        <v>107</v>
      </c>
      <c r="D203" s="197" t="s">
        <v>107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9">
        <v>1</v>
      </c>
      <c r="B204" s="199" t="s">
        <v>107</v>
      </c>
      <c r="C204" s="198" t="s">
        <v>107</v>
      </c>
      <c r="D204" s="197" t="s">
        <v>107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9">
        <v>2</v>
      </c>
      <c r="B205" s="199" t="s">
        <v>107</v>
      </c>
      <c r="C205" s="198" t="s">
        <v>107</v>
      </c>
      <c r="D205" s="197" t="s">
        <v>107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9">
        <v>3</v>
      </c>
      <c r="B206" s="199" t="s">
        <v>107</v>
      </c>
      <c r="C206" s="198" t="s">
        <v>107</v>
      </c>
      <c r="D206" s="197" t="s">
        <v>107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9">
        <v>4</v>
      </c>
      <c r="B207" s="199" t="s">
        <v>107</v>
      </c>
      <c r="C207" s="198" t="s">
        <v>107</v>
      </c>
      <c r="D207" s="197" t="s">
        <v>107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9">
        <v>5</v>
      </c>
      <c r="B208" s="199" t="s">
        <v>107</v>
      </c>
      <c r="C208" s="198" t="s">
        <v>107</v>
      </c>
      <c r="D208" s="197" t="s">
        <v>107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6" t="s">
        <v>46</v>
      </c>
      <c r="B233" s="48" t="s">
        <v>102</v>
      </c>
      <c r="C233" s="48" t="s">
        <v>103</v>
      </c>
      <c r="D233" s="36" t="s">
        <v>104</v>
      </c>
      <c r="E233" s="36" t="s">
        <v>105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9">
        <v>0</v>
      </c>
      <c r="B234" s="199" t="s">
        <v>107</v>
      </c>
      <c r="C234" s="198" t="s">
        <v>107</v>
      </c>
      <c r="D234" s="197" t="s">
        <v>107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9">
        <v>1</v>
      </c>
      <c r="B235" s="199" t="s">
        <v>107</v>
      </c>
      <c r="C235" s="198" t="s">
        <v>107</v>
      </c>
      <c r="D235" s="197" t="s">
        <v>107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9">
        <v>2</v>
      </c>
      <c r="B236" s="199" t="s">
        <v>107</v>
      </c>
      <c r="C236" s="198" t="s">
        <v>107</v>
      </c>
      <c r="D236" s="197" t="s">
        <v>107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9">
        <v>3</v>
      </c>
      <c r="B237" s="199" t="s">
        <v>107</v>
      </c>
      <c r="C237" s="198" t="s">
        <v>107</v>
      </c>
      <c r="D237" s="197" t="s">
        <v>107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9">
        <v>4</v>
      </c>
      <c r="B238" s="199" t="s">
        <v>107</v>
      </c>
      <c r="C238" s="198" t="s">
        <v>107</v>
      </c>
      <c r="D238" s="197" t="s">
        <v>107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9">
        <v>5</v>
      </c>
      <c r="B239" s="199" t="s">
        <v>107</v>
      </c>
      <c r="C239" s="198" t="s">
        <v>107</v>
      </c>
      <c r="D239" s="197" t="s">
        <v>107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6" t="s">
        <v>46</v>
      </c>
      <c r="B264" s="48" t="s">
        <v>102</v>
      </c>
      <c r="C264" s="48" t="s">
        <v>103</v>
      </c>
      <c r="D264" s="36" t="s">
        <v>104</v>
      </c>
      <c r="E264" s="36" t="s">
        <v>105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9">
        <v>0</v>
      </c>
      <c r="B265" s="199" t="s">
        <v>107</v>
      </c>
      <c r="C265" s="198" t="s">
        <v>107</v>
      </c>
      <c r="D265" s="197" t="s">
        <v>107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9">
        <v>1</v>
      </c>
      <c r="B266" s="199" t="s">
        <v>107</v>
      </c>
      <c r="C266" s="198" t="s">
        <v>107</v>
      </c>
      <c r="D266" s="197" t="s">
        <v>107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9">
        <v>2</v>
      </c>
      <c r="B267" s="199" t="s">
        <v>107</v>
      </c>
      <c r="C267" s="198" t="s">
        <v>107</v>
      </c>
      <c r="D267" s="197" t="s">
        <v>107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9">
        <v>3</v>
      </c>
      <c r="B268" s="199" t="s">
        <v>107</v>
      </c>
      <c r="C268" s="198" t="s">
        <v>107</v>
      </c>
      <c r="D268" s="197" t="s">
        <v>107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9">
        <v>4</v>
      </c>
      <c r="B269" s="199" t="s">
        <v>107</v>
      </c>
      <c r="C269" s="198" t="s">
        <v>107</v>
      </c>
      <c r="D269" s="197" t="s">
        <v>107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9">
        <v>5</v>
      </c>
      <c r="B270" s="199" t="s">
        <v>107</v>
      </c>
      <c r="C270" s="198" t="s">
        <v>107</v>
      </c>
      <c r="D270" s="197" t="s">
        <v>107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6" t="s">
        <v>46</v>
      </c>
      <c r="B295" s="48" t="s">
        <v>102</v>
      </c>
      <c r="C295" s="48" t="s">
        <v>103</v>
      </c>
      <c r="D295" s="36" t="s">
        <v>104</v>
      </c>
      <c r="E295" s="36" t="s">
        <v>105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9">
        <v>0</v>
      </c>
      <c r="B296" s="199" t="s">
        <v>107</v>
      </c>
      <c r="C296" s="198" t="s">
        <v>107</v>
      </c>
      <c r="D296" s="197" t="s">
        <v>107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9">
        <v>1</v>
      </c>
      <c r="B297" s="199" t="s">
        <v>107</v>
      </c>
      <c r="C297" s="198" t="s">
        <v>107</v>
      </c>
      <c r="D297" s="197" t="s">
        <v>107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9">
        <v>2</v>
      </c>
      <c r="B298" s="199" t="s">
        <v>107</v>
      </c>
      <c r="C298" s="198" t="s">
        <v>107</v>
      </c>
      <c r="D298" s="197" t="s">
        <v>107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9">
        <v>3</v>
      </c>
      <c r="B299" s="199" t="s">
        <v>107</v>
      </c>
      <c r="C299" s="198" t="s">
        <v>107</v>
      </c>
      <c r="D299" s="197" t="s">
        <v>107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9">
        <v>4</v>
      </c>
      <c r="B300" s="199" t="s">
        <v>107</v>
      </c>
      <c r="C300" s="198" t="s">
        <v>107</v>
      </c>
      <c r="D300" s="197" t="s">
        <v>107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9">
        <v>5</v>
      </c>
      <c r="B301" s="199" t="s">
        <v>107</v>
      </c>
      <c r="C301" s="198" t="s">
        <v>107</v>
      </c>
      <c r="D301" s="197" t="s">
        <v>107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828125" defaultRowHeight="14.6" x14ac:dyDescent="0.4"/>
  <cols>
    <col min="1" max="1" width="6.84375" style="4" bestFit="1" customWidth="1"/>
    <col min="2" max="4" width="11.3828125" style="4"/>
    <col min="5" max="5" width="9.61328125" style="4" customWidth="1"/>
    <col min="6" max="7" width="11.3828125" style="4"/>
    <col min="8" max="8" width="10.69140625" style="4" customWidth="1"/>
    <col min="9" max="9" width="9.3828125" style="4" customWidth="1"/>
    <col min="10" max="11" width="10.61328125" style="4" bestFit="1" customWidth="1"/>
    <col min="12" max="12" width="14" style="4" bestFit="1" customWidth="1"/>
    <col min="13" max="13" width="14" style="4" customWidth="1"/>
    <col min="14" max="23" width="11.3828125" style="4"/>
    <col min="24" max="24" width="11.69140625" style="4" bestFit="1" customWidth="1"/>
    <col min="25" max="25" width="14.61328125" style="4" bestFit="1" customWidth="1"/>
    <col min="26" max="26" width="12.3828125" style="4" bestFit="1" customWidth="1"/>
    <col min="27" max="27" width="9.69140625" style="4" bestFit="1" customWidth="1"/>
    <col min="28" max="28" width="11" style="4" bestFit="1" customWidth="1"/>
    <col min="29" max="29" width="9.3828125" style="4" bestFit="1" customWidth="1"/>
    <col min="30" max="31" width="9.3828125" style="4" customWidth="1"/>
    <col min="32" max="32" width="11.3828125" style="4"/>
    <col min="33" max="34" width="14" style="4" bestFit="1" customWidth="1"/>
    <col min="35" max="35" width="10.61328125" style="4" bestFit="1" customWidth="1"/>
    <col min="36" max="36" width="9.3828125" style="4" bestFit="1" customWidth="1"/>
    <col min="37" max="38" width="10.61328125" style="4" bestFit="1" customWidth="1"/>
    <col min="39" max="41" width="10.61328125" style="4" customWidth="1"/>
    <col min="42" max="42" width="9" style="4" bestFit="1" customWidth="1"/>
    <col min="43" max="43" width="10.61328125" style="4" bestFit="1" customWidth="1"/>
    <col min="44" max="44" width="9.23046875" style="4" bestFit="1" customWidth="1"/>
    <col min="45" max="45" width="11.69140625" style="4" bestFit="1" customWidth="1"/>
    <col min="46" max="46" width="8.3828125" style="4" bestFit="1" customWidth="1"/>
    <col min="47" max="47" width="9.3828125" style="4" bestFit="1" customWidth="1"/>
    <col min="48" max="48" width="9.69140625" style="4" bestFit="1" customWidth="1"/>
    <col min="49" max="49" width="11" style="4" bestFit="1" customWidth="1"/>
    <col min="50" max="50" width="9.3828125" style="4" bestFit="1" customWidth="1"/>
    <col min="51" max="52" width="9.3828125" style="4" customWidth="1"/>
    <col min="53" max="53" width="10.61328125" style="4" bestFit="1" customWidth="1"/>
    <col min="54" max="54" width="14.23046875" style="4" customWidth="1"/>
    <col min="55" max="55" width="14" style="4" customWidth="1"/>
    <col min="56" max="56" width="10.61328125" style="4" bestFit="1" customWidth="1"/>
    <col min="57" max="57" width="9.3828125" style="4" bestFit="1" customWidth="1"/>
    <col min="58" max="59" width="10.61328125" style="4" bestFit="1" customWidth="1"/>
    <col min="60" max="62" width="10.61328125" style="4" customWidth="1"/>
    <col min="63" max="63" width="9" style="4" bestFit="1" customWidth="1"/>
    <col min="64" max="64" width="10.61328125" style="4" bestFit="1" customWidth="1"/>
    <col min="65" max="65" width="9.23046875" style="4" bestFit="1" customWidth="1"/>
    <col min="66" max="66" width="11.69140625" style="4" bestFit="1" customWidth="1"/>
    <col min="67" max="67" width="8.3828125" style="4" bestFit="1" customWidth="1"/>
    <col min="68" max="68" width="9.3828125" style="4" bestFit="1" customWidth="1"/>
    <col min="69" max="69" width="9.69140625" style="4" bestFit="1" customWidth="1"/>
    <col min="70" max="70" width="11" style="4" bestFit="1" customWidth="1"/>
    <col min="71" max="71" width="9.3828125" style="4" bestFit="1" customWidth="1"/>
    <col min="72" max="73" width="9.3828125" style="4" customWidth="1"/>
    <col min="74" max="74" width="10.61328125" style="4" bestFit="1" customWidth="1"/>
    <col min="75" max="75" width="14" style="4" bestFit="1" customWidth="1"/>
    <col min="76" max="76" width="13.84375" style="4" customWidth="1"/>
    <col min="77" max="77" width="10.61328125" style="4" bestFit="1" customWidth="1"/>
    <col min="78" max="78" width="9.3828125" style="4" bestFit="1" customWidth="1"/>
    <col min="79" max="80" width="10.61328125" style="4" bestFit="1" customWidth="1"/>
    <col min="81" max="83" width="10.61328125" style="4" customWidth="1"/>
    <col min="84" max="84" width="11.3828125" style="4"/>
    <col min="85" max="85" width="10.61328125" style="4" bestFit="1" customWidth="1"/>
    <col min="86" max="86" width="9.23046875" style="4" bestFit="1" customWidth="1"/>
    <col min="87" max="87" width="11.69140625" style="4" bestFit="1" customWidth="1"/>
    <col min="88" max="88" width="8.3828125" style="4" bestFit="1" customWidth="1"/>
    <col min="89" max="89" width="9.3828125" style="4" bestFit="1" customWidth="1"/>
    <col min="90" max="90" width="9.69140625" style="4" bestFit="1" customWidth="1"/>
    <col min="91" max="91" width="11" style="4" bestFit="1" customWidth="1"/>
    <col min="92" max="92" width="9.3828125" style="4" bestFit="1" customWidth="1"/>
    <col min="93" max="94" width="9.3828125" style="4" customWidth="1"/>
    <col min="95" max="95" width="11.3828125" style="4"/>
    <col min="96" max="97" width="14" style="4" customWidth="1"/>
    <col min="98" max="98" width="10.61328125" style="4" bestFit="1" customWidth="1"/>
    <col min="99" max="99" width="9.3828125" style="4" bestFit="1" customWidth="1"/>
    <col min="100" max="101" width="10.61328125" style="4" bestFit="1" customWidth="1"/>
    <col min="102" max="104" width="10.61328125" style="4" customWidth="1"/>
    <col min="105" max="105" width="9" style="4" bestFit="1" customWidth="1"/>
    <col min="106" max="106" width="10.61328125" style="4" bestFit="1" customWidth="1"/>
    <col min="107" max="107" width="9.23046875" style="4" bestFit="1" customWidth="1"/>
    <col min="108" max="108" width="11.69140625" style="4" bestFit="1" customWidth="1"/>
    <col min="109" max="109" width="8.3828125" style="4" bestFit="1" customWidth="1"/>
    <col min="110" max="110" width="9.3828125" style="4" bestFit="1" customWidth="1"/>
    <col min="111" max="111" width="9.69140625" style="4" bestFit="1" customWidth="1"/>
    <col min="112" max="112" width="11" style="4" bestFit="1" customWidth="1"/>
    <col min="113" max="113" width="9.3828125" style="4" bestFit="1" customWidth="1"/>
    <col min="114" max="115" width="9.3828125" style="4" customWidth="1"/>
    <col min="116" max="116" width="10.61328125" style="4" bestFit="1" customWidth="1"/>
    <col min="117" max="117" width="14.23046875" style="4" customWidth="1"/>
    <col min="118" max="118" width="14" style="4" bestFit="1" customWidth="1"/>
    <col min="119" max="119" width="10.61328125" style="4" bestFit="1" customWidth="1"/>
    <col min="120" max="120" width="9.3828125" style="4" bestFit="1" customWidth="1"/>
    <col min="121" max="122" width="10.61328125" style="4" bestFit="1" customWidth="1"/>
    <col min="123" max="125" width="10.61328125" style="4" customWidth="1"/>
    <col min="126" max="126" width="9" style="4" bestFit="1" customWidth="1"/>
    <col min="127" max="127" width="10.61328125" style="4" bestFit="1" customWidth="1"/>
    <col min="128" max="128" width="9.23046875" style="4" bestFit="1" customWidth="1"/>
    <col min="129" max="129" width="11.69140625" style="4" bestFit="1" customWidth="1"/>
    <col min="130" max="130" width="8.3828125" style="4" bestFit="1" customWidth="1"/>
    <col min="131" max="131" width="9.3828125" style="4" bestFit="1" customWidth="1"/>
    <col min="132" max="132" width="9.69140625" style="4" bestFit="1" customWidth="1"/>
    <col min="133" max="133" width="11" style="4" bestFit="1" customWidth="1"/>
    <col min="134" max="134" width="9.3828125" style="4" bestFit="1" customWidth="1"/>
    <col min="135" max="136" width="9.3828125" style="4" customWidth="1"/>
    <col min="137" max="137" width="10.61328125" style="4" bestFit="1" customWidth="1"/>
    <col min="138" max="139" width="14" style="4" customWidth="1"/>
    <col min="140" max="140" width="10.61328125" style="4" bestFit="1" customWidth="1"/>
    <col min="141" max="141" width="9.3828125" style="4" bestFit="1" customWidth="1"/>
    <col min="142" max="143" width="10.61328125" style="4" bestFit="1" customWidth="1"/>
    <col min="144" max="146" width="10.61328125" style="4" customWidth="1"/>
    <col min="147" max="147" width="9" style="4" bestFit="1" customWidth="1"/>
    <col min="148" max="148" width="10.61328125" style="4" bestFit="1" customWidth="1"/>
    <col min="149" max="149" width="9.23046875" style="4" bestFit="1" customWidth="1"/>
    <col min="150" max="150" width="11.69140625" style="4" bestFit="1" customWidth="1"/>
    <col min="151" max="151" width="8.3828125" style="4" bestFit="1" customWidth="1"/>
    <col min="152" max="152" width="9.3828125" style="4" bestFit="1" customWidth="1"/>
    <col min="153" max="153" width="9.69140625" style="4" bestFit="1" customWidth="1"/>
    <col min="154" max="154" width="11" style="4" bestFit="1" customWidth="1"/>
    <col min="155" max="155" width="9.3828125" style="4" bestFit="1" customWidth="1"/>
    <col min="156" max="157" width="9.3828125" style="4" customWidth="1"/>
    <col min="158" max="158" width="11.3828125" style="4"/>
    <col min="159" max="160" width="14" style="4" bestFit="1" customWidth="1"/>
    <col min="161" max="161" width="10.61328125" style="4" bestFit="1" customWidth="1"/>
    <col min="162" max="162" width="9.3828125" style="4" bestFit="1" customWidth="1"/>
    <col min="163" max="164" width="10.61328125" style="4" bestFit="1" customWidth="1"/>
    <col min="165" max="167" width="10.61328125" style="4" customWidth="1"/>
    <col min="168" max="168" width="9" style="4" bestFit="1" customWidth="1"/>
    <col min="169" max="169" width="10.61328125" style="4" bestFit="1" customWidth="1"/>
    <col min="170" max="170" width="9.23046875" style="4" bestFit="1" customWidth="1"/>
    <col min="171" max="171" width="11.69140625" style="4" bestFit="1" customWidth="1"/>
    <col min="172" max="172" width="8.07421875" style="4" bestFit="1" customWidth="1"/>
    <col min="173" max="173" width="9.3828125" style="4" bestFit="1" customWidth="1"/>
    <col min="174" max="174" width="9.69140625" style="4" bestFit="1" customWidth="1"/>
    <col min="175" max="175" width="11" style="4" bestFit="1" customWidth="1"/>
    <col min="176" max="176" width="9.3828125" style="4" bestFit="1" customWidth="1"/>
    <col min="177" max="178" width="9.3828125" style="4" customWidth="1"/>
    <col min="179" max="179" width="10.61328125" style="4" bestFit="1" customWidth="1"/>
    <col min="180" max="181" width="14" style="4" bestFit="1" customWidth="1"/>
    <col min="182" max="182" width="10.61328125" style="4" bestFit="1" customWidth="1"/>
    <col min="183" max="183" width="9.3828125" style="4" bestFit="1" customWidth="1"/>
    <col min="184" max="185" width="10.61328125" style="4" bestFit="1" customWidth="1"/>
    <col min="186" max="188" width="10.61328125" style="4" customWidth="1"/>
    <col min="189" max="189" width="9" style="4" bestFit="1" customWidth="1"/>
    <col min="190" max="190" width="10.61328125" style="4" bestFit="1" customWidth="1"/>
    <col min="191" max="191" width="9.23046875" style="4" bestFit="1" customWidth="1"/>
    <col min="192" max="192" width="11.3828125" style="4"/>
    <col min="193" max="193" width="8.3828125" style="4" bestFit="1" customWidth="1"/>
    <col min="194" max="194" width="9.3828125" style="4" bestFit="1" customWidth="1"/>
    <col min="195" max="195" width="9.69140625" style="4" bestFit="1" customWidth="1"/>
    <col min="196" max="196" width="11" style="4" bestFit="1" customWidth="1"/>
    <col min="197" max="197" width="9.3828125" style="4" bestFit="1" customWidth="1"/>
    <col min="198" max="199" width="9.3828125" style="4" customWidth="1"/>
    <col min="200" max="200" width="10.61328125" style="4" bestFit="1" customWidth="1"/>
    <col min="201" max="201" width="14" style="4" customWidth="1"/>
    <col min="202" max="202" width="14.23046875" style="4" customWidth="1"/>
    <col min="203" max="203" width="10.61328125" style="4" bestFit="1" customWidth="1"/>
    <col min="204" max="204" width="9.3828125" style="4" bestFit="1" customWidth="1"/>
    <col min="205" max="206" width="10.61328125" style="4" bestFit="1" customWidth="1"/>
    <col min="207" max="209" width="10.61328125" style="4" customWidth="1"/>
    <col min="210" max="210" width="9" style="4" bestFit="1" customWidth="1"/>
    <col min="211" max="211" width="10.61328125" style="4" bestFit="1" customWidth="1"/>
    <col min="212" max="212" width="9.23046875" style="4" bestFit="1" customWidth="1"/>
    <col min="213" max="213" width="11.69140625" style="4" bestFit="1" customWidth="1"/>
    <col min="214" max="214" width="8.3828125" style="4" bestFit="1" customWidth="1"/>
    <col min="215" max="215" width="9.3828125" style="4" bestFit="1" customWidth="1"/>
    <col min="216" max="216" width="9.69140625" style="4" bestFit="1" customWidth="1"/>
    <col min="217" max="217" width="11" style="4" bestFit="1" customWidth="1"/>
    <col min="218" max="218" width="9.3828125" style="4" bestFit="1" customWidth="1"/>
    <col min="219" max="16384" width="11.3828125" style="4"/>
  </cols>
  <sheetData>
    <row r="1" spans="1:218" ht="26.6" thickBot="1" x14ac:dyDescent="0.75">
      <c r="B1" s="298" t="s">
        <v>120</v>
      </c>
      <c r="C1" s="299"/>
      <c r="D1" s="299"/>
      <c r="E1" s="299"/>
      <c r="F1" s="299"/>
      <c r="G1" s="299"/>
      <c r="H1" s="300"/>
      <c r="I1" s="295" t="str">
        <f>IF('Données projet'!$B$9="","",'Données projet'!$B$9)</f>
        <v>Chêne sessile</v>
      </c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7"/>
      <c r="AD1" s="296" t="str">
        <f>IF('Données projet'!$B$10="","",'Données projet'!$B$10)</f>
        <v>Pin maritime</v>
      </c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7"/>
      <c r="AY1" s="295" t="str">
        <f>IF('Données projet'!$B$11="","",'Données projet'!$B$11)</f>
        <v>Cèdre de l'Atlas</v>
      </c>
      <c r="AZ1" s="296"/>
      <c r="BA1" s="296"/>
      <c r="BB1" s="296"/>
      <c r="BC1" s="296"/>
      <c r="BD1" s="296"/>
      <c r="BE1" s="296"/>
      <c r="BF1" s="296"/>
      <c r="BG1" s="296"/>
      <c r="BH1" s="296"/>
      <c r="BI1" s="296"/>
      <c r="BJ1" s="296"/>
      <c r="BK1" s="296"/>
      <c r="BL1" s="296"/>
      <c r="BM1" s="296"/>
      <c r="BN1" s="296"/>
      <c r="BO1" s="296"/>
      <c r="BP1" s="296"/>
      <c r="BQ1" s="296"/>
      <c r="BR1" s="296"/>
      <c r="BS1" s="297"/>
      <c r="BT1" s="295" t="str">
        <f>IF('Données projet'!$B$12="","",'Données projet'!$B$12)</f>
        <v>Douglas</v>
      </c>
      <c r="BU1" s="296"/>
      <c r="BV1" s="296"/>
      <c r="BW1" s="296"/>
      <c r="BX1" s="296"/>
      <c r="BY1" s="296"/>
      <c r="BZ1" s="296"/>
      <c r="CA1" s="296"/>
      <c r="CB1" s="296"/>
      <c r="CC1" s="296"/>
      <c r="CD1" s="296"/>
      <c r="CE1" s="296"/>
      <c r="CF1" s="296"/>
      <c r="CG1" s="296"/>
      <c r="CH1" s="296"/>
      <c r="CI1" s="296"/>
      <c r="CJ1" s="296"/>
      <c r="CK1" s="296"/>
      <c r="CL1" s="296"/>
      <c r="CM1" s="296"/>
      <c r="CN1" s="297"/>
      <c r="CO1" s="295" t="str">
        <f>IF('Données projet'!$B$13="","",'Données projet'!$B$13)</f>
        <v/>
      </c>
      <c r="CP1" s="296"/>
      <c r="CQ1" s="296"/>
      <c r="CR1" s="296"/>
      <c r="CS1" s="296"/>
      <c r="CT1" s="296"/>
      <c r="CU1" s="296"/>
      <c r="CV1" s="296"/>
      <c r="CW1" s="296"/>
      <c r="CX1" s="296"/>
      <c r="CY1" s="296"/>
      <c r="CZ1" s="296"/>
      <c r="DA1" s="296"/>
      <c r="DB1" s="296"/>
      <c r="DC1" s="296"/>
      <c r="DD1" s="296"/>
      <c r="DE1" s="296"/>
      <c r="DF1" s="296"/>
      <c r="DG1" s="296"/>
      <c r="DH1" s="296"/>
      <c r="DI1" s="297"/>
      <c r="DJ1" s="295" t="str">
        <f>IF('Données projet'!$B$14="","",'Données projet'!$B$14)</f>
        <v/>
      </c>
      <c r="DK1" s="296"/>
      <c r="DL1" s="296"/>
      <c r="DM1" s="296"/>
      <c r="DN1" s="296"/>
      <c r="DO1" s="296"/>
      <c r="DP1" s="296"/>
      <c r="DQ1" s="296"/>
      <c r="DR1" s="296"/>
      <c r="DS1" s="296"/>
      <c r="DT1" s="296"/>
      <c r="DU1" s="296"/>
      <c r="DV1" s="296"/>
      <c r="DW1" s="296"/>
      <c r="DX1" s="296"/>
      <c r="DY1" s="296"/>
      <c r="DZ1" s="296"/>
      <c r="EA1" s="296"/>
      <c r="EB1" s="296"/>
      <c r="EC1" s="296"/>
      <c r="ED1" s="297"/>
      <c r="EE1" s="295" t="str">
        <f>IF('Données projet'!$B$15="","",'Données projet'!$B$15)</f>
        <v/>
      </c>
      <c r="EF1" s="296"/>
      <c r="EG1" s="296"/>
      <c r="EH1" s="296"/>
      <c r="EI1" s="296"/>
      <c r="EJ1" s="296"/>
      <c r="EK1" s="296"/>
      <c r="EL1" s="296"/>
      <c r="EM1" s="296"/>
      <c r="EN1" s="296"/>
      <c r="EO1" s="296"/>
      <c r="EP1" s="296"/>
      <c r="EQ1" s="296"/>
      <c r="ER1" s="296"/>
      <c r="ES1" s="296"/>
      <c r="ET1" s="296"/>
      <c r="EU1" s="296"/>
      <c r="EV1" s="296"/>
      <c r="EW1" s="296"/>
      <c r="EX1" s="296"/>
      <c r="EY1" s="297"/>
      <c r="EZ1" s="295" t="str">
        <f>IF('Données projet'!$B$16="","",'Données projet'!$B$16)</f>
        <v/>
      </c>
      <c r="FA1" s="296"/>
      <c r="FB1" s="296"/>
      <c r="FC1" s="296"/>
      <c r="FD1" s="296"/>
      <c r="FE1" s="296"/>
      <c r="FF1" s="296"/>
      <c r="FG1" s="296"/>
      <c r="FH1" s="296"/>
      <c r="FI1" s="296"/>
      <c r="FJ1" s="296"/>
      <c r="FK1" s="296"/>
      <c r="FL1" s="296"/>
      <c r="FM1" s="296"/>
      <c r="FN1" s="296"/>
      <c r="FO1" s="296"/>
      <c r="FP1" s="296"/>
      <c r="FQ1" s="296"/>
      <c r="FR1" s="296"/>
      <c r="FS1" s="296"/>
      <c r="FT1" s="297"/>
      <c r="FU1" s="295" t="str">
        <f>IF('Données projet'!$B$17="","",'Données projet'!$B$17)</f>
        <v/>
      </c>
      <c r="FV1" s="296"/>
      <c r="FW1" s="296"/>
      <c r="FX1" s="296"/>
      <c r="FY1" s="296"/>
      <c r="FZ1" s="296"/>
      <c r="GA1" s="296"/>
      <c r="GB1" s="296"/>
      <c r="GC1" s="296"/>
      <c r="GD1" s="296"/>
      <c r="GE1" s="296"/>
      <c r="GF1" s="296"/>
      <c r="GG1" s="296"/>
      <c r="GH1" s="296"/>
      <c r="GI1" s="296"/>
      <c r="GJ1" s="296"/>
      <c r="GK1" s="296"/>
      <c r="GL1" s="296"/>
      <c r="GM1" s="296"/>
      <c r="GN1" s="296"/>
      <c r="GO1" s="297"/>
      <c r="GP1" s="295" t="str">
        <f>IF('Données projet'!$B$18="","",'Données projet'!$B$18)</f>
        <v/>
      </c>
      <c r="GQ1" s="296"/>
      <c r="GR1" s="296"/>
      <c r="GS1" s="296"/>
      <c r="GT1" s="296"/>
      <c r="GU1" s="296"/>
      <c r="GV1" s="296"/>
      <c r="GW1" s="296"/>
      <c r="GX1" s="296"/>
      <c r="GY1" s="296"/>
      <c r="GZ1" s="296"/>
      <c r="HA1" s="296"/>
      <c r="HB1" s="296"/>
      <c r="HC1" s="296"/>
      <c r="HD1" s="296"/>
      <c r="HE1" s="296"/>
      <c r="HF1" s="296"/>
      <c r="HG1" s="296"/>
      <c r="HH1" s="296"/>
      <c r="HI1" s="296"/>
      <c r="HJ1" s="297"/>
    </row>
    <row r="2" spans="1:218" ht="58.75" thickBot="1" x14ac:dyDescent="0.45">
      <c r="A2" s="71" t="s">
        <v>99</v>
      </c>
      <c r="B2" s="72" t="s">
        <v>121</v>
      </c>
      <c r="C2" s="5" t="s">
        <v>122</v>
      </c>
      <c r="D2" s="5" t="s">
        <v>123</v>
      </c>
      <c r="E2" s="5" t="s">
        <v>124</v>
      </c>
      <c r="F2" s="5" t="s">
        <v>125</v>
      </c>
      <c r="G2" s="5" t="s">
        <v>126</v>
      </c>
      <c r="H2" s="66" t="s">
        <v>127</v>
      </c>
      <c r="I2" s="68" t="s">
        <v>124</v>
      </c>
      <c r="J2" s="69" t="s">
        <v>125</v>
      </c>
      <c r="K2" s="6" t="s">
        <v>128</v>
      </c>
      <c r="L2" s="6" t="s">
        <v>129</v>
      </c>
      <c r="M2" s="6" t="s">
        <v>129</v>
      </c>
      <c r="N2" s="6" t="s">
        <v>130</v>
      </c>
      <c r="O2" s="6" t="s">
        <v>131</v>
      </c>
      <c r="P2" s="6" t="s">
        <v>132</v>
      </c>
      <c r="Q2" s="6" t="s">
        <v>126</v>
      </c>
      <c r="R2" s="6" t="s">
        <v>133</v>
      </c>
      <c r="S2" s="6" t="s">
        <v>134</v>
      </c>
      <c r="T2" s="6" t="s">
        <v>135</v>
      </c>
      <c r="U2" s="7" t="s">
        <v>136</v>
      </c>
      <c r="V2" s="8" t="s">
        <v>137</v>
      </c>
      <c r="W2" s="7" t="s">
        <v>50</v>
      </c>
      <c r="X2" s="7" t="s">
        <v>51</v>
      </c>
      <c r="Y2" s="7" t="s">
        <v>138</v>
      </c>
      <c r="Z2" s="8" t="s">
        <v>139</v>
      </c>
      <c r="AA2" s="8" t="s">
        <v>140</v>
      </c>
      <c r="AB2" s="8" t="s">
        <v>141</v>
      </c>
      <c r="AC2" s="9" t="s">
        <v>142</v>
      </c>
      <c r="AD2" s="69" t="s">
        <v>124</v>
      </c>
      <c r="AE2" s="69" t="s">
        <v>125</v>
      </c>
      <c r="AF2" s="6" t="s">
        <v>128</v>
      </c>
      <c r="AG2" s="6" t="s">
        <v>129</v>
      </c>
      <c r="AH2" s="6" t="s">
        <v>129</v>
      </c>
      <c r="AI2" s="6" t="s">
        <v>130</v>
      </c>
      <c r="AJ2" s="6" t="s">
        <v>131</v>
      </c>
      <c r="AK2" s="6" t="s">
        <v>132</v>
      </c>
      <c r="AL2" s="6" t="s">
        <v>126</v>
      </c>
      <c r="AM2" s="6" t="s">
        <v>133</v>
      </c>
      <c r="AN2" s="6" t="s">
        <v>134</v>
      </c>
      <c r="AO2" s="6" t="s">
        <v>135</v>
      </c>
      <c r="AP2" s="7" t="s">
        <v>136</v>
      </c>
      <c r="AQ2" s="8" t="s">
        <v>137</v>
      </c>
      <c r="AR2" s="7" t="s">
        <v>50</v>
      </c>
      <c r="AS2" s="7" t="s">
        <v>51</v>
      </c>
      <c r="AT2" s="8" t="s">
        <v>143</v>
      </c>
      <c r="AU2" s="8" t="s">
        <v>139</v>
      </c>
      <c r="AV2" s="8" t="s">
        <v>140</v>
      </c>
      <c r="AW2" s="8" t="s">
        <v>141</v>
      </c>
      <c r="AX2" s="8" t="s">
        <v>142</v>
      </c>
      <c r="AY2" s="68" t="s">
        <v>124</v>
      </c>
      <c r="AZ2" s="69" t="s">
        <v>125</v>
      </c>
      <c r="BA2" s="6" t="s">
        <v>128</v>
      </c>
      <c r="BB2" s="6" t="s">
        <v>129</v>
      </c>
      <c r="BC2" s="6" t="s">
        <v>129</v>
      </c>
      <c r="BD2" s="6" t="s">
        <v>130</v>
      </c>
      <c r="BE2" s="6" t="s">
        <v>131</v>
      </c>
      <c r="BF2" s="6" t="s">
        <v>132</v>
      </c>
      <c r="BG2" s="6" t="s">
        <v>126</v>
      </c>
      <c r="BH2" s="6" t="s">
        <v>133</v>
      </c>
      <c r="BI2" s="6" t="s">
        <v>134</v>
      </c>
      <c r="BJ2" s="6" t="s">
        <v>135</v>
      </c>
      <c r="BK2" s="7" t="s">
        <v>136</v>
      </c>
      <c r="BL2" s="8" t="s">
        <v>137</v>
      </c>
      <c r="BM2" s="7" t="s">
        <v>50</v>
      </c>
      <c r="BN2" s="7" t="s">
        <v>51</v>
      </c>
      <c r="BO2" s="8" t="s">
        <v>143</v>
      </c>
      <c r="BP2" s="8" t="s">
        <v>139</v>
      </c>
      <c r="BQ2" s="8" t="s">
        <v>140</v>
      </c>
      <c r="BR2" s="8" t="s">
        <v>141</v>
      </c>
      <c r="BS2" s="9" t="s">
        <v>142</v>
      </c>
      <c r="BT2" s="68" t="s">
        <v>124</v>
      </c>
      <c r="BU2" s="69" t="s">
        <v>125</v>
      </c>
      <c r="BV2" s="6" t="s">
        <v>128</v>
      </c>
      <c r="BW2" s="6" t="s">
        <v>129</v>
      </c>
      <c r="BX2" s="6" t="s">
        <v>129</v>
      </c>
      <c r="BY2" s="6" t="s">
        <v>130</v>
      </c>
      <c r="BZ2" s="6" t="s">
        <v>131</v>
      </c>
      <c r="CA2" s="6" t="s">
        <v>132</v>
      </c>
      <c r="CB2" s="6" t="s">
        <v>126</v>
      </c>
      <c r="CC2" s="6" t="s">
        <v>133</v>
      </c>
      <c r="CD2" s="6" t="s">
        <v>134</v>
      </c>
      <c r="CE2" s="6" t="s">
        <v>135</v>
      </c>
      <c r="CF2" s="7" t="s">
        <v>136</v>
      </c>
      <c r="CG2" s="8" t="s">
        <v>137</v>
      </c>
      <c r="CH2" s="7" t="s">
        <v>50</v>
      </c>
      <c r="CI2" s="7" t="s">
        <v>51</v>
      </c>
      <c r="CJ2" s="8" t="s">
        <v>143</v>
      </c>
      <c r="CK2" s="8" t="s">
        <v>139</v>
      </c>
      <c r="CL2" s="8" t="s">
        <v>140</v>
      </c>
      <c r="CM2" s="8" t="s">
        <v>141</v>
      </c>
      <c r="CN2" s="9" t="s">
        <v>142</v>
      </c>
      <c r="CO2" s="68" t="s">
        <v>124</v>
      </c>
      <c r="CP2" s="69" t="s">
        <v>125</v>
      </c>
      <c r="CQ2" s="6" t="s">
        <v>128</v>
      </c>
      <c r="CR2" s="6" t="s">
        <v>129</v>
      </c>
      <c r="CS2" s="6" t="s">
        <v>129</v>
      </c>
      <c r="CT2" s="6" t="s">
        <v>130</v>
      </c>
      <c r="CU2" s="6" t="s">
        <v>131</v>
      </c>
      <c r="CV2" s="6" t="s">
        <v>132</v>
      </c>
      <c r="CW2" s="6" t="s">
        <v>126</v>
      </c>
      <c r="CX2" s="6" t="s">
        <v>133</v>
      </c>
      <c r="CY2" s="6" t="s">
        <v>134</v>
      </c>
      <c r="CZ2" s="6" t="s">
        <v>135</v>
      </c>
      <c r="DA2" s="7" t="s">
        <v>136</v>
      </c>
      <c r="DB2" s="8" t="s">
        <v>137</v>
      </c>
      <c r="DC2" s="7" t="s">
        <v>50</v>
      </c>
      <c r="DD2" s="7" t="s">
        <v>51</v>
      </c>
      <c r="DE2" s="8" t="s">
        <v>143</v>
      </c>
      <c r="DF2" s="8" t="s">
        <v>139</v>
      </c>
      <c r="DG2" s="8" t="s">
        <v>140</v>
      </c>
      <c r="DH2" s="8" t="s">
        <v>141</v>
      </c>
      <c r="DI2" s="9" t="s">
        <v>142</v>
      </c>
      <c r="DJ2" s="68" t="s">
        <v>124</v>
      </c>
      <c r="DK2" s="69" t="s">
        <v>125</v>
      </c>
      <c r="DL2" s="6" t="s">
        <v>128</v>
      </c>
      <c r="DM2" s="6" t="s">
        <v>129</v>
      </c>
      <c r="DN2" s="6" t="s">
        <v>129</v>
      </c>
      <c r="DO2" s="6" t="s">
        <v>130</v>
      </c>
      <c r="DP2" s="6" t="s">
        <v>131</v>
      </c>
      <c r="DQ2" s="6" t="s">
        <v>132</v>
      </c>
      <c r="DR2" s="6" t="s">
        <v>126</v>
      </c>
      <c r="DS2" s="6" t="s">
        <v>133</v>
      </c>
      <c r="DT2" s="6" t="s">
        <v>134</v>
      </c>
      <c r="DU2" s="6" t="s">
        <v>135</v>
      </c>
      <c r="DV2" s="7" t="s">
        <v>136</v>
      </c>
      <c r="DW2" s="8" t="s">
        <v>137</v>
      </c>
      <c r="DX2" s="7" t="s">
        <v>50</v>
      </c>
      <c r="DY2" s="7" t="s">
        <v>51</v>
      </c>
      <c r="DZ2" s="8" t="s">
        <v>143</v>
      </c>
      <c r="EA2" s="8" t="s">
        <v>139</v>
      </c>
      <c r="EB2" s="8" t="s">
        <v>140</v>
      </c>
      <c r="EC2" s="8" t="s">
        <v>141</v>
      </c>
      <c r="ED2" s="9" t="s">
        <v>142</v>
      </c>
      <c r="EE2" s="68" t="s">
        <v>124</v>
      </c>
      <c r="EF2" s="69" t="s">
        <v>125</v>
      </c>
      <c r="EG2" s="6" t="s">
        <v>128</v>
      </c>
      <c r="EH2" s="6" t="s">
        <v>129</v>
      </c>
      <c r="EI2" s="6" t="s">
        <v>129</v>
      </c>
      <c r="EJ2" s="6" t="s">
        <v>130</v>
      </c>
      <c r="EK2" s="6" t="s">
        <v>131</v>
      </c>
      <c r="EL2" s="6" t="s">
        <v>132</v>
      </c>
      <c r="EM2" s="6" t="s">
        <v>126</v>
      </c>
      <c r="EN2" s="6" t="s">
        <v>133</v>
      </c>
      <c r="EO2" s="6" t="s">
        <v>134</v>
      </c>
      <c r="EP2" s="6" t="s">
        <v>135</v>
      </c>
      <c r="EQ2" s="7" t="s">
        <v>136</v>
      </c>
      <c r="ER2" s="8" t="s">
        <v>137</v>
      </c>
      <c r="ES2" s="7" t="s">
        <v>50</v>
      </c>
      <c r="ET2" s="7" t="s">
        <v>51</v>
      </c>
      <c r="EU2" s="8" t="s">
        <v>143</v>
      </c>
      <c r="EV2" s="8" t="s">
        <v>139</v>
      </c>
      <c r="EW2" s="8" t="s">
        <v>140</v>
      </c>
      <c r="EX2" s="8" t="s">
        <v>141</v>
      </c>
      <c r="EY2" s="9" t="s">
        <v>142</v>
      </c>
      <c r="EZ2" s="68" t="s">
        <v>124</v>
      </c>
      <c r="FA2" s="69" t="s">
        <v>125</v>
      </c>
      <c r="FB2" s="6" t="s">
        <v>128</v>
      </c>
      <c r="FC2" s="6" t="s">
        <v>129</v>
      </c>
      <c r="FD2" s="6" t="s">
        <v>129</v>
      </c>
      <c r="FE2" s="6" t="s">
        <v>130</v>
      </c>
      <c r="FF2" s="6" t="s">
        <v>131</v>
      </c>
      <c r="FG2" s="6" t="s">
        <v>132</v>
      </c>
      <c r="FH2" s="6" t="s">
        <v>126</v>
      </c>
      <c r="FI2" s="6" t="s">
        <v>133</v>
      </c>
      <c r="FJ2" s="6" t="s">
        <v>134</v>
      </c>
      <c r="FK2" s="6" t="s">
        <v>135</v>
      </c>
      <c r="FL2" s="7" t="s">
        <v>136</v>
      </c>
      <c r="FM2" s="8" t="s">
        <v>137</v>
      </c>
      <c r="FN2" s="7" t="s">
        <v>50</v>
      </c>
      <c r="FO2" s="7" t="s">
        <v>51</v>
      </c>
      <c r="FP2" s="8" t="s">
        <v>144</v>
      </c>
      <c r="FQ2" s="8" t="s">
        <v>139</v>
      </c>
      <c r="FR2" s="8" t="s">
        <v>140</v>
      </c>
      <c r="FS2" s="8" t="s">
        <v>141</v>
      </c>
      <c r="FT2" s="9" t="s">
        <v>142</v>
      </c>
      <c r="FU2" s="68" t="s">
        <v>124</v>
      </c>
      <c r="FV2" s="69" t="s">
        <v>125</v>
      </c>
      <c r="FW2" s="6" t="s">
        <v>128</v>
      </c>
      <c r="FX2" s="6" t="s">
        <v>129</v>
      </c>
      <c r="FY2" s="6" t="s">
        <v>129</v>
      </c>
      <c r="FZ2" s="6" t="s">
        <v>130</v>
      </c>
      <c r="GA2" s="6" t="s">
        <v>131</v>
      </c>
      <c r="GB2" s="6" t="s">
        <v>132</v>
      </c>
      <c r="GC2" s="6" t="s">
        <v>126</v>
      </c>
      <c r="GD2" s="6" t="s">
        <v>133</v>
      </c>
      <c r="GE2" s="6" t="s">
        <v>134</v>
      </c>
      <c r="GF2" s="6" t="s">
        <v>135</v>
      </c>
      <c r="GG2" s="7" t="s">
        <v>136</v>
      </c>
      <c r="GH2" s="8" t="s">
        <v>137</v>
      </c>
      <c r="GI2" s="7" t="s">
        <v>50</v>
      </c>
      <c r="GJ2" s="7" t="s">
        <v>51</v>
      </c>
      <c r="GK2" s="8" t="s">
        <v>143</v>
      </c>
      <c r="GL2" s="8" t="s">
        <v>139</v>
      </c>
      <c r="GM2" s="8" t="s">
        <v>140</v>
      </c>
      <c r="GN2" s="8" t="s">
        <v>141</v>
      </c>
      <c r="GO2" s="8" t="s">
        <v>142</v>
      </c>
      <c r="GP2" s="68" t="s">
        <v>124</v>
      </c>
      <c r="GQ2" s="69" t="s">
        <v>125</v>
      </c>
      <c r="GR2" s="6" t="s">
        <v>128</v>
      </c>
      <c r="GS2" s="6" t="s">
        <v>129</v>
      </c>
      <c r="GT2" s="6" t="s">
        <v>129</v>
      </c>
      <c r="GU2" s="6" t="s">
        <v>130</v>
      </c>
      <c r="GV2" s="6" t="s">
        <v>131</v>
      </c>
      <c r="GW2" s="6" t="s">
        <v>132</v>
      </c>
      <c r="GX2" s="6" t="s">
        <v>126</v>
      </c>
      <c r="GY2" s="6" t="s">
        <v>133</v>
      </c>
      <c r="GZ2" s="6" t="s">
        <v>134</v>
      </c>
      <c r="HA2" s="6" t="s">
        <v>135</v>
      </c>
      <c r="HB2" s="7" t="s">
        <v>136</v>
      </c>
      <c r="HC2" s="8" t="s">
        <v>137</v>
      </c>
      <c r="HD2" s="7" t="s">
        <v>50</v>
      </c>
      <c r="HE2" s="7" t="s">
        <v>51</v>
      </c>
      <c r="HF2" s="8" t="s">
        <v>143</v>
      </c>
      <c r="HG2" s="8" t="s">
        <v>139</v>
      </c>
      <c r="HH2" s="8" t="s">
        <v>140</v>
      </c>
      <c r="HI2" s="8" t="s">
        <v>141</v>
      </c>
      <c r="HJ2" s="9" t="s">
        <v>142</v>
      </c>
    </row>
    <row r="3" spans="1:218" x14ac:dyDescent="0.4">
      <c r="A3" s="10">
        <v>0</v>
      </c>
      <c r="B3" s="73">
        <f>'Scénario référence'!$B$16*5+'Scénario référence'!$B$17*0+'Scénario référence'!$B$18*5</f>
        <v>1.7999999999999998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6.5999999999999988</v>
      </c>
      <c r="H3" s="67">
        <f>(B3+E3+F3)*44/12+(C3+D3)*0.475*44/12</f>
        <v>230.26666666666665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223.66666666666666</v>
      </c>
      <c r="S3" s="59">
        <f ca="1">AVERAGE(OFFSET($R$3,0,0,'Données projet'!$E$9+1,1))-AVERAGE(OFFSET($H$3,0,0,'Données projet'!$E$9+1,1))</f>
        <v>652.18744712713965</v>
      </c>
      <c r="T3" s="59">
        <f>IF('Données projet'!E9&gt;30,$R$33-$H$33,LOOKUP('Données projet'!$E$9,$A$3:$A$203,R3:R203)-LOOKUP('Données projet'!$E$9,$A$3:$A$203,$H$3:$H$203))</f>
        <v>288.65635870281199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223.66666666666666</v>
      </c>
      <c r="AN3" s="59">
        <f ca="1">AVERAGE(OFFSET($AM$3,0,0,'Données projet'!$E$10+1,1))-AVERAGE(OFFSET($H$3,0,0,'Données projet'!$E$10+1,1))</f>
        <v>307.94699176410495</v>
      </c>
      <c r="AO3" s="59">
        <f>IF('Données projet'!E10&gt;30,$AM$33-$H$33,LOOKUP('Données projet'!$E$10,$A$3:$A$203,AM3:AM203)-LOOKUP('Données projet'!$E$10,$A$3:$A$203,$H$3:$H$203))</f>
        <v>314.22983137038875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223.66666666666666</v>
      </c>
      <c r="BI3" s="59">
        <f ca="1">AVERAGE(OFFSET($BH$3,0,0,'Données projet'!$E$11+1,1))-AVERAGE(OFFSET($H$3,0,0,'Données projet'!$E$11+1,1))</f>
        <v>346.55780187946573</v>
      </c>
      <c r="BJ3" s="59">
        <f>IF('Données projet'!E11&gt;30,$BH$33-$H$33,LOOKUP('Données projet'!$E$11,$A$3:$A$203,BH3:BH203)-LOOKUP('Données projet'!$E$11,$A$3:$A$203,$H$3:$H$203))</f>
        <v>297.28652094809149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223.66666666666666</v>
      </c>
      <c r="CD3" s="59">
        <f ca="1">AVERAGE(OFFSET($CC$3,0,0,'Données projet'!$E$12+1,1))-AVERAGE(OFFSET($H$3,0,0,'Données projet'!$E$12+1,1))</f>
        <v>394.00476121021177</v>
      </c>
      <c r="CE3" s="59">
        <f>IF('Données projet'!E12&gt;30,$CC$33-$H$33,LOOKUP('Données projet'!$E$12,$A$3:$A$203,CC3:CC203)-LOOKUP('Données projet'!$E$12,$A$3:$A$203,$H$3:$H$203))</f>
        <v>363.10016759175278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3">
        <f>'Scénario référence'!$B$16*5+'Scénario référence'!$B$17*0+'Scénario référence'!$B$18*5</f>
        <v>1.7999999999999998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6.5999999999999988</v>
      </c>
      <c r="H4" s="67">
        <f t="shared" ref="H4:H67" si="1">(B4+E4+F4)*44/12+(C4+D4)*0.475*44/12</f>
        <v>230.26666666666665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234.46636721131341</v>
      </c>
      <c r="S4" s="59">
        <f ca="1">AVERAGE(OFFSET($R$3,0,0,'Données projet'!$E$9+1,1))-AVERAGE(OFFSET($H$3,0,0,'Données projet'!$E$9+1,1))</f>
        <v>652.18744712713965</v>
      </c>
      <c r="T4" s="59">
        <f>$T$3</f>
        <v>288.65635870281199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7.2723529411764707</v>
      </c>
      <c r="AI4" s="13">
        <f>IF('Données projet'!$A$62&gt;35,AI3+AH4-AQ3,IF(A4&lt;'Données projet'!$A$62,$AF$205^A4,IF(A4='Données projet'!$A$62,'Données projet'!$B$62,AI3+AH4-AQ3)))</f>
        <v>1.3275965341357465</v>
      </c>
      <c r="AJ4" s="13">
        <f>AI4*VLOOKUP('Données projet'!$B$10,Paramètres!$A$1:$I$89,3,0)*VLOOKUP('Données projet'!$B$10,Paramètres!$A$1:$I$89,5,0)</f>
        <v>0.79390272741317647</v>
      </c>
      <c r="AK4" s="13">
        <f>EXP(-1.0587+0.8836*LN(AJ4)+0.284)</f>
        <v>0.37582567469791356</v>
      </c>
      <c r="AL4" s="20">
        <f t="shared" ref="AL4:AL67" si="4">(AJ4+AK4)*0.475*44/12</f>
        <v>2.0372769670101483</v>
      </c>
      <c r="AM4" s="59">
        <f t="shared" ref="AM4:AM67" si="5">AL4+(AD4+AE4)*44/12</f>
        <v>227.49864207895163</v>
      </c>
      <c r="AN4" s="59">
        <f ca="1">AVERAGE(OFFSET($AM$3,0,0,'Données projet'!$E$10+1,1))-AVERAGE(OFFSET($H$3,0,0,'Données projet'!$E$10+1,1))</f>
        <v>307.94699176410495</v>
      </c>
      <c r="AO4" s="59">
        <f>$AO$3</f>
        <v>314.22983137038875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8.2014285714285702</v>
      </c>
      <c r="BD4" s="12">
        <f>IF('Données projet'!$A$88&gt;35,BD3+BC4-BL3,IF(A4&lt;'Données projet'!$A$88,$BA$205^A4,IF(A4='Données projet'!$A$88,'Données projet'!$B$88,BD3+BC4-BL3)))</f>
        <v>8.2014285714285702</v>
      </c>
      <c r="BE4" s="13">
        <f>BD4*VLOOKUP('Données projet'!$B$11,Paramètres!$A$1:$I$89,3,0)*VLOOKUP('Données projet'!$B$11,Paramètres!$A$1:$I$89,5,0)</f>
        <v>3.8382685714285705</v>
      </c>
      <c r="BF4" s="13">
        <f>EXP(-1.0587+0.8836*LN(BE4)+0.284)</f>
        <v>1.5124954223184839</v>
      </c>
      <c r="BG4" s="20">
        <f t="shared" ref="BG4:BG67" si="7">(BE4+BF4)*0.475*44/12</f>
        <v>9.3192472891094518</v>
      </c>
      <c r="BH4" s="59">
        <f t="shared" ref="BH4:BH67" si="8">BG4+(AY4+AZ4)*44/12</f>
        <v>234.78061240105094</v>
      </c>
      <c r="BI4" s="59">
        <f ca="1">AVERAGE(OFFSET($BH$3,0,0,'Données projet'!$E$11+1,1))-AVERAGE(OFFSET($H$3,0,0,'Données projet'!$E$11+1,1))</f>
        <v>346.55780187946573</v>
      </c>
      <c r="BJ4" s="59">
        <f>$BJ$3</f>
        <v>297.28652094809149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9.300476190476191</v>
      </c>
      <c r="BY4" s="12">
        <f>IF('Données projet'!$A$114&gt;35,BY3+BX4-CG3,IF(A4&lt;'Données projet'!$A$114,$BV$205^A4,IF(A4='Données projet'!$A$114,'Données projet'!$B$114,BY3+BX4-CG3)))</f>
        <v>1.2855297099408214</v>
      </c>
      <c r="BZ4" s="13">
        <f>BY4*VLOOKUP('Données projet'!$B$12,Paramètres!$A$1:$I$89,3,0)*VLOOKUP('Données projet'!$B$12,Paramètres!$A$1:$I$89,5,0)</f>
        <v>0.71861110785691917</v>
      </c>
      <c r="CA4" s="13">
        <f>EXP(-1.0587+0.8836*LN(BZ4)+0.284)</f>
        <v>0.34415184160564588</v>
      </c>
      <c r="CB4" s="20">
        <f t="shared" ref="CB4:CB67" si="10">(BZ4+CA4)*0.475*44/12</f>
        <v>1.8509788036473005</v>
      </c>
      <c r="CC4" s="59">
        <f t="shared" ref="CC4:CC67" si="11">CB4+(BT4+BU4)*44/12</f>
        <v>227.3123439155888</v>
      </c>
      <c r="CD4" s="59">
        <f ca="1">AVERAGE(OFFSET($CC$3,0,0,'Données projet'!$E$12+1,1))-AVERAGE(OFFSET($H$3,0,0,'Données projet'!$E$12+1,1))</f>
        <v>394.00476121021177</v>
      </c>
      <c r="CE4" s="59">
        <f>$CE$3</f>
        <v>363.10016759175278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61.156129879014344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3">
        <f>'Scénario référence'!$B$16*5+'Scénario référence'!$B$17*0+'Scénario référence'!$B$18*5</f>
        <v>1.7999999999999998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6.5999999999999988</v>
      </c>
      <c r="H5" s="67">
        <f t="shared" si="1"/>
        <v>230.26666666666665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244.86035655371069</v>
      </c>
      <c r="S5" s="59">
        <f ca="1">AVERAGE(OFFSET($R$3,0,0,'Données projet'!$E$9+1,1))-AVERAGE(OFFSET($H$3,0,0,'Données projet'!$E$9+1,1))</f>
        <v>652.18744712713965</v>
      </c>
      <c r="T5" s="59">
        <f t="shared" ref="T5:T68" si="34">$T$3</f>
        <v>288.65635870281199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7.2723529411764707</v>
      </c>
      <c r="AI5" s="13">
        <f>IF('Données projet'!$A$62&gt;35,AI4+AH5-AQ4,IF(A5&lt;'Données projet'!$A$62,$AF$205^A5,IF(A5='Données projet'!$A$62,'Données projet'!$B$62,AI4+AH5-AQ4)))</f>
        <v>1.7625125574492464</v>
      </c>
      <c r="AJ5" s="13">
        <f>AI5*VLOOKUP('Données projet'!$B$10,Paramètres!$A$1:$I$89,3,0)*VLOOKUP('Données projet'!$B$10,Paramètres!$A$1:$I$89,5,0)</f>
        <v>1.0539825093546495</v>
      </c>
      <c r="AK5" s="13">
        <f t="shared" ref="AK5:AK68" si="35">EXP(-1.0587+0.8836*LN(AJ5)+0.284)</f>
        <v>0.48275597819164817</v>
      </c>
      <c r="AL5" s="20">
        <f t="shared" si="4"/>
        <v>2.676486199143135</v>
      </c>
      <c r="AM5" s="59">
        <f t="shared" si="5"/>
        <v>229.92261857375456</v>
      </c>
      <c r="AN5" s="59">
        <f ca="1">AVERAGE(OFFSET($AM$3,0,0,'Données projet'!$E$10+1,1))-AVERAGE(OFFSET($H$3,0,0,'Données projet'!$E$10+1,1))</f>
        <v>307.94699176410495</v>
      </c>
      <c r="AO5" s="59">
        <f t="shared" ref="AO5:AO68" si="36">$AO$3</f>
        <v>314.22983137038875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8.2014285714285702</v>
      </c>
      <c r="BD5" s="12">
        <f>IF('Données projet'!$A$88&gt;35,BD4+BC5-BL4,IF(A5&lt;'Données projet'!$A$88,$BA$205^A5,IF(A5='Données projet'!$A$88,'Données projet'!$B$88,BD4+BC5-BL4)))</f>
        <v>16.40285714285714</v>
      </c>
      <c r="BE5" s="13">
        <f>BD5*VLOOKUP('Données projet'!$B$11,Paramètres!$A$1:$I$89,3,0)*VLOOKUP('Données projet'!$B$11,Paramètres!$A$1:$I$89,5,0)</f>
        <v>7.6765371428571409</v>
      </c>
      <c r="BF5" s="13">
        <f t="shared" ref="BF5:BF68" si="37">EXP(-1.0587+0.8836*LN(BE5)+0.284)</f>
        <v>2.7905137902620476</v>
      </c>
      <c r="BG5" s="20">
        <f t="shared" si="7"/>
        <v>18.230113708515919</v>
      </c>
      <c r="BH5" s="59">
        <f t="shared" si="8"/>
        <v>245.47624608312734</v>
      </c>
      <c r="BI5" s="59">
        <f ca="1">AVERAGE(OFFSET($BH$3,0,0,'Données projet'!$E$11+1,1))-AVERAGE(OFFSET($H$3,0,0,'Données projet'!$E$11+1,1))</f>
        <v>346.55780187946573</v>
      </c>
      <c r="BJ5" s="59">
        <f t="shared" ref="BJ5:BJ68" si="38">$BJ$3</f>
        <v>297.28652094809149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9.300476190476191</v>
      </c>
      <c r="BY5" s="12">
        <f>IF('Données projet'!$A$114&gt;35,BY4+BX5-CG4,IF(A5&lt;'Données projet'!$A$114,$BV$205^A5,IF(A5='Données projet'!$A$114,'Données projet'!$B$114,BY4+BX5-CG4)))</f>
        <v>1.6525866351405323</v>
      </c>
      <c r="BZ5" s="13">
        <f>BY5*VLOOKUP('Données projet'!$B$12,Paramètres!$A$1:$I$89,3,0)*VLOOKUP('Données projet'!$B$12,Paramètres!$A$1:$I$89,5,0)</f>
        <v>0.92379592904355756</v>
      </c>
      <c r="CA5" s="13">
        <f t="shared" ref="CA5:CA68" si="39">EXP(-1.0587+0.8836*LN(BZ5)+0.284)</f>
        <v>0.42967002528896309</v>
      </c>
      <c r="CB5" s="20">
        <f t="shared" si="10"/>
        <v>2.35728653712914</v>
      </c>
      <c r="CC5" s="59">
        <f t="shared" si="11"/>
        <v>229.60341891174056</v>
      </c>
      <c r="CD5" s="59">
        <f ca="1">AVERAGE(OFFSET($CC$3,0,0,'Données projet'!$E$12+1,1))-AVERAGE(OFFSET($H$3,0,0,'Données projet'!$E$12+1,1))</f>
        <v>394.00476121021177</v>
      </c>
      <c r="CE5" s="59">
        <f t="shared" ref="CE5:CE68" si="40">$CE$3</f>
        <v>363.10016759175278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61.309551253681903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3">
        <f>'Scénario référence'!$B$16*5+'Scénario référence'!$B$17*0+'Scénario référence'!$B$18*5</f>
        <v>1.7999999999999998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6.5999999999999988</v>
      </c>
      <c r="H6" s="67">
        <f t="shared" si="1"/>
        <v>230.26666666666665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255.11676991788752</v>
      </c>
      <c r="S6" s="59">
        <f ca="1">AVERAGE(OFFSET($R$3,0,0,'Données projet'!$E$9+1,1))-AVERAGE(OFFSET($H$3,0,0,'Données projet'!$E$9+1,1))</f>
        <v>652.18744712713965</v>
      </c>
      <c r="T6" s="59">
        <f t="shared" si="34"/>
        <v>288.65635870281199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7.2723529411764707</v>
      </c>
      <c r="AI6" s="13">
        <f>IF('Données projet'!$A$62&gt;35,AI5+AH6-AQ5,IF(A6&lt;'Données projet'!$A$62,$AF$205^A6,IF(A6='Données projet'!$A$62,'Données projet'!$B$62,AI5+AH6-AQ5)))</f>
        <v>2.3399055626403502</v>
      </c>
      <c r="AJ6" s="13">
        <f>AI6*VLOOKUP('Données projet'!$B$10,Paramètres!$A$1:$I$89,3,0)*VLOOKUP('Données projet'!$B$10,Paramètres!$A$1:$I$89,5,0)</f>
        <v>1.3992635264589295</v>
      </c>
      <c r="AK6" s="13">
        <f t="shared" si="35"/>
        <v>0.62011020047287035</v>
      </c>
      <c r="AL6" s="20">
        <f t="shared" si="4"/>
        <v>3.5170759077395513</v>
      </c>
      <c r="AM6" s="59">
        <f t="shared" si="5"/>
        <v>232.53821664623146</v>
      </c>
      <c r="AN6" s="59">
        <f ca="1">AVERAGE(OFFSET($AM$3,0,0,'Données projet'!$E$10+1,1))-AVERAGE(OFFSET($H$3,0,0,'Données projet'!$E$10+1,1))</f>
        <v>307.94699176410495</v>
      </c>
      <c r="AO6" s="59">
        <f t="shared" si="36"/>
        <v>314.22983137038875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8.2014285714285702</v>
      </c>
      <c r="BD6" s="12">
        <f>IF('Données projet'!$A$88&gt;35,BD5+BC6-BL5,IF(A6&lt;'Données projet'!$A$88,$BA$205^A6,IF(A6='Données projet'!$A$88,'Données projet'!$B$88,BD5+BC6-BL5)))</f>
        <v>24.604285714285709</v>
      </c>
      <c r="BE6" s="13">
        <f>BD6*VLOOKUP('Données projet'!$B$11,Paramètres!$A$1:$I$89,3,0)*VLOOKUP('Données projet'!$B$11,Paramètres!$A$1:$I$89,5,0)</f>
        <v>11.514805714285712</v>
      </c>
      <c r="BF6" s="13">
        <f t="shared" si="37"/>
        <v>3.992807839654354</v>
      </c>
      <c r="BG6" s="20">
        <f t="shared" si="7"/>
        <v>27.009093606445614</v>
      </c>
      <c r="BH6" s="59">
        <f t="shared" si="8"/>
        <v>256.03023434493753</v>
      </c>
      <c r="BI6" s="59">
        <f ca="1">AVERAGE(OFFSET($BH$3,0,0,'Données projet'!$E$11+1,1))-AVERAGE(OFFSET($H$3,0,0,'Données projet'!$E$11+1,1))</f>
        <v>346.55780187946573</v>
      </c>
      <c r="BJ6" s="59">
        <f t="shared" si="38"/>
        <v>297.28652094809149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9.300476190476191</v>
      </c>
      <c r="BY6" s="12">
        <f>IF('Données projet'!$A$114&gt;35,BY5+BX6-CG5,IF(A6&lt;'Données projet'!$A$114,$BV$205^A6,IF(A6='Données projet'!$A$114,'Données projet'!$B$114,BY5+BX6-CG5)))</f>
        <v>2.1244492177242864</v>
      </c>
      <c r="BZ6" s="13">
        <f>BY6*VLOOKUP('Données projet'!$B$12,Paramètres!$A$1:$I$89,3,0)*VLOOKUP('Données projet'!$B$12,Paramètres!$A$1:$I$89,5,0)</f>
        <v>1.1875671127078762</v>
      </c>
      <c r="CA6" s="13">
        <f t="shared" si="39"/>
        <v>0.53643859573869412</v>
      </c>
      <c r="CB6" s="20">
        <f t="shared" si="10"/>
        <v>3.0026432755444432</v>
      </c>
      <c r="CC6" s="59">
        <f t="shared" si="11"/>
        <v>232.02378401403635</v>
      </c>
      <c r="CD6" s="59">
        <f ca="1">AVERAGE(OFFSET($CC$3,0,0,'Données projet'!$E$12+1,1))-AVERAGE(OFFSET($H$3,0,0,'Données projet'!$E$12+1,1))</f>
        <v>394.00476121021177</v>
      </c>
      <c r="CE6" s="59">
        <f t="shared" si="40"/>
        <v>363.10016759175278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61.460311110497791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3">
        <f>'Scénario référence'!$B$16*5+'Scénario référence'!$B$17*0+'Scénario référence'!$B$18*5</f>
        <v>1.7999999999999998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6.5999999999999988</v>
      </c>
      <c r="H7" s="67">
        <f t="shared" si="1"/>
        <v>230.26666666666665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265.28480425661462</v>
      </c>
      <c r="S7" s="59">
        <f ca="1">AVERAGE(OFFSET($R$3,0,0,'Données projet'!$E$9+1,1))-AVERAGE(OFFSET($H$3,0,0,'Données projet'!$E$9+1,1))</f>
        <v>652.18744712713965</v>
      </c>
      <c r="T7" s="59">
        <f t="shared" si="34"/>
        <v>288.65635870281199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7.2723529411764707</v>
      </c>
      <c r="AI7" s="13">
        <f>IF('Données projet'!$A$62&gt;35,AI6+AH7-AQ6,IF(A7&lt;'Données projet'!$A$62,$AF$205^A7,IF(A7='Données projet'!$A$62,'Données projet'!$B$62,AI6+AH7-AQ6)))</f>
        <v>3.1064505151662831</v>
      </c>
      <c r="AJ7" s="13">
        <f>AI7*VLOOKUP('Données projet'!$B$10,Paramètres!$A$1:$I$89,3,0)*VLOOKUP('Données projet'!$B$10,Paramètres!$A$1:$I$89,5,0)</f>
        <v>1.8576574080694375</v>
      </c>
      <c r="AK7" s="13">
        <f t="shared" si="35"/>
        <v>0.7965445858815392</v>
      </c>
      <c r="AL7" s="20">
        <f t="shared" si="4"/>
        <v>4.6227351394646172</v>
      </c>
      <c r="AM7" s="59">
        <f t="shared" si="5"/>
        <v>235.4092946381239</v>
      </c>
      <c r="AN7" s="59">
        <f ca="1">AVERAGE(OFFSET($AM$3,0,0,'Données projet'!$E$10+1,1))-AVERAGE(OFFSET($H$3,0,0,'Données projet'!$E$10+1,1))</f>
        <v>307.94699176410495</v>
      </c>
      <c r="AO7" s="59">
        <f t="shared" si="36"/>
        <v>314.22983137038875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8.2014285714285702</v>
      </c>
      <c r="BD7" s="12">
        <f>IF('Données projet'!$A$88&gt;35,BD6+BC7-BL6,IF(A7&lt;'Données projet'!$A$88,$BA$205^A7,IF(A7='Données projet'!$A$88,'Données projet'!$B$88,BD6+BC7-BL6)))</f>
        <v>32.805714285714281</v>
      </c>
      <c r="BE7" s="13">
        <f>BD7*VLOOKUP('Données projet'!$B$11,Paramètres!$A$1:$I$89,3,0)*VLOOKUP('Données projet'!$B$11,Paramètres!$A$1:$I$89,5,0)</f>
        <v>15.353074285714282</v>
      </c>
      <c r="BF7" s="13">
        <f t="shared" si="37"/>
        <v>5.1484236571811355</v>
      </c>
      <c r="BG7" s="20">
        <f t="shared" si="7"/>
        <v>35.706775583876187</v>
      </c>
      <c r="BH7" s="59">
        <f t="shared" si="8"/>
        <v>266.49333508253545</v>
      </c>
      <c r="BI7" s="59">
        <f ca="1">AVERAGE(OFFSET($BH$3,0,0,'Données projet'!$E$11+1,1))-AVERAGE(OFFSET($H$3,0,0,'Données projet'!$E$11+1,1))</f>
        <v>346.55780187946573</v>
      </c>
      <c r="BJ7" s="59">
        <f t="shared" si="38"/>
        <v>297.28652094809149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9.300476190476191</v>
      </c>
      <c r="BY7" s="12">
        <f>IF('Données projet'!$A$114&gt;35,BY6+BX7-CG6,IF(A7&lt;'Données projet'!$A$114,$BV$205^A7,IF(A7='Données projet'!$A$114,'Données projet'!$B$114,BY6+BX7-CG6)))</f>
        <v>2.7310425866451067</v>
      </c>
      <c r="BZ7" s="13">
        <f>BY7*VLOOKUP('Données projet'!$B$12,Paramètres!$A$1:$I$89,3,0)*VLOOKUP('Données projet'!$B$12,Paramètres!$A$1:$I$89,5,0)</f>
        <v>1.5266528059346147</v>
      </c>
      <c r="CA7" s="13">
        <f t="shared" si="39"/>
        <v>0.66973805492848271</v>
      </c>
      <c r="CB7" s="20">
        <f t="shared" si="10"/>
        <v>3.8253807493365612</v>
      </c>
      <c r="CC7" s="59">
        <f t="shared" si="11"/>
        <v>234.61194024799585</v>
      </c>
      <c r="CD7" s="59">
        <f ca="1">AVERAGE(OFFSET($CC$3,0,0,'Données projet'!$E$12+1,1))-AVERAGE(OFFSET($H$3,0,0,'Données projet'!$E$12+1,1))</f>
        <v>394.00476121021177</v>
      </c>
      <c r="CE7" s="59">
        <f t="shared" si="40"/>
        <v>363.10016759175278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61.60845562084647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3">
        <f>'Scénario référence'!$B$16*5+'Scénario référence'!$B$17*0+'Scénario référence'!$B$18*5</f>
        <v>1.7999999999999998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6.5999999999999988</v>
      </c>
      <c r="H8" s="67">
        <f t="shared" si="1"/>
        <v>230.26666666666665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275.38684686977717</v>
      </c>
      <c r="S8" s="59">
        <f ca="1">AVERAGE(OFFSET($R$3,0,0,'Données projet'!$E$9+1,1))-AVERAGE(OFFSET($H$3,0,0,'Données projet'!$E$9+1,1))</f>
        <v>652.18744712713965</v>
      </c>
      <c r="T8" s="59">
        <f t="shared" si="34"/>
        <v>288.65635870281199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7.2723529411764707</v>
      </c>
      <c r="AI8" s="13">
        <f>IF('Données projet'!$A$62&gt;35,AI7+AH8-AQ7,IF(A8&lt;'Données projet'!$A$62,$AF$205^A8,IF(A8='Données projet'!$A$62,'Données projet'!$B$62,AI7+AH8-AQ7)))</f>
        <v>4.1241129373989613</v>
      </c>
      <c r="AJ8" s="13">
        <f>AI8*VLOOKUP('Données projet'!$B$10,Paramètres!$A$1:$I$89,3,0)*VLOOKUP('Données projet'!$B$10,Paramètres!$A$1:$I$89,5,0)</f>
        <v>2.4662195365645792</v>
      </c>
      <c r="AK8" s="13">
        <f t="shared" si="35"/>
        <v>1.0231782622078491</v>
      </c>
      <c r="AL8" s="20">
        <f t="shared" si="4"/>
        <v>6.0773678328619782</v>
      </c>
      <c r="AM8" s="59">
        <f t="shared" si="5"/>
        <v>238.61992284616079</v>
      </c>
      <c r="AN8" s="59">
        <f ca="1">AVERAGE(OFFSET($AM$3,0,0,'Données projet'!$E$10+1,1))-AVERAGE(OFFSET($H$3,0,0,'Données projet'!$E$10+1,1))</f>
        <v>307.94699176410495</v>
      </c>
      <c r="AO8" s="59">
        <f t="shared" si="36"/>
        <v>314.22983137038875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8.2014285714285702</v>
      </c>
      <c r="BD8" s="12">
        <f>IF('Données projet'!$A$88&gt;35,BD7+BC8-BL7,IF(A8&lt;'Données projet'!$A$88,$BA$205^A8,IF(A8='Données projet'!$A$88,'Données projet'!$B$88,BD7+BC8-BL7)))</f>
        <v>41.007142857142853</v>
      </c>
      <c r="BE8" s="13">
        <f>BD8*VLOOKUP('Données projet'!$B$11,Paramètres!$A$1:$I$89,3,0)*VLOOKUP('Données projet'!$B$11,Paramètres!$A$1:$I$89,5,0)</f>
        <v>19.191342857142857</v>
      </c>
      <c r="BF8" s="13">
        <f t="shared" si="37"/>
        <v>6.2705258815220457</v>
      </c>
      <c r="BG8" s="20">
        <f t="shared" si="7"/>
        <v>44.346088053174704</v>
      </c>
      <c r="BH8" s="59">
        <f t="shared" si="8"/>
        <v>276.88864306647355</v>
      </c>
      <c r="BI8" s="59">
        <f ca="1">AVERAGE(OFFSET($BH$3,0,0,'Données projet'!$E$11+1,1))-AVERAGE(OFFSET($H$3,0,0,'Données projet'!$E$11+1,1))</f>
        <v>346.55780187946573</v>
      </c>
      <c r="BJ8" s="59">
        <f t="shared" si="38"/>
        <v>297.28652094809149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9.300476190476191</v>
      </c>
      <c r="BY8" s="12">
        <f>IF('Données projet'!$A$114&gt;35,BY7+BX8-CG7,IF(A8&lt;'Données projet'!$A$114,$BV$205^A8,IF(A8='Données projet'!$A$114,'Données projet'!$B$114,BY7+BX8-CG7)))</f>
        <v>3.5108363842459145</v>
      </c>
      <c r="BZ8" s="13">
        <f>BY8*VLOOKUP('Données projet'!$B$12,Paramètres!$A$1:$I$89,3,0)*VLOOKUP('Données projet'!$B$12,Paramètres!$A$1:$I$89,5,0)</f>
        <v>1.9625575387934662</v>
      </c>
      <c r="CA8" s="13">
        <f t="shared" si="39"/>
        <v>0.83616105511893679</v>
      </c>
      <c r="CB8" s="20">
        <f t="shared" si="10"/>
        <v>4.8744348843974343</v>
      </c>
      <c r="CC8" s="59">
        <f t="shared" si="11"/>
        <v>237.41698989769625</v>
      </c>
      <c r="CD8" s="59">
        <f ca="1">AVERAGE(OFFSET($CC$3,0,0,'Données projet'!$E$12+1,1))-AVERAGE(OFFSET($H$3,0,0,'Données projet'!$E$12+1,1))</f>
        <v>394.00476121021177</v>
      </c>
      <c r="CE8" s="59">
        <f t="shared" si="40"/>
        <v>363.10016759175278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61.754030155142104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3">
        <f>'Scénario référence'!$B$16*5+'Scénario référence'!$B$17*0+'Scénario référence'!$B$18*5</f>
        <v>1.7999999999999998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6.5999999999999988</v>
      </c>
      <c r="H9" s="67">
        <f t="shared" si="1"/>
        <v>230.26666666666665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285.4357369825139</v>
      </c>
      <c r="S9" s="59">
        <f ca="1">AVERAGE(OFFSET($R$3,0,0,'Données projet'!$E$9+1,1))-AVERAGE(OFFSET($H$3,0,0,'Données projet'!$E$9+1,1))</f>
        <v>652.18744712713965</v>
      </c>
      <c r="T9" s="59">
        <f t="shared" si="34"/>
        <v>288.65635870281199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7.2723529411764707</v>
      </c>
      <c r="AI9" s="13">
        <f>IF('Données projet'!$A$62&gt;35,AI8+AH9-AQ8,IF(A9&lt;'Données projet'!$A$62,$AF$205^A9,IF(A9='Données projet'!$A$62,'Données projet'!$B$62,AI8+AH9-AQ8)))</f>
        <v>5.4751580420752548</v>
      </c>
      <c r="AJ9" s="13">
        <f>AI9*VLOOKUP('Données projet'!$B$10,Paramètres!$A$1:$I$89,3,0)*VLOOKUP('Données projet'!$B$10,Paramètres!$A$1:$I$89,5,0)</f>
        <v>3.2741445091610024</v>
      </c>
      <c r="AK9" s="13">
        <f t="shared" si="35"/>
        <v>1.3142939827983047</v>
      </c>
      <c r="AL9" s="20">
        <f t="shared" si="4"/>
        <v>7.9915303734957925</v>
      </c>
      <c r="AM9" s="59">
        <f t="shared" si="5"/>
        <v>242.28082112814909</v>
      </c>
      <c r="AN9" s="59">
        <f ca="1">AVERAGE(OFFSET($AM$3,0,0,'Données projet'!$E$10+1,1))-AVERAGE(OFFSET($H$3,0,0,'Données projet'!$E$10+1,1))</f>
        <v>307.94699176410495</v>
      </c>
      <c r="AO9" s="59">
        <f t="shared" si="36"/>
        <v>314.22983137038875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8.2014285714285702</v>
      </c>
      <c r="BD9" s="12">
        <f>IF('Données projet'!$A$88&gt;35,BD8+BC9-BL8,IF(A9&lt;'Données projet'!$A$88,$BA$205^A9,IF(A9='Données projet'!$A$88,'Données projet'!$B$88,BD8+BC9-BL8)))</f>
        <v>49.208571428571425</v>
      </c>
      <c r="BE9" s="13">
        <f>BD9*VLOOKUP('Données projet'!$B$11,Paramètres!$A$1:$I$89,3,0)*VLOOKUP('Données projet'!$B$11,Paramètres!$A$1:$I$89,5,0)</f>
        <v>23.029611428571428</v>
      </c>
      <c r="BF9" s="13">
        <f t="shared" si="37"/>
        <v>7.3666241722189723</v>
      </c>
      <c r="BG9" s="20">
        <f t="shared" si="7"/>
        <v>52.940110338043276</v>
      </c>
      <c r="BH9" s="59">
        <f t="shared" si="8"/>
        <v>287.22940109269655</v>
      </c>
      <c r="BI9" s="59">
        <f ca="1">AVERAGE(OFFSET($BH$3,0,0,'Données projet'!$E$11+1,1))-AVERAGE(OFFSET($H$3,0,0,'Données projet'!$E$11+1,1))</f>
        <v>346.55780187946573</v>
      </c>
      <c r="BJ9" s="59">
        <f t="shared" si="38"/>
        <v>297.28652094809149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9.300476190476191</v>
      </c>
      <c r="BY9" s="12">
        <f>IF('Données projet'!$A$114&gt;35,BY8+BX9-CG8,IF(A9&lt;'Données projet'!$A$114,$BV$205^A9,IF(A9='Données projet'!$A$114,'Données projet'!$B$114,BY8+BX9-CG8)))</f>
        <v>4.5132844786893322</v>
      </c>
      <c r="BZ9" s="13">
        <f>BY9*VLOOKUP('Données projet'!$B$12,Paramètres!$A$1:$I$89,3,0)*VLOOKUP('Données projet'!$B$12,Paramètres!$A$1:$I$89,5,0)</f>
        <v>2.5229260235873365</v>
      </c>
      <c r="CA9" s="13">
        <f t="shared" si="39"/>
        <v>1.0439384546728099</v>
      </c>
      <c r="CB9" s="20">
        <f t="shared" si="10"/>
        <v>6.2122889663030882</v>
      </c>
      <c r="CC9" s="59">
        <f t="shared" si="11"/>
        <v>240.50157972095636</v>
      </c>
      <c r="CD9" s="59">
        <f ca="1">AVERAGE(OFFSET($CC$3,0,0,'Données projet'!$E$12+1,1))-AVERAGE(OFFSET($H$3,0,0,'Données projet'!$E$12+1,1))</f>
        <v>394.00476121021177</v>
      </c>
      <c r="CE9" s="59">
        <f t="shared" si="40"/>
        <v>363.10016759175278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61.897079296723618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3">
        <f>'Scénario référence'!$B$16*5+'Scénario référence'!$B$17*0+'Scénario référence'!$B$18*5</f>
        <v>1.7999999999999998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6.5999999999999988</v>
      </c>
      <c r="H10" s="67">
        <f t="shared" si="1"/>
        <v>230.26666666666665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295.43980679896617</v>
      </c>
      <c r="S10" s="59">
        <f ca="1">AVERAGE(OFFSET($R$3,0,0,'Données projet'!$E$9+1,1))-AVERAGE(OFFSET($H$3,0,0,'Données projet'!$E$9+1,1))</f>
        <v>652.18744712713965</v>
      </c>
      <c r="T10" s="59">
        <f t="shared" si="34"/>
        <v>288.65635870281199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7.2723529411764707</v>
      </c>
      <c r="AI10" s="13">
        <f>IF('Données projet'!$A$62&gt;35,AI9+AH10-AQ9,IF(A10&lt;'Données projet'!$A$62,$AF$205^A10,IF(A10='Données projet'!$A$62,'Données projet'!$B$62,AI9+AH10-AQ9)))</f>
        <v>7.2688008405045679</v>
      </c>
      <c r="AJ10" s="13">
        <f>AI10*VLOOKUP('Données projet'!$B$10,Paramètres!$A$1:$I$89,3,0)*VLOOKUP('Données projet'!$B$10,Paramètres!$A$1:$I$89,5,0)</f>
        <v>4.3467429026217319</v>
      </c>
      <c r="AK10" s="13">
        <f t="shared" si="35"/>
        <v>1.6882382445190491</v>
      </c>
      <c r="AL10" s="20">
        <f t="shared" si="4"/>
        <v>10.510925497936862</v>
      </c>
      <c r="AM10" s="59">
        <f t="shared" si="5"/>
        <v>246.53785285702412</v>
      </c>
      <c r="AN10" s="59">
        <f ca="1">AVERAGE(OFFSET($AM$3,0,0,'Données projet'!$E$10+1,1))-AVERAGE(OFFSET($H$3,0,0,'Données projet'!$E$10+1,1))</f>
        <v>307.94699176410495</v>
      </c>
      <c r="AO10" s="59">
        <f t="shared" si="36"/>
        <v>314.22983137038875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8.2014285714285702</v>
      </c>
      <c r="BD10" s="12">
        <f>IF('Données projet'!$A$88&gt;35,BD9+BC10-BL9,IF(A10&lt;'Données projet'!$A$88,$BA$205^A10,IF(A10='Données projet'!$A$88,'Données projet'!$B$88,BD9+BC10-BL9)))</f>
        <v>57.41</v>
      </c>
      <c r="BE10" s="13">
        <f>BD10*VLOOKUP('Données projet'!$B$11,Paramètres!$A$1:$I$89,3,0)*VLOOKUP('Données projet'!$B$11,Paramètres!$A$1:$I$89,5,0)</f>
        <v>26.867879999999996</v>
      </c>
      <c r="BF10" s="13">
        <f t="shared" si="37"/>
        <v>8.441559716413364</v>
      </c>
      <c r="BG10" s="20">
        <f t="shared" si="7"/>
        <v>61.497274172753265</v>
      </c>
      <c r="BH10" s="59">
        <f t="shared" si="8"/>
        <v>297.5242015318405</v>
      </c>
      <c r="BI10" s="59">
        <f ca="1">AVERAGE(OFFSET($BH$3,0,0,'Données projet'!$E$11+1,1))-AVERAGE(OFFSET($H$3,0,0,'Données projet'!$E$11+1,1))</f>
        <v>346.55780187946573</v>
      </c>
      <c r="BJ10" s="59">
        <f t="shared" si="38"/>
        <v>297.28652094809149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9.300476190476191</v>
      </c>
      <c r="BY10" s="12">
        <f>IF('Données projet'!$A$114&gt;35,BY9+BX10-CG9,IF(A10&lt;'Données projet'!$A$114,$BV$205^A10,IF(A10='Données projet'!$A$114,'Données projet'!$B$114,BY9+BX10-CG9)))</f>
        <v>5.8019612867699086</v>
      </c>
      <c r="BZ10" s="13">
        <f>BY10*VLOOKUP('Données projet'!$B$12,Paramètres!$A$1:$I$89,3,0)*VLOOKUP('Données projet'!$B$12,Paramètres!$A$1:$I$89,5,0)</f>
        <v>3.2432963593043791</v>
      </c>
      <c r="CA10" s="13">
        <f t="shared" si="39"/>
        <v>1.3033463953779079</v>
      </c>
      <c r="CB10" s="20">
        <f t="shared" si="10"/>
        <v>7.9187361310716495</v>
      </c>
      <c r="CC10" s="59">
        <f t="shared" si="11"/>
        <v>243.94566349015892</v>
      </c>
      <c r="CD10" s="59">
        <f ca="1">AVERAGE(OFFSET($CC$3,0,0,'Données projet'!$E$12+1,1))-AVERAGE(OFFSET($H$3,0,0,'Données projet'!$E$12+1,1))</f>
        <v>394.00476121021177</v>
      </c>
      <c r="CE10" s="59">
        <f t="shared" si="40"/>
        <v>363.10016759175278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62.037646855508655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3">
        <f>'Scénario référence'!$B$16*5+'Scénario référence'!$B$17*0+'Scénario référence'!$B$18*5</f>
        <v>1.7999999999999998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6.5999999999999988</v>
      </c>
      <c r="H11" s="67">
        <f t="shared" si="1"/>
        <v>230.26666666666665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305.4049059883871</v>
      </c>
      <c r="S11" s="59">
        <f ca="1">AVERAGE(OFFSET($R$3,0,0,'Données projet'!$E$9+1,1))-AVERAGE(OFFSET($H$3,0,0,'Données projet'!$E$9+1,1))</f>
        <v>652.18744712713965</v>
      </c>
      <c r="T11" s="59">
        <f t="shared" si="34"/>
        <v>288.65635870281199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7.2723529411764707</v>
      </c>
      <c r="AI11" s="13">
        <f>IF('Données projet'!$A$62&gt;35,AI10+AH11-AQ10,IF(A11&lt;'Données projet'!$A$62,$AF$205^A11,IF(A11='Données projet'!$A$62,'Données projet'!$B$62,AI10+AH11-AQ10)))</f>
        <v>9.6500348031768652</v>
      </c>
      <c r="AJ11" s="13">
        <f>AI11*VLOOKUP('Données projet'!$B$10,Paramètres!$A$1:$I$89,3,0)*VLOOKUP('Données projet'!$B$10,Paramètres!$A$1:$I$89,5,0)</f>
        <v>5.770720812299766</v>
      </c>
      <c r="AK11" s="13">
        <f t="shared" si="35"/>
        <v>2.168577508198295</v>
      </c>
      <c r="AL11" s="20">
        <f t="shared" si="4"/>
        <v>13.827611241534122</v>
      </c>
      <c r="AM11" s="59">
        <f t="shared" si="5"/>
        <v>251.58323391781801</v>
      </c>
      <c r="AN11" s="59">
        <f ca="1">AVERAGE(OFFSET($AM$3,0,0,'Données projet'!$E$10+1,1))-AVERAGE(OFFSET($H$3,0,0,'Données projet'!$E$10+1,1))</f>
        <v>307.94699176410495</v>
      </c>
      <c r="AO11" s="59">
        <f t="shared" si="36"/>
        <v>314.22983137038875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8.2014285714285702</v>
      </c>
      <c r="BD11" s="12">
        <f>IF('Données projet'!$A$88&gt;35,BD10+BC11-BL10,IF(A11&lt;'Données projet'!$A$88,$BA$205^A11,IF(A11='Données projet'!$A$88,'Données projet'!$B$88,BD10+BC11-BL10)))</f>
        <v>65.611428571428561</v>
      </c>
      <c r="BE11" s="13">
        <f>BD11*VLOOKUP('Données projet'!$B$11,Paramètres!$A$1:$I$89,3,0)*VLOOKUP('Données projet'!$B$11,Paramètres!$A$1:$I$89,5,0)</f>
        <v>30.706148571428564</v>
      </c>
      <c r="BF11" s="13">
        <f t="shared" si="37"/>
        <v>9.4987045920791768</v>
      </c>
      <c r="BG11" s="20">
        <f t="shared" si="7"/>
        <v>70.023452593109326</v>
      </c>
      <c r="BH11" s="59">
        <f t="shared" si="8"/>
        <v>307.77907526939322</v>
      </c>
      <c r="BI11" s="59">
        <f ca="1">AVERAGE(OFFSET($BH$3,0,0,'Données projet'!$E$11+1,1))-AVERAGE(OFFSET($H$3,0,0,'Données projet'!$E$11+1,1))</f>
        <v>346.55780187946573</v>
      </c>
      <c r="BJ11" s="59">
        <f t="shared" si="38"/>
        <v>297.28652094809149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9.300476190476191</v>
      </c>
      <c r="BY11" s="12">
        <f>IF('Données projet'!$A$114&gt;35,BY10+BX11-CG10,IF(A11&lt;'Données projet'!$A$114,$BV$205^A11,IF(A11='Données projet'!$A$114,'Données projet'!$B$114,BY10+BX11-CG10)))</f>
        <v>7.4585936100691947</v>
      </c>
      <c r="BZ11" s="13">
        <f>BY11*VLOOKUP('Données projet'!$B$12,Paramètres!$A$1:$I$89,3,0)*VLOOKUP('Données projet'!$B$12,Paramètres!$A$1:$I$89,5,0)</f>
        <v>4.1693538280286795</v>
      </c>
      <c r="CA11" s="13">
        <f t="shared" si="39"/>
        <v>1.6272145342868833</v>
      </c>
      <c r="CB11" s="20">
        <f t="shared" si="10"/>
        <v>10.095689897699605</v>
      </c>
      <c r="CC11" s="59">
        <f t="shared" si="11"/>
        <v>247.85131257398348</v>
      </c>
      <c r="CD11" s="59">
        <f ca="1">AVERAGE(OFFSET($CC$3,0,0,'Données projet'!$E$12+1,1))-AVERAGE(OFFSET($H$3,0,0,'Données projet'!$E$12+1,1))</f>
        <v>394.00476121021177</v>
      </c>
      <c r="CE11" s="59">
        <f t="shared" si="40"/>
        <v>363.10016759175278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62.17577588141075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3">
        <f>'Scénario référence'!$B$16*5+'Scénario référence'!$B$17*0+'Scénario référence'!$B$18*5</f>
        <v>1.7999999999999998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6.5999999999999988</v>
      </c>
      <c r="H12" s="67">
        <f t="shared" si="1"/>
        <v>230.26666666666665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315.33537322191</v>
      </c>
      <c r="S12" s="59">
        <f ca="1">AVERAGE(OFFSET($R$3,0,0,'Données projet'!$E$9+1,1))-AVERAGE(OFFSET($H$3,0,0,'Données projet'!$E$9+1,1))</f>
        <v>652.18744712713965</v>
      </c>
      <c r="T12" s="59">
        <f t="shared" si="34"/>
        <v>288.65635870281199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7.2723529411764707</v>
      </c>
      <c r="AI12" s="13">
        <f>IF('Données projet'!$A$62&gt;35,AI11+AH12-AQ11,IF(A12&lt;'Données projet'!$A$62,$AF$205^A12,IF(A12='Données projet'!$A$62,'Données projet'!$B$62,AI11+AH12-AQ11)))</f>
        <v>12.811352758986937</v>
      </c>
      <c r="AJ12" s="13">
        <f>AI12*VLOOKUP('Données projet'!$B$10,Paramètres!$A$1:$I$89,3,0)*VLOOKUP('Données projet'!$B$10,Paramètres!$A$1:$I$89,5,0)</f>
        <v>7.6611889498741892</v>
      </c>
      <c r="AK12" s="13">
        <f t="shared" si="35"/>
        <v>2.7855833880858762</v>
      </c>
      <c r="AL12" s="20">
        <f t="shared" si="4"/>
        <v>18.194795155280449</v>
      </c>
      <c r="AM12" s="59">
        <f t="shared" si="5"/>
        <v>257.67032697286731</v>
      </c>
      <c r="AN12" s="59">
        <f ca="1">AVERAGE(OFFSET($AM$3,0,0,'Données projet'!$E$10+1,1))-AVERAGE(OFFSET($H$3,0,0,'Données projet'!$E$10+1,1))</f>
        <v>307.94699176410495</v>
      </c>
      <c r="AO12" s="59">
        <f t="shared" si="36"/>
        <v>314.22983137038875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8.2014285714285702</v>
      </c>
      <c r="BD12" s="12">
        <f>IF('Données projet'!$A$88&gt;35,BD11+BC12-BL11,IF(A12&lt;'Données projet'!$A$88,$BA$205^A12,IF(A12='Données projet'!$A$88,'Données projet'!$B$88,BD11+BC12-BL11)))</f>
        <v>73.812857142857126</v>
      </c>
      <c r="BE12" s="13">
        <f>BD12*VLOOKUP('Données projet'!$B$11,Paramètres!$A$1:$I$89,3,0)*VLOOKUP('Données projet'!$B$11,Paramètres!$A$1:$I$89,5,0)</f>
        <v>34.544417142857135</v>
      </c>
      <c r="BF12" s="13">
        <f t="shared" si="37"/>
        <v>10.540537319423553</v>
      </c>
      <c r="BG12" s="20">
        <f t="shared" si="7"/>
        <v>78.522962355138873</v>
      </c>
      <c r="BH12" s="59">
        <f t="shared" si="8"/>
        <v>317.99849417272571</v>
      </c>
      <c r="BI12" s="59">
        <f ca="1">AVERAGE(OFFSET($BH$3,0,0,'Données projet'!$E$11+1,1))-AVERAGE(OFFSET($H$3,0,0,'Données projet'!$E$11+1,1))</f>
        <v>346.55780187946573</v>
      </c>
      <c r="BJ12" s="59">
        <f t="shared" si="38"/>
        <v>297.28652094809149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9.300476190476191</v>
      </c>
      <c r="BY12" s="12">
        <f>IF('Données projet'!$A$114&gt;35,BY11+BX12-CG11,IF(A12&lt;'Données projet'!$A$114,$BV$205^A12,IF(A12='Données projet'!$A$114,'Données projet'!$B$114,BY11+BX12-CG11)))</f>
        <v>9.5882436801187154</v>
      </c>
      <c r="BZ12" s="13">
        <f>BY12*VLOOKUP('Données projet'!$B$12,Paramètres!$A$1:$I$89,3,0)*VLOOKUP('Données projet'!$B$12,Paramètres!$A$1:$I$89,5,0)</f>
        <v>5.3598282171863616</v>
      </c>
      <c r="CA12" s="13">
        <f t="shared" si="39"/>
        <v>2.0315605659282445</v>
      </c>
      <c r="CB12" s="20">
        <f t="shared" si="10"/>
        <v>12.873335463924604</v>
      </c>
      <c r="CC12" s="59">
        <f t="shared" si="11"/>
        <v>252.34886728151147</v>
      </c>
      <c r="CD12" s="59">
        <f ca="1">AVERAGE(OFFSET($CC$3,0,0,'Données projet'!$E$12+1,1))-AVERAGE(OFFSET($H$3,0,0,'Données projet'!$E$12+1,1))</f>
        <v>394.00476121021177</v>
      </c>
      <c r="CE12" s="59">
        <f t="shared" si="40"/>
        <v>363.10016759175278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62.31150867752369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3">
        <f>'Scénario référence'!$B$16*5+'Scénario référence'!$B$17*0+'Scénario référence'!$B$18*5</f>
        <v>1.7999999999999998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6.5999999999999988</v>
      </c>
      <c r="H13" s="67">
        <f t="shared" si="1"/>
        <v>230.26666666666665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325.23456026008432</v>
      </c>
      <c r="S13" s="59">
        <f ca="1">AVERAGE(OFFSET($R$3,0,0,'Données projet'!$E$9+1,1))-AVERAGE(OFFSET($H$3,0,0,'Données projet'!$E$9+1,1))</f>
        <v>652.18744712713965</v>
      </c>
      <c r="T13" s="59">
        <f t="shared" si="34"/>
        <v>288.65635870281199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7.2723529411764707</v>
      </c>
      <c r="AI13" s="13">
        <f>IF('Données projet'!$A$62&gt;35,AI12+AH13-AQ12,IF(A13&lt;'Données projet'!$A$62,$AF$205^A13,IF(A13='Données projet'!$A$62,'Données projet'!$B$62,AI12+AH13-AQ12)))</f>
        <v>17.008307520421493</v>
      </c>
      <c r="AJ13" s="13">
        <f>AI13*VLOOKUP('Données projet'!$B$10,Paramètres!$A$1:$I$89,3,0)*VLOOKUP('Données projet'!$B$10,Paramètres!$A$1:$I$89,5,0)</f>
        <v>10.170967897212053</v>
      </c>
      <c r="AK13" s="13">
        <f t="shared" si="35"/>
        <v>3.5781404089295137</v>
      </c>
      <c r="AL13" s="20">
        <f t="shared" si="4"/>
        <v>23.946363633196558</v>
      </c>
      <c r="AM13" s="59">
        <f t="shared" si="5"/>
        <v>265.13317083670159</v>
      </c>
      <c r="AN13" s="59">
        <f ca="1">AVERAGE(OFFSET($AM$3,0,0,'Données projet'!$E$10+1,1))-AVERAGE(OFFSET($H$3,0,0,'Données projet'!$E$10+1,1))</f>
        <v>307.94699176410495</v>
      </c>
      <c r="AO13" s="59">
        <f t="shared" si="36"/>
        <v>314.22983137038875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8.2014285714285702</v>
      </c>
      <c r="BD13" s="12">
        <f>IF('Données projet'!$A$88&gt;35,BD12+BC13-BL12,IF(A13&lt;'Données projet'!$A$88,$BA$205^A13,IF(A13='Données projet'!$A$88,'Données projet'!$B$88,BD12+BC13-BL12)))</f>
        <v>82.014285714285691</v>
      </c>
      <c r="BE13" s="13">
        <f>BD13*VLOOKUP('Données projet'!$B$11,Paramètres!$A$1:$I$89,3,0)*VLOOKUP('Données projet'!$B$11,Paramètres!$A$1:$I$89,5,0)</f>
        <v>38.382685714285699</v>
      </c>
      <c r="BF13" s="13">
        <f t="shared" si="37"/>
        <v>11.568953324671821</v>
      </c>
      <c r="BG13" s="20">
        <f t="shared" si="7"/>
        <v>86.999104659517684</v>
      </c>
      <c r="BH13" s="59">
        <f t="shared" si="8"/>
        <v>328.18591186302274</v>
      </c>
      <c r="BI13" s="59">
        <f ca="1">AVERAGE(OFFSET($BH$3,0,0,'Données projet'!$E$11+1,1))-AVERAGE(OFFSET($H$3,0,0,'Données projet'!$E$11+1,1))</f>
        <v>346.55780187946573</v>
      </c>
      <c r="BJ13" s="59">
        <f t="shared" si="38"/>
        <v>297.28652094809149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9.300476190476191</v>
      </c>
      <c r="BY13" s="12">
        <f>IF('Données projet'!$A$114&gt;35,BY12+BX13-CG12,IF(A13&lt;'Données projet'!$A$114,$BV$205^A13,IF(A13='Données projet'!$A$114,'Données projet'!$B$114,BY12+BX13-CG12)))</f>
        <v>12.325972116944925</v>
      </c>
      <c r="BZ13" s="13">
        <f>BY13*VLOOKUP('Données projet'!$B$12,Paramètres!$A$1:$I$89,3,0)*VLOOKUP('Données projet'!$B$12,Paramètres!$A$1:$I$89,5,0)</f>
        <v>6.8902184133722137</v>
      </c>
      <c r="CA13" s="13">
        <f t="shared" si="39"/>
        <v>2.5363824167434852</v>
      </c>
      <c r="CB13" s="20">
        <f t="shared" si="10"/>
        <v>16.417996445784841</v>
      </c>
      <c r="CC13" s="59">
        <f t="shared" si="11"/>
        <v>257.60480364928986</v>
      </c>
      <c r="CD13" s="59">
        <f ca="1">AVERAGE(OFFSET($CC$3,0,0,'Données projet'!$E$12+1,1))-AVERAGE(OFFSET($H$3,0,0,'Données projet'!$E$12+1,1))</f>
        <v>394.00476121021177</v>
      </c>
      <c r="CE13" s="59">
        <f t="shared" si="40"/>
        <v>363.10016759175278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62.444886813077133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3">
        <f>'Scénario référence'!$B$16*5+'Scénario référence'!$B$17*0+'Scénario référence'!$B$18*5</f>
        <v>1.7999999999999998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6.5999999999999988</v>
      </c>
      <c r="H14" s="67">
        <f t="shared" si="1"/>
        <v>230.26666666666665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335.10513932384515</v>
      </c>
      <c r="S14" s="59">
        <f ca="1">AVERAGE(OFFSET($R$3,0,0,'Données projet'!$E$9+1,1))-AVERAGE(OFFSET($H$3,0,0,'Données projet'!$E$9+1,1))</f>
        <v>652.18744712713965</v>
      </c>
      <c r="T14" s="59">
        <f t="shared" si="34"/>
        <v>288.65635870281199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7.2723529411764707</v>
      </c>
      <c r="AI14" s="13">
        <f>IF('Données projet'!$A$62&gt;35,AI13+AH14-AQ13,IF(A14&lt;'Données projet'!$A$62,$AF$205^A14,IF(A14='Données projet'!$A$62,'Données projet'!$B$62,AI13+AH14-AQ13)))</f>
        <v>22.580170115626522</v>
      </c>
      <c r="AJ14" s="13">
        <f>AI14*VLOOKUP('Données projet'!$B$10,Paramètres!$A$1:$I$89,3,0)*VLOOKUP('Données projet'!$B$10,Paramètres!$A$1:$I$89,5,0)</f>
        <v>13.502941729144661</v>
      </c>
      <c r="AK14" s="13">
        <f t="shared" si="35"/>
        <v>4.5961965600361916</v>
      </c>
      <c r="AL14" s="20">
        <f t="shared" si="4"/>
        <v>31.522665853656651</v>
      </c>
      <c r="AM14" s="59">
        <f t="shared" si="5"/>
        <v>274.41226446404886</v>
      </c>
      <c r="AN14" s="59">
        <f ca="1">AVERAGE(OFFSET($AM$3,0,0,'Données projet'!$E$10+1,1))-AVERAGE(OFFSET($H$3,0,0,'Données projet'!$E$10+1,1))</f>
        <v>307.94699176410495</v>
      </c>
      <c r="AO14" s="59">
        <f t="shared" si="36"/>
        <v>314.22983137038875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8.2014285714285702</v>
      </c>
      <c r="BD14" s="12">
        <f>IF('Données projet'!$A$88&gt;35,BD13+BC14-BL13,IF(A14&lt;'Données projet'!$A$88,$BA$205^A14,IF(A14='Données projet'!$A$88,'Données projet'!$B$88,BD13+BC14-BL13)))</f>
        <v>90.215714285714256</v>
      </c>
      <c r="BE14" s="13">
        <f>BD14*VLOOKUP('Données projet'!$B$11,Paramètres!$A$1:$I$89,3,0)*VLOOKUP('Données projet'!$B$11,Paramètres!$A$1:$I$89,5,0)</f>
        <v>42.220954285714278</v>
      </c>
      <c r="BF14" s="13">
        <f t="shared" si="37"/>
        <v>12.585447012154276</v>
      </c>
      <c r="BG14" s="20">
        <f t="shared" si="7"/>
        <v>95.454482260454384</v>
      </c>
      <c r="BH14" s="59">
        <f t="shared" si="8"/>
        <v>338.3440808708466</v>
      </c>
      <c r="BI14" s="59">
        <f ca="1">AVERAGE(OFFSET($BH$3,0,0,'Données projet'!$E$11+1,1))-AVERAGE(OFFSET($H$3,0,0,'Données projet'!$E$11+1,1))</f>
        <v>346.55780187946573</v>
      </c>
      <c r="BJ14" s="59">
        <f t="shared" si="38"/>
        <v>297.28652094809149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9.300476190476191</v>
      </c>
      <c r="BY14" s="12">
        <f>IF('Données projet'!$A$114&gt;35,BY13+BX14-CG13,IF(A14&lt;'Données projet'!$A$114,$BV$205^A14,IF(A14='Données projet'!$A$114,'Données projet'!$B$114,BY13+BX14-CG13)))</f>
        <v>15.845403360234862</v>
      </c>
      <c r="BZ14" s="13">
        <f>BY14*VLOOKUP('Données projet'!$B$12,Paramètres!$A$1:$I$89,3,0)*VLOOKUP('Données projet'!$B$12,Paramètres!$A$1:$I$89,5,0)</f>
        <v>8.8575804783712879</v>
      </c>
      <c r="CA14" s="13">
        <f t="shared" si="39"/>
        <v>3.1666472916725947</v>
      </c>
      <c r="CB14" s="20">
        <f t="shared" si="10"/>
        <v>20.942196699493092</v>
      </c>
      <c r="CC14" s="59">
        <f t="shared" si="11"/>
        <v>263.83179530988531</v>
      </c>
      <c r="CD14" s="59">
        <f ca="1">AVERAGE(OFFSET($CC$3,0,0,'Données projet'!$E$12+1,1))-AVERAGE(OFFSET($H$3,0,0,'Données projet'!$E$12+1,1))</f>
        <v>394.00476121021177</v>
      </c>
      <c r="CE14" s="59">
        <f t="shared" si="40"/>
        <v>363.10016759175278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62.575951136167575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3">
        <f>'Scénario référence'!$B$16*5+'Scénario référence'!$B$17*0+'Scénario référence'!$B$18*5</f>
        <v>1.7999999999999998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6.5999999999999988</v>
      </c>
      <c r="H15" s="67">
        <f t="shared" si="1"/>
        <v>230.26666666666665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344.94929510425965</v>
      </c>
      <c r="S15" s="59">
        <f ca="1">AVERAGE(OFFSET($R$3,0,0,'Données projet'!$E$9+1,1))-AVERAGE(OFFSET($H$3,0,0,'Données projet'!$E$9+1,1))</f>
        <v>652.18744712713965</v>
      </c>
      <c r="T15" s="59">
        <f t="shared" si="34"/>
        <v>288.65635870281199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7.2723529411764707</v>
      </c>
      <c r="AI15" s="13">
        <f>IF('Données projet'!$A$62&gt;35,AI14+AH15-AQ14,IF(A15&lt;'Données projet'!$A$62,$AF$205^A15,IF(A15='Données projet'!$A$62,'Données projet'!$B$62,AI14+AH15-AQ14)))</f>
        <v>29.977355585701336</v>
      </c>
      <c r="AJ15" s="13">
        <f>AI15*VLOOKUP('Données projet'!$B$10,Paramètres!$A$1:$I$89,3,0)*VLOOKUP('Données projet'!$B$10,Paramètres!$A$1:$I$89,5,0)</f>
        <v>17.9264586402494</v>
      </c>
      <c r="AK15" s="13">
        <f t="shared" si="35"/>
        <v>5.9039110834693549</v>
      </c>
      <c r="AL15" s="20">
        <f t="shared" si="4"/>
        <v>41.504560602143492</v>
      </c>
      <c r="AM15" s="59">
        <f t="shared" si="5"/>
        <v>286.08861381846071</v>
      </c>
      <c r="AN15" s="59">
        <f ca="1">AVERAGE(OFFSET($AM$3,0,0,'Données projet'!$E$10+1,1))-AVERAGE(OFFSET($H$3,0,0,'Données projet'!$E$10+1,1))</f>
        <v>307.94699176410495</v>
      </c>
      <c r="AO15" s="59">
        <f t="shared" si="36"/>
        <v>314.22983137038875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8.2014285714285702</v>
      </c>
      <c r="BD15" s="12">
        <f>IF('Données projet'!$A$88&gt;35,BD14+BC15-BL14,IF(A15&lt;'Données projet'!$A$88,$BA$205^A15,IF(A15='Données projet'!$A$88,'Données projet'!$B$88,BD14+BC15-BL14)))</f>
        <v>98.417142857142821</v>
      </c>
      <c r="BE15" s="13">
        <f>BD15*VLOOKUP('Données projet'!$B$11,Paramètres!$A$1:$I$89,3,0)*VLOOKUP('Données projet'!$B$11,Paramètres!$A$1:$I$89,5,0)</f>
        <v>46.059222857142835</v>
      </c>
      <c r="BF15" s="13">
        <f t="shared" si="37"/>
        <v>13.591225491938175</v>
      </c>
      <c r="BG15" s="20">
        <f t="shared" si="7"/>
        <v>103.89119754131609</v>
      </c>
      <c r="BH15" s="59">
        <f t="shared" si="8"/>
        <v>348.47525075763332</v>
      </c>
      <c r="BI15" s="59">
        <f ca="1">AVERAGE(OFFSET($BH$3,0,0,'Données projet'!$E$11+1,1))-AVERAGE(OFFSET($H$3,0,0,'Données projet'!$E$11+1,1))</f>
        <v>346.55780187946573</v>
      </c>
      <c r="BJ15" s="59">
        <f t="shared" si="38"/>
        <v>297.28652094809149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9.300476190476191</v>
      </c>
      <c r="BY15" s="12">
        <f>IF('Données projet'!$A$114&gt;35,BY14+BX15-CG14,IF(A15&lt;'Données projet'!$A$114,$BV$205^A15,IF(A15='Données projet'!$A$114,'Données projet'!$B$114,BY14+BX15-CG14)))</f>
        <v>20.369736785578038</v>
      </c>
      <c r="BZ15" s="13">
        <f>BY15*VLOOKUP('Données projet'!$B$12,Paramètres!$A$1:$I$89,3,0)*VLOOKUP('Données projet'!$B$12,Paramètres!$A$1:$I$89,5,0)</f>
        <v>11.386682863138123</v>
      </c>
      <c r="CA15" s="13">
        <f t="shared" si="39"/>
        <v>3.9535264886168462</v>
      </c>
      <c r="CB15" s="20">
        <f t="shared" si="10"/>
        <v>26.717531287639904</v>
      </c>
      <c r="CC15" s="59">
        <f t="shared" si="11"/>
        <v>271.30158450395714</v>
      </c>
      <c r="CD15" s="59">
        <f ca="1">AVERAGE(OFFSET($CC$3,0,0,'Données projet'!$E$12+1,1))-AVERAGE(OFFSET($H$3,0,0,'Données projet'!$E$12+1,1))</f>
        <v>394.00476121021177</v>
      </c>
      <c r="CE15" s="59">
        <f t="shared" si="40"/>
        <v>363.10016759175278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62.704741786268322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3">
        <f>'Scénario référence'!$B$16*5+'Scénario référence'!$B$17*0+'Scénario référence'!$B$18*5</f>
        <v>1.7999999999999998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6.5999999999999988</v>
      </c>
      <c r="H16" s="67">
        <f t="shared" si="1"/>
        <v>230.26666666666665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354.76885078908691</v>
      </c>
      <c r="S16" s="59">
        <f ca="1">AVERAGE(OFFSET($R$3,0,0,'Données projet'!$E$9+1,1))-AVERAGE(OFFSET($H$3,0,0,'Données projet'!$E$9+1,1))</f>
        <v>652.18744712713965</v>
      </c>
      <c r="T16" s="59">
        <f t="shared" si="34"/>
        <v>288.65635870281199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7.2723529411764707</v>
      </c>
      <c r="AI16" s="13">
        <f>IF('Données projet'!$A$62&gt;35,AI15+AH16-AQ15,IF(A16&lt;'Données projet'!$A$62,$AF$205^A16,IF(A16='Données projet'!$A$62,'Données projet'!$B$62,AI15+AH16-AQ15)))</f>
        <v>39.797833378131948</v>
      </c>
      <c r="AJ16" s="13">
        <f>AI16*VLOOKUP('Données projet'!$B$10,Paramètres!$A$1:$I$89,3,0)*VLOOKUP('Données projet'!$B$10,Paramètres!$A$1:$I$89,5,0)</f>
        <v>23.799104360122907</v>
      </c>
      <c r="AK16" s="13">
        <f t="shared" si="35"/>
        <v>7.583697874147882</v>
      </c>
      <c r="AL16" s="20">
        <f t="shared" si="4"/>
        <v>54.658380558021626</v>
      </c>
      <c r="AM16" s="59">
        <f t="shared" si="5"/>
        <v>300.92869620415996</v>
      </c>
      <c r="AN16" s="59">
        <f ca="1">AVERAGE(OFFSET($AM$3,0,0,'Données projet'!$E$10+1,1))-AVERAGE(OFFSET($H$3,0,0,'Données projet'!$E$10+1,1))</f>
        <v>307.94699176410495</v>
      </c>
      <c r="AO16" s="59">
        <f t="shared" si="36"/>
        <v>314.22983137038875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8.2014285714285702</v>
      </c>
      <c r="BD16" s="12">
        <f>IF('Données projet'!$A$88&gt;35,BD15+BC16-BL15,IF(A16&lt;'Données projet'!$A$88,$BA$205^A16,IF(A16='Données projet'!$A$88,'Données projet'!$B$88,BD15+BC16-BL15)))</f>
        <v>106.61857142857139</v>
      </c>
      <c r="BE16" s="13">
        <f>BD16*VLOOKUP('Données projet'!$B$11,Paramètres!$A$1:$I$89,3,0)*VLOOKUP('Données projet'!$B$11,Paramètres!$A$1:$I$89,5,0)</f>
        <v>49.897491428571414</v>
      </c>
      <c r="BF16" s="13">
        <f t="shared" si="37"/>
        <v>14.58728321666139</v>
      </c>
      <c r="BG16" s="20">
        <f t="shared" si="7"/>
        <v>112.31098250711379</v>
      </c>
      <c r="BH16" s="59">
        <f t="shared" si="8"/>
        <v>358.58129815325213</v>
      </c>
      <c r="BI16" s="59">
        <f ca="1">AVERAGE(OFFSET($BH$3,0,0,'Données projet'!$E$11+1,1))-AVERAGE(OFFSET($H$3,0,0,'Données projet'!$E$11+1,1))</f>
        <v>346.55780187946573</v>
      </c>
      <c r="BJ16" s="59">
        <f t="shared" si="38"/>
        <v>297.28652094809149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9.300476190476191</v>
      </c>
      <c r="BY16" s="12">
        <f>IF('Données projet'!$A$114&gt;35,BY15+BX16-CG15,IF(A16&lt;'Données projet'!$A$114,$BV$205^A16,IF(A16='Données projet'!$A$114,'Données projet'!$B$114,BY15+BX16-CG15)))</f>
        <v>26.185901821535015</v>
      </c>
      <c r="BZ16" s="13">
        <f>BY16*VLOOKUP('Données projet'!$B$12,Paramètres!$A$1:$I$89,3,0)*VLOOKUP('Données projet'!$B$12,Paramètres!$A$1:$I$89,5,0)</f>
        <v>14.637919118238074</v>
      </c>
      <c r="CA16" s="13">
        <f t="shared" si="39"/>
        <v>4.935937051561945</v>
      </c>
      <c r="CB16" s="20">
        <f t="shared" si="10"/>
        <v>34.091132829068357</v>
      </c>
      <c r="CC16" s="59">
        <f t="shared" si="11"/>
        <v>280.36144847520666</v>
      </c>
      <c r="CD16" s="59">
        <f ca="1">AVERAGE(OFFSET($CC$3,0,0,'Données projet'!$E$12+1,1))-AVERAGE(OFFSET($H$3,0,0,'Données projet'!$E$12+1,1))</f>
        <v>394.00476121021177</v>
      </c>
      <c r="CE16" s="59">
        <f t="shared" si="40"/>
        <v>363.10016759175278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62.831298206522575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3">
        <f>'Scénario référence'!$B$16*5+'Scénario référence'!$B$17*0+'Scénario référence'!$B$18*5</f>
        <v>1.7999999999999998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6.5999999999999988</v>
      </c>
      <c r="H17" s="67">
        <f t="shared" si="1"/>
        <v>230.26666666666665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364.56535414700295</v>
      </c>
      <c r="S17" s="59">
        <f ca="1">AVERAGE(OFFSET($R$3,0,0,'Données projet'!$E$9+1,1))-AVERAGE(OFFSET($H$3,0,0,'Données projet'!$E$9+1,1))</f>
        <v>652.18744712713965</v>
      </c>
      <c r="T17" s="59">
        <f t="shared" si="34"/>
        <v>288.65635870281199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7.2723529411764707</v>
      </c>
      <c r="AI17" s="13">
        <f>IF('Données projet'!$A$62&gt;35,AI16+AH17-AQ16,IF(A17&lt;'Données projet'!$A$62,$AF$205^A17,IF(A17='Données projet'!$A$62,'Données projet'!$B$62,AI16+AH17-AQ16)))</f>
        <v>52.835465658919915</v>
      </c>
      <c r="AJ17" s="13">
        <f>AI17*VLOOKUP('Données projet'!$B$10,Paramètres!$A$1:$I$89,3,0)*VLOOKUP('Données projet'!$B$10,Paramètres!$A$1:$I$89,5,0)</f>
        <v>31.595608464034111</v>
      </c>
      <c r="AK17" s="13">
        <f t="shared" si="35"/>
        <v>9.7414193122567614</v>
      </c>
      <c r="AL17" s="20">
        <f t="shared" si="4"/>
        <v>71.995323377039924</v>
      </c>
      <c r="AM17" s="59">
        <f t="shared" si="5"/>
        <v>319.94385139283605</v>
      </c>
      <c r="AN17" s="59">
        <f ca="1">AVERAGE(OFFSET($AM$3,0,0,'Données projet'!$E$10+1,1))-AVERAGE(OFFSET($H$3,0,0,'Données projet'!$E$10+1,1))</f>
        <v>307.94699176410495</v>
      </c>
      <c r="AO17" s="59">
        <f t="shared" si="36"/>
        <v>314.22983137038875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8.2014285714285702</v>
      </c>
      <c r="BD17" s="12">
        <f>IF('Données projet'!$A$88&gt;35,BD16+BC17-BL16,IF(A17&lt;'Données projet'!$A$88,$BA$205^A17,IF(A17='Données projet'!$A$88,'Données projet'!$B$88,BD16+BC17-BL16)))</f>
        <v>114.81999999999995</v>
      </c>
      <c r="BE17" s="13">
        <f>BD17*VLOOKUP('Données projet'!$B$11,Paramètres!$A$1:$I$89,3,0)*VLOOKUP('Données projet'!$B$11,Paramètres!$A$1:$I$89,5,0)</f>
        <v>53.735759999999978</v>
      </c>
      <c r="BF17" s="13">
        <f t="shared" si="37"/>
        <v>15.574452955277668</v>
      </c>
      <c r="BG17" s="20">
        <f t="shared" si="7"/>
        <v>120.71528756377522</v>
      </c>
      <c r="BH17" s="59">
        <f t="shared" si="8"/>
        <v>368.66381557957135</v>
      </c>
      <c r="BI17" s="59">
        <f ca="1">AVERAGE(OFFSET($BH$3,0,0,'Données projet'!$E$11+1,1))-AVERAGE(OFFSET($H$3,0,0,'Données projet'!$E$11+1,1))</f>
        <v>346.55780187946573</v>
      </c>
      <c r="BJ17" s="59">
        <f t="shared" si="38"/>
        <v>297.28652094809149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9.300476190476191</v>
      </c>
      <c r="BY17" s="12">
        <f>IF('Données projet'!$A$114&gt;35,BY16+BX17-CG16,IF(A17&lt;'Données projet'!$A$114,$BV$205^A17,IF(A17='Données projet'!$A$114,'Données projet'!$B$114,BY16+BX17-CG16)))</f>
        <v>33.662754773176729</v>
      </c>
      <c r="BZ17" s="13">
        <f>BY17*VLOOKUP('Données projet'!$B$12,Paramètres!$A$1:$I$89,3,0)*VLOOKUP('Données projet'!$B$12,Paramètres!$A$1:$I$89,5,0)</f>
        <v>18.817479918205791</v>
      </c>
      <c r="CA17" s="13">
        <f t="shared" si="39"/>
        <v>6.1624665086044912</v>
      </c>
      <c r="CB17" s="20">
        <f t="shared" si="10"/>
        <v>43.50674002669458</v>
      </c>
      <c r="CC17" s="59">
        <f t="shared" si="11"/>
        <v>291.45526804249073</v>
      </c>
      <c r="CD17" s="59">
        <f ca="1">AVERAGE(OFFSET($CC$3,0,0,'Données projet'!$E$12+1,1))-AVERAGE(OFFSET($H$3,0,0,'Données projet'!$E$12+1,1))</f>
        <v>394.00476121021177</v>
      </c>
      <c r="CE17" s="59">
        <f t="shared" si="40"/>
        <v>363.10016759175278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62.955659155823191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3">
        <f>'Scénario référence'!$B$16*5+'Scénario référence'!$B$17*0+'Scénario référence'!$B$18*5</f>
        <v>1.7999999999999998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6.5999999999999988</v>
      </c>
      <c r="H18" s="67">
        <f t="shared" si="1"/>
        <v>230.26666666666665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374.3401382950542</v>
      </c>
      <c r="S18" s="59">
        <f ca="1">AVERAGE(OFFSET($R$3,0,0,'Données projet'!$E$9+1,1))-AVERAGE(OFFSET($H$3,0,0,'Données projet'!$E$9+1,1))</f>
        <v>652.18744712713965</v>
      </c>
      <c r="T18" s="59">
        <f t="shared" si="34"/>
        <v>288.65635870281199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7.2723529411764707</v>
      </c>
      <c r="AI18" s="13">
        <f>IF('Données projet'!$A$62&gt;35,AI17+AH18-AQ17,IF(A18&lt;'Données projet'!$A$62,$AF$205^A18,IF(A18='Données projet'!$A$62,'Données projet'!$B$62,AI17+AH18-AQ17)))</f>
        <v>70.144181088230326</v>
      </c>
      <c r="AJ18" s="13">
        <f>AI18*VLOOKUP('Données projet'!$B$10,Paramètres!$A$1:$I$89,3,0)*VLOOKUP('Données projet'!$B$10,Paramètres!$A$1:$I$89,5,0)</f>
        <v>41.946220290761737</v>
      </c>
      <c r="AK18" s="13">
        <f t="shared" si="35"/>
        <v>12.51305785014169</v>
      </c>
      <c r="AL18" s="20">
        <f t="shared" si="4"/>
        <v>94.849909428740133</v>
      </c>
      <c r="AM18" s="59">
        <f t="shared" si="5"/>
        <v>344.46873940457732</v>
      </c>
      <c r="AN18" s="59">
        <f ca="1">AVERAGE(OFFSET($AM$3,0,0,'Données projet'!$E$10+1,1))-AVERAGE(OFFSET($H$3,0,0,'Données projet'!$E$10+1,1))</f>
        <v>307.94699176410495</v>
      </c>
      <c r="AO18" s="59">
        <f t="shared" si="36"/>
        <v>314.22983137038875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8.2014285714285702</v>
      </c>
      <c r="BD18" s="12">
        <f>IF('Données projet'!$A$88&gt;35,BD17+BC18-BL17,IF(A18&lt;'Données projet'!$A$88,$BA$205^A18,IF(A18='Données projet'!$A$88,'Données projet'!$B$88,BD17+BC18-BL17)))</f>
        <v>123.02142857142852</v>
      </c>
      <c r="BE18" s="13">
        <f>BD18*VLOOKUP('Données projet'!$B$11,Paramètres!$A$1:$I$89,3,0)*VLOOKUP('Données projet'!$B$11,Paramètres!$A$1:$I$89,5,0)</f>
        <v>57.574028571428549</v>
      </c>
      <c r="BF18" s="13">
        <f t="shared" si="37"/>
        <v>16.553441768516468</v>
      </c>
      <c r="BG18" s="20">
        <f t="shared" si="7"/>
        <v>129.10534417540421</v>
      </c>
      <c r="BH18" s="59">
        <f t="shared" si="8"/>
        <v>378.72417415124141</v>
      </c>
      <c r="BI18" s="59">
        <f ca="1">AVERAGE(OFFSET($BH$3,0,0,'Données projet'!$E$11+1,1))-AVERAGE(OFFSET($H$3,0,0,'Données projet'!$E$11+1,1))</f>
        <v>346.55780187946573</v>
      </c>
      <c r="BJ18" s="59">
        <f t="shared" si="38"/>
        <v>297.28652094809149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9.300476190476191</v>
      </c>
      <c r="BY18" s="12">
        <f>IF('Données projet'!$A$114&gt;35,BY17+BX18-CG17,IF(A18&lt;'Données projet'!$A$114,$BV$205^A18,IF(A18='Données projet'!$A$114,'Données projet'!$B$114,BY17+BX18-CG17)))</f>
        <v>43.274471379370887</v>
      </c>
      <c r="BZ18" s="13">
        <f>BY18*VLOOKUP('Données projet'!$B$12,Paramètres!$A$1:$I$89,3,0)*VLOOKUP('Données projet'!$B$12,Paramètres!$A$1:$I$89,5,0)</f>
        <v>24.190429501068326</v>
      </c>
      <c r="CA18" s="13">
        <f t="shared" si="39"/>
        <v>7.6937758875297604</v>
      </c>
      <c r="CB18" s="20">
        <f t="shared" si="10"/>
        <v>55.531657718475003</v>
      </c>
      <c r="CC18" s="59">
        <f t="shared" si="11"/>
        <v>305.15048769431223</v>
      </c>
      <c r="CD18" s="59">
        <f ca="1">AVERAGE(OFFSET($CC$3,0,0,'Données projet'!$E$12+1,1))-AVERAGE(OFFSET($H$3,0,0,'Données projet'!$E$12+1,1))</f>
        <v>394.00476121021177</v>
      </c>
      <c r="CE18" s="59">
        <f t="shared" si="40"/>
        <v>363.10016759175278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63.077862720682873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3">
        <f>'Scénario référence'!$B$16*5+'Scénario référence'!$B$17*0+'Scénario référence'!$B$18*5</f>
        <v>1.7999999999999998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6.5999999999999988</v>
      </c>
      <c r="H19" s="67">
        <f t="shared" si="1"/>
        <v>230.26666666666665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384.09436579614101</v>
      </c>
      <c r="S19" s="59">
        <f ca="1">AVERAGE(OFFSET($R$3,0,0,'Données projet'!$E$9+1,1))-AVERAGE(OFFSET($H$3,0,0,'Données projet'!$E$9+1,1))</f>
        <v>652.18744712713965</v>
      </c>
      <c r="T19" s="59">
        <f t="shared" si="34"/>
        <v>288.65635870281199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7.2723529411764707</v>
      </c>
      <c r="AI19" s="13">
        <f>IF('Données projet'!$A$62&gt;35,AI18+AH19-AQ18,IF(A19&lt;'Données projet'!$A$62,$AF$205^A19,IF(A19='Données projet'!$A$62,'Données projet'!$B$62,AI18+AH19-AQ18)))</f>
        <v>93.123171702524758</v>
      </c>
      <c r="AJ19" s="13">
        <f>AI19*VLOOKUP('Données projet'!$B$10,Paramètres!$A$1:$I$89,3,0)*VLOOKUP('Données projet'!$B$10,Paramètres!$A$1:$I$89,5,0)</f>
        <v>55.687656678109811</v>
      </c>
      <c r="AK19" s="13">
        <f t="shared" si="35"/>
        <v>16.073285805897523</v>
      </c>
      <c r="AL19" s="20">
        <f t="shared" si="4"/>
        <v>124.98364149297942</v>
      </c>
      <c r="AM19" s="59">
        <f t="shared" si="5"/>
        <v>376.26500024716267</v>
      </c>
      <c r="AN19" s="59">
        <f ca="1">AVERAGE(OFFSET($AM$3,0,0,'Données projet'!$E$10+1,1))-AVERAGE(OFFSET($H$3,0,0,'Données projet'!$E$10+1,1))</f>
        <v>307.94699176410495</v>
      </c>
      <c r="AO19" s="59">
        <f t="shared" si="36"/>
        <v>314.22983137038875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8.2014285714285702</v>
      </c>
      <c r="BD19" s="12">
        <f>IF('Données projet'!$A$88&gt;35,BD18+BC19-BL18,IF(A19&lt;'Données projet'!$A$88,$BA$205^A19,IF(A19='Données projet'!$A$88,'Données projet'!$B$88,BD18+BC19-BL18)))</f>
        <v>131.22285714285709</v>
      </c>
      <c r="BE19" s="13">
        <f>BD19*VLOOKUP('Données projet'!$B$11,Paramètres!$A$1:$I$89,3,0)*VLOOKUP('Données projet'!$B$11,Paramètres!$A$1:$I$89,5,0)</f>
        <v>61.41229714285712</v>
      </c>
      <c r="BF19" s="13">
        <f t="shared" si="37"/>
        <v>17.524857108784683</v>
      </c>
      <c r="BG19" s="20">
        <f t="shared" si="7"/>
        <v>137.48221032160947</v>
      </c>
      <c r="BH19" s="59">
        <f t="shared" si="8"/>
        <v>388.76356907579276</v>
      </c>
      <c r="BI19" s="59">
        <f ca="1">AVERAGE(OFFSET($BH$3,0,0,'Données projet'!$E$11+1,1))-AVERAGE(OFFSET($H$3,0,0,'Données projet'!$E$11+1,1))</f>
        <v>346.55780187946573</v>
      </c>
      <c r="BJ19" s="59">
        <f t="shared" si="38"/>
        <v>297.28652094809149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9.300476190476191</v>
      </c>
      <c r="BY19" s="12">
        <f>IF('Données projet'!$A$114&gt;35,BY18+BX19-CG18,IF(A19&lt;'Données projet'!$A$114,$BV$205^A19,IF(A19='Données projet'!$A$114,'Données projet'!$B$114,BY18+BX19-CG18)))</f>
        <v>55.630618640165025</v>
      </c>
      <c r="BZ19" s="13">
        <f>BY19*VLOOKUP('Données projet'!$B$12,Paramètres!$A$1:$I$89,3,0)*VLOOKUP('Données projet'!$B$12,Paramètres!$A$1:$I$89,5,0)</f>
        <v>31.097515819852248</v>
      </c>
      <c r="CA19" s="13">
        <f t="shared" si="39"/>
        <v>9.6055998559802376</v>
      </c>
      <c r="CB19" s="20">
        <f t="shared" si="10"/>
        <v>70.891259802074913</v>
      </c>
      <c r="CC19" s="59">
        <f t="shared" si="11"/>
        <v>322.17261855625821</v>
      </c>
      <c r="CD19" s="59">
        <f ca="1">AVERAGE(OFFSET($CC$3,0,0,'Données projet'!$E$12+1,1))-AVERAGE(OFFSET($H$3,0,0,'Données projet'!$E$12+1,1))</f>
        <v>394.00476121021177</v>
      </c>
      <c r="CE19" s="59">
        <f t="shared" si="40"/>
        <v>363.10016759175278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63.197946326898474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3">
        <f>'Scénario référence'!$B$16*5+'Scénario référence'!$B$17*0+'Scénario référence'!$B$18*5</f>
        <v>1.7999999999999998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6.5999999999999988</v>
      </c>
      <c r="H20" s="67">
        <f t="shared" si="1"/>
        <v>230.26666666666665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393.82906142167906</v>
      </c>
      <c r="S20" s="59">
        <f ca="1">AVERAGE(OFFSET($R$3,0,0,'Données projet'!$E$9+1,1))-AVERAGE(OFFSET($H$3,0,0,'Données projet'!$E$9+1,1))</f>
        <v>652.18744712713965</v>
      </c>
      <c r="T20" s="59">
        <f t="shared" si="34"/>
        <v>288.65635870281199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123.63</v>
      </c>
      <c r="AG20" s="12">
        <f>VLOOKUP(A20,'Données projet'!$A$61:$I$81,9,0)</f>
        <v>7.2723529411764707</v>
      </c>
      <c r="AH20" s="12">
        <f t="array" ref="AH20">INDEX(AG:AG,MIN(IF(ISNUMBER(AG20:AG216),ROW(AG20:AG216),"")))</f>
        <v>7.2723529411764707</v>
      </c>
      <c r="AI20" s="13">
        <f>IF('Données projet'!$A$62&gt;35,AI19+AH20-AQ19,IF(A20&lt;'Données projet'!$A$62,$AF$205^A20,IF(A20='Données projet'!$A$62,'Données projet'!$B$62,AI19+AH20-AQ19)))</f>
        <v>123.63</v>
      </c>
      <c r="AJ20" s="13">
        <f>AI20*VLOOKUP('Données projet'!$B$10,Paramètres!$A$1:$I$89,3,0)*VLOOKUP('Données projet'!$B$10,Paramètres!$A$1:$I$89,5,0)</f>
        <v>73.93074</v>
      </c>
      <c r="AK20" s="13">
        <f t="shared" si="35"/>
        <v>20.646473443351134</v>
      </c>
      <c r="AL20" s="20">
        <f t="shared" si="4"/>
        <v>164.72198008050322</v>
      </c>
      <c r="AM20" s="59">
        <f t="shared" si="5"/>
        <v>417.65822927866185</v>
      </c>
      <c r="AN20" s="59">
        <f ca="1">AVERAGE(OFFSET($AM$3,0,0,'Données projet'!$E$10+1,1))-AVERAGE(OFFSET($H$3,0,0,'Données projet'!$E$10+1,1))</f>
        <v>307.94699176410495</v>
      </c>
      <c r="AO20" s="59">
        <f t="shared" si="36"/>
        <v>314.22983137038875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41.179999999999993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0.22500000000000001</v>
      </c>
      <c r="AT20" s="16">
        <f>IF(ISNA(VLOOKUP(A20,'Données projet'!$A$61:$I$81,7,0)),0%,VLOOKUP(A20,'Données projet'!$A$61:$I$81,7,0))</f>
        <v>0.5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7.3212467235098906</v>
      </c>
      <c r="AW20" s="21">
        <f>EXP(-LN(2)/2)*AW19+(1-EXP(-LN(2)/2))/(LN(2)/2)*AQ20*AT20*VLOOKUP('Données projet'!$B$10,Paramètres!$A$1:$I$89,3,0)*0.475*44/12</f>
        <v>13.940972477629819</v>
      </c>
      <c r="AX20" s="21">
        <f t="shared" si="6"/>
        <v>21.262219201139708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8.2014285714285702</v>
      </c>
      <c r="BD20" s="12">
        <f>IF('Données projet'!$A$88&gt;35,BD19+BC20-BL19,IF(A20&lt;'Données projet'!$A$88,$BA$205^A20,IF(A20='Données projet'!$A$88,'Données projet'!$B$88,BD19+BC20-BL19)))</f>
        <v>139.42428571428567</v>
      </c>
      <c r="BE20" s="13">
        <f>BD20*VLOOKUP('Données projet'!$B$11,Paramètres!$A$1:$I$89,3,0)*VLOOKUP('Données projet'!$B$11,Paramètres!$A$1:$I$89,5,0)</f>
        <v>65.250565714285699</v>
      </c>
      <c r="BF20" s="13">
        <f t="shared" si="37"/>
        <v>18.489226205273241</v>
      </c>
      <c r="BG20" s="20">
        <f t="shared" si="7"/>
        <v>145.84680425989848</v>
      </c>
      <c r="BH20" s="59">
        <f t="shared" si="8"/>
        <v>398.78305345805711</v>
      </c>
      <c r="BI20" s="59">
        <f ca="1">AVERAGE(OFFSET($BH$3,0,0,'Données projet'!$E$11+1,1))-AVERAGE(OFFSET($H$3,0,0,'Données projet'!$E$11+1,1))</f>
        <v>346.55780187946573</v>
      </c>
      <c r="BJ20" s="59">
        <f t="shared" si="38"/>
        <v>297.28652094809149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9.300476190476191</v>
      </c>
      <c r="BY20" s="12">
        <f>IF('Données projet'!$A$114&gt;35,BY19+BX20-CG19,IF(A20&lt;'Données projet'!$A$114,$BV$205^A20,IF(A20='Données projet'!$A$114,'Données projet'!$B$114,BY19+BX20-CG19)))</f>
        <v>71.514813044319794</v>
      </c>
      <c r="BZ20" s="13">
        <f>BY20*VLOOKUP('Données projet'!$B$12,Paramètres!$A$1:$I$89,3,0)*VLOOKUP('Données projet'!$B$12,Paramètres!$A$1:$I$89,5,0)</f>
        <v>39.976780491774768</v>
      </c>
      <c r="CA20" s="13">
        <f t="shared" si="39"/>
        <v>11.992492365518064</v>
      </c>
      <c r="CB20" s="20">
        <f t="shared" si="10"/>
        <v>90.513150226451685</v>
      </c>
      <c r="CC20" s="59">
        <f t="shared" si="11"/>
        <v>343.44939942461031</v>
      </c>
      <c r="CD20" s="59">
        <f ca="1">AVERAGE(OFFSET($CC$3,0,0,'Données projet'!$E$12+1,1))-AVERAGE(OFFSET($H$3,0,0,'Données projet'!$E$12+1,1))</f>
        <v>394.00476121021177</v>
      </c>
      <c r="CE20" s="59">
        <f t="shared" si="40"/>
        <v>363.10016759175278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63.315946751012959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3">
        <f>'Scénario référence'!$B$16*5+'Scénario référence'!$B$17*0+'Scénario référence'!$B$18*5</f>
        <v>1.7999999999999998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6.5999999999999988</v>
      </c>
      <c r="H21" s="67">
        <f t="shared" si="1"/>
        <v>230.26666666666665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403.545136992425</v>
      </c>
      <c r="S21" s="59">
        <f ca="1">AVERAGE(OFFSET($R$3,0,0,'Données projet'!$E$9+1,1))-AVERAGE(OFFSET($H$3,0,0,'Données projet'!$E$9+1,1))</f>
        <v>652.18744712713965</v>
      </c>
      <c r="T21" s="59">
        <f t="shared" si="34"/>
        <v>288.65635870281199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17.793333333333333</v>
      </c>
      <c r="AI21" s="13">
        <f>IF('Données projet'!$A$62&gt;35,AI20+AH21-AQ20,IF(A21&lt;'Données projet'!$A$62,$AF$205^A21,IF(A21='Données projet'!$A$62,'Données projet'!$B$62,AI20+AH21-AQ20)))</f>
        <v>100.24333333333333</v>
      </c>
      <c r="AJ21" s="13">
        <f>AI21*VLOOKUP('Données projet'!$B$10,Paramètres!$A$1:$I$89,3,0)*VLOOKUP('Données projet'!$B$10,Paramètres!$A$1:$I$89,5,0)</f>
        <v>59.945513333333338</v>
      </c>
      <c r="AK21" s="13">
        <f t="shared" si="35"/>
        <v>17.15449234531231</v>
      </c>
      <c r="AL21" s="20">
        <f t="shared" si="4"/>
        <v>134.28250989030781</v>
      </c>
      <c r="AM21" s="59">
        <f t="shared" si="5"/>
        <v>388.86614370609561</v>
      </c>
      <c r="AN21" s="59">
        <f ca="1">AVERAGE(OFFSET($AM$3,0,0,'Données projet'!$E$10+1,1))-AVERAGE(OFFSET($H$3,0,0,'Données projet'!$E$10+1,1))</f>
        <v>307.94699176410495</v>
      </c>
      <c r="AO21" s="59">
        <f t="shared" si="36"/>
        <v>314.22983137038875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7.1210468468478805</v>
      </c>
      <c r="AW21" s="21">
        <f>EXP(-LN(2)/2)*AW20+(1-EXP(-LN(2)/2))/(LN(2)/2)*AQ21*AT21*VLOOKUP('Données projet'!$B$10,Paramètres!$A$1:$I$89,3,0)*0.475*44/12</f>
        <v>9.8577561752670704</v>
      </c>
      <c r="AX21" s="21">
        <f t="shared" si="6"/>
        <v>16.978803022114953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8.2014285714285702</v>
      </c>
      <c r="BD21" s="12">
        <f>IF('Données projet'!$A$88&gt;35,BD20+BC21-BL20,IF(A21&lt;'Données projet'!$A$88,$BA$205^A21,IF(A21='Données projet'!$A$88,'Données projet'!$B$88,BD20+BC21-BL20)))</f>
        <v>147.62571428571425</v>
      </c>
      <c r="BE21" s="13">
        <f>BD21*VLOOKUP('Données projet'!$B$11,Paramètres!$A$1:$I$89,3,0)*VLOOKUP('Données projet'!$B$11,Paramètres!$A$1:$I$89,5,0)</f>
        <v>69.08883428571427</v>
      </c>
      <c r="BF21" s="13">
        <f t="shared" si="37"/>
        <v>19.447010756261072</v>
      </c>
      <c r="BG21" s="20">
        <f t="shared" si="7"/>
        <v>154.19993011477371</v>
      </c>
      <c r="BH21" s="59">
        <f t="shared" si="8"/>
        <v>408.78356393056151</v>
      </c>
      <c r="BI21" s="59">
        <f ca="1">AVERAGE(OFFSET($BH$3,0,0,'Données projet'!$E$11+1,1))-AVERAGE(OFFSET($H$3,0,0,'Données projet'!$E$11+1,1))</f>
        <v>346.55780187946573</v>
      </c>
      <c r="BJ21" s="59">
        <f t="shared" si="38"/>
        <v>297.28652094809149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9.300476190476191</v>
      </c>
      <c r="BY21" s="12">
        <f>IF('Données projet'!$A$114&gt;35,BY20+BX21-CG20,IF(A21&lt;'Données projet'!$A$114,$BV$205^A21,IF(A21='Données projet'!$A$114,'Données projet'!$B$114,BY20+BX21-CG20)))</f>
        <v>91.934416869336488</v>
      </c>
      <c r="BZ21" s="13">
        <f>BY21*VLOOKUP('Données projet'!$B$12,Paramètres!$A$1:$I$89,3,0)*VLOOKUP('Données projet'!$B$12,Paramètres!$A$1:$I$89,5,0)</f>
        <v>51.391339029959099</v>
      </c>
      <c r="CA21" s="13">
        <f t="shared" si="39"/>
        <v>14.972503049611195</v>
      </c>
      <c r="CB21" s="20">
        <f t="shared" si="10"/>
        <v>115.58369162191825</v>
      </c>
      <c r="CC21" s="59">
        <f t="shared" si="11"/>
        <v>370.16732543770604</v>
      </c>
      <c r="CD21" s="59">
        <f ca="1">AVERAGE(OFFSET($CC$3,0,0,'Données projet'!$E$12+1,1))-AVERAGE(OFFSET($H$3,0,0,'Données projet'!$E$12+1,1))</f>
        <v>394.00476121021177</v>
      </c>
      <c r="CE21" s="59">
        <f t="shared" si="40"/>
        <v>363.10016759175278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63.431900131578487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3">
        <f>'Scénario référence'!$B$16*5+'Scénario référence'!$B$17*0+'Scénario référence'!$B$18*5</f>
        <v>1.7999999999999998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6.5999999999999988</v>
      </c>
      <c r="H22" s="67">
        <f t="shared" si="1"/>
        <v>230.26666666666665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413.24341054958506</v>
      </c>
      <c r="S22" s="59">
        <f ca="1">AVERAGE(OFFSET($R$3,0,0,'Données projet'!$E$9+1,1))-AVERAGE(OFFSET($H$3,0,0,'Données projet'!$E$9+1,1))</f>
        <v>652.18744712713965</v>
      </c>
      <c r="T22" s="59">
        <f t="shared" si="34"/>
        <v>288.65635870281199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17.793333333333333</v>
      </c>
      <c r="AI22" s="13">
        <f>IF('Données projet'!$A$62&gt;35,AI21+AH22-AQ21,IF(A22&lt;'Données projet'!$A$62,$AF$205^A22,IF(A22='Données projet'!$A$62,'Données projet'!$B$62,AI21+AH22-AQ21)))</f>
        <v>118.03666666666666</v>
      </c>
      <c r="AJ22" s="13">
        <f>AI22*VLOOKUP('Données projet'!$B$10,Paramètres!$A$1:$I$89,3,0)*VLOOKUP('Données projet'!$B$10,Paramètres!$A$1:$I$89,5,0)</f>
        <v>70.585926666666666</v>
      </c>
      <c r="AK22" s="13">
        <f t="shared" si="35"/>
        <v>19.818893148924182</v>
      </c>
      <c r="AL22" s="20">
        <f t="shared" si="4"/>
        <v>157.45506117882073</v>
      </c>
      <c r="AM22" s="59">
        <f t="shared" si="5"/>
        <v>413.67870399519813</v>
      </c>
      <c r="AN22" s="59">
        <f ca="1">AVERAGE(OFFSET($AM$3,0,0,'Données projet'!$E$10+1,1))-AVERAGE(OFFSET($H$3,0,0,'Données projet'!$E$10+1,1))</f>
        <v>307.94699176410495</v>
      </c>
      <c r="AO22" s="59">
        <f t="shared" si="36"/>
        <v>314.22983137038875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6.9263214463412472</v>
      </c>
      <c r="AW22" s="21">
        <f>EXP(-LN(2)/2)*AW21+(1-EXP(-LN(2)/2))/(LN(2)/2)*AQ22*AT22*VLOOKUP('Données projet'!$B$10,Paramètres!$A$1:$I$89,3,0)*0.475*44/12</f>
        <v>6.9704862388149103</v>
      </c>
      <c r="AX22" s="21">
        <f t="shared" si="6"/>
        <v>13.896807685156158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8.2014285714285702</v>
      </c>
      <c r="BD22" s="12">
        <f>IF('Données projet'!$A$88&gt;35,BD21+BC22-BL21,IF(A22&lt;'Données projet'!$A$88,$BA$205^A22,IF(A22='Données projet'!$A$88,'Données projet'!$B$88,BD21+BC22-BL21)))</f>
        <v>155.82714285714283</v>
      </c>
      <c r="BE22" s="13">
        <f>BD22*VLOOKUP('Données projet'!$B$11,Paramètres!$A$1:$I$89,3,0)*VLOOKUP('Données projet'!$B$11,Paramètres!$A$1:$I$89,5,0)</f>
        <v>72.927102857142842</v>
      </c>
      <c r="BF22" s="13">
        <f t="shared" si="37"/>
        <v>20.398618262859163</v>
      </c>
      <c r="BG22" s="20">
        <f t="shared" si="7"/>
        <v>162.5422976173368</v>
      </c>
      <c r="BH22" s="59">
        <f t="shared" si="8"/>
        <v>418.76594043371415</v>
      </c>
      <c r="BI22" s="59">
        <f ca="1">AVERAGE(OFFSET($BH$3,0,0,'Données projet'!$E$11+1,1))-AVERAGE(OFFSET($H$3,0,0,'Données projet'!$E$11+1,1))</f>
        <v>346.55780187946573</v>
      </c>
      <c r="BJ22" s="59">
        <f t="shared" si="38"/>
        <v>297.28652094809149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9.300476190476191</v>
      </c>
      <c r="BY22" s="12">
        <f>IF('Données projet'!$A$114&gt;35,BY21+BX22-CG21,IF(A22&lt;'Données projet'!$A$114,$BV$205^A22,IF(A22='Données projet'!$A$114,'Données projet'!$B$114,BY21+BX22-CG21)))</f>
        <v>118.18442425161669</v>
      </c>
      <c r="BZ22" s="13">
        <f>BY22*VLOOKUP('Données projet'!$B$12,Paramètres!$A$1:$I$89,3,0)*VLOOKUP('Données projet'!$B$12,Paramètres!$A$1:$I$89,5,0)</f>
        <v>66.065093156653731</v>
      </c>
      <c r="CA22" s="13">
        <f t="shared" si="39"/>
        <v>18.693015658295351</v>
      </c>
      <c r="CB22" s="20">
        <f t="shared" si="10"/>
        <v>147.62037285270299</v>
      </c>
      <c r="CC22" s="59">
        <f t="shared" si="11"/>
        <v>403.84401566908036</v>
      </c>
      <c r="CD22" s="59">
        <f ca="1">AVERAGE(OFFSET($CC$3,0,0,'Données projet'!$E$12+1,1))-AVERAGE(OFFSET($H$3,0,0,'Données projet'!$E$12+1,1))</f>
        <v>394.00476121021177</v>
      </c>
      <c r="CE22" s="59">
        <f t="shared" si="40"/>
        <v>363.10016759175278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63.545841980224132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3">
        <f>'Scénario référence'!$B$16*5+'Scénario référence'!$B$17*0+'Scénario référence'!$B$18*5</f>
        <v>1.7999999999999998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6.5999999999999988</v>
      </c>
      <c r="H23" s="67">
        <f t="shared" si="1"/>
        <v>230.26666666666665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422.92462138284475</v>
      </c>
      <c r="S23" s="59">
        <f ca="1">AVERAGE(OFFSET($R$3,0,0,'Données projet'!$E$9+1,1))-AVERAGE(OFFSET($H$3,0,0,'Données projet'!$E$9+1,1))</f>
        <v>652.18744712713965</v>
      </c>
      <c r="T23" s="59">
        <f t="shared" si="34"/>
        <v>288.65635870281199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17.793333333333333</v>
      </c>
      <c r="AI23" s="13">
        <f>IF('Données projet'!$A$62&gt;35,AI22+AH23-AQ22,IF(A23&lt;'Données projet'!$A$62,$AF$205^A23,IF(A23='Données projet'!$A$62,'Données projet'!$B$62,AI22+AH23-AQ22)))</f>
        <v>135.82999999999998</v>
      </c>
      <c r="AJ23" s="13">
        <f>AI23*VLOOKUP('Données projet'!$B$10,Paramètres!$A$1:$I$89,3,0)*VLOOKUP('Données projet'!$B$10,Paramètres!$A$1:$I$89,5,0)</f>
        <v>81.226339999999993</v>
      </c>
      <c r="AK23" s="13">
        <f t="shared" si="35"/>
        <v>22.43676463604092</v>
      </c>
      <c r="AL23" s="20">
        <f t="shared" si="4"/>
        <v>180.54657390777126</v>
      </c>
      <c r="AM23" s="59">
        <f t="shared" si="5"/>
        <v>438.40297805816488</v>
      </c>
      <c r="AN23" s="59">
        <f ca="1">AVERAGE(OFFSET($AM$3,0,0,'Données projet'!$E$10+1,1))-AVERAGE(OFFSET($H$3,0,0,'Données projet'!$E$10+1,1))</f>
        <v>307.94699176410495</v>
      </c>
      <c r="AO23" s="59">
        <f t="shared" si="36"/>
        <v>314.22983137038875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6.7369208221516317</v>
      </c>
      <c r="AW23" s="21">
        <f>EXP(-LN(2)/2)*AW22+(1-EXP(-LN(2)/2))/(LN(2)/2)*AQ23*AT23*VLOOKUP('Données projet'!$B$10,Paramètres!$A$1:$I$89,3,0)*0.475*44/12</f>
        <v>4.9288780876335361</v>
      </c>
      <c r="AX23" s="21">
        <f t="shared" si="6"/>
        <v>11.665798909785167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8.2014285714285702</v>
      </c>
      <c r="BD23" s="12">
        <f>IF('Données projet'!$A$88&gt;35,BD22+BC23-BL22,IF(A23&lt;'Données projet'!$A$88,$BA$205^A23,IF(A23='Données projet'!$A$88,'Données projet'!$B$88,BD22+BC23-BL22)))</f>
        <v>164.02857142857141</v>
      </c>
      <c r="BE23" s="13">
        <f>BD23*VLOOKUP('Données projet'!$B$11,Paramètres!$A$1:$I$89,3,0)*VLOOKUP('Données projet'!$B$11,Paramètres!$A$1:$I$89,5,0)</f>
        <v>76.765371428571427</v>
      </c>
      <c r="BF23" s="13">
        <f t="shared" si="37"/>
        <v>21.344410908634686</v>
      </c>
      <c r="BG23" s="20">
        <f t="shared" si="7"/>
        <v>170.87453757063398</v>
      </c>
      <c r="BH23" s="59">
        <f t="shared" si="8"/>
        <v>428.73094172102753</v>
      </c>
      <c r="BI23" s="59">
        <f ca="1">AVERAGE(OFFSET($BH$3,0,0,'Données projet'!$E$11+1,1))-AVERAGE(OFFSET($H$3,0,0,'Données projet'!$E$11+1,1))</f>
        <v>346.55780187946573</v>
      </c>
      <c r="BJ23" s="59">
        <f t="shared" si="38"/>
        <v>297.28652094809149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9.300476190476191</v>
      </c>
      <c r="BY23" s="12">
        <f>IF('Données projet'!$A$114&gt;35,BY22+BX23-CG22,IF(A23&lt;'Données projet'!$A$114,$BV$205^A23,IF(A23='Données projet'!$A$114,'Données projet'!$B$114,BY22+BX23-CG22)))</f>
        <v>151.92958862770377</v>
      </c>
      <c r="BZ23" s="13">
        <f>BY23*VLOOKUP('Données projet'!$B$12,Paramètres!$A$1:$I$89,3,0)*VLOOKUP('Données projet'!$B$12,Paramètres!$A$1:$I$89,5,0)</f>
        <v>84.928640042886414</v>
      </c>
      <c r="CA23" s="13">
        <f t="shared" si="39"/>
        <v>23.338037283642365</v>
      </c>
      <c r="CB23" s="20">
        <f t="shared" si="10"/>
        <v>188.56446301037093</v>
      </c>
      <c r="CC23" s="59">
        <f t="shared" si="11"/>
        <v>446.42086716076449</v>
      </c>
      <c r="CD23" s="59">
        <f ca="1">AVERAGE(OFFSET($CC$3,0,0,'Données projet'!$E$12+1,1))-AVERAGE(OFFSET($H$3,0,0,'Données projet'!$E$12+1,1))</f>
        <v>394.00476121021177</v>
      </c>
      <c r="CE23" s="59">
        <f t="shared" si="40"/>
        <v>363.10016759175278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63.657807192531578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3">
        <f>'Scénario référence'!$B$16*5+'Scénario référence'!$B$17*0+'Scénario référence'!$B$18*5</f>
        <v>1.7999999999999998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6.5999999999999988</v>
      </c>
      <c r="H24" s="67">
        <f t="shared" si="1"/>
        <v>230.26666666666665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432.58944197488836</v>
      </c>
      <c r="S24" s="59">
        <f ca="1">AVERAGE(OFFSET($R$3,0,0,'Données projet'!$E$9+1,1))-AVERAGE(OFFSET($H$3,0,0,'Données projet'!$E$9+1,1))</f>
        <v>652.18744712713965</v>
      </c>
      <c r="T24" s="59">
        <f t="shared" si="34"/>
        <v>288.65635870281199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17.793333333333333</v>
      </c>
      <c r="AI24" s="13">
        <f>IF('Données projet'!$A$62&gt;35,AI23+AH24-AQ23,IF(A24&lt;'Données projet'!$A$62,$AF$205^A24,IF(A24='Données projet'!$A$62,'Données projet'!$B$62,AI23+AH24-AQ23)))</f>
        <v>153.62333333333331</v>
      </c>
      <c r="AJ24" s="13">
        <f>AI24*VLOOKUP('Données projet'!$B$10,Paramètres!$A$1:$I$89,3,0)*VLOOKUP('Données projet'!$B$10,Paramètres!$A$1:$I$89,5,0)</f>
        <v>91.866753333333321</v>
      </c>
      <c r="AK24" s="13">
        <f t="shared" si="35"/>
        <v>25.014901610216608</v>
      </c>
      <c r="AL24" s="20">
        <f t="shared" si="4"/>
        <v>203.56888236001612</v>
      </c>
      <c r="AM24" s="59">
        <f t="shared" si="5"/>
        <v>463.05092590866423</v>
      </c>
      <c r="AN24" s="59">
        <f ca="1">AVERAGE(OFFSET($AM$3,0,0,'Données projet'!$E$10+1,1))-AVERAGE(OFFSET($H$3,0,0,'Données projet'!$E$10+1,1))</f>
        <v>307.94699176410495</v>
      </c>
      <c r="AO24" s="59">
        <f t="shared" si="36"/>
        <v>314.22983137038875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6.5526993679906269</v>
      </c>
      <c r="AW24" s="21">
        <f>EXP(-LN(2)/2)*AW23+(1-EXP(-LN(2)/2))/(LN(2)/2)*AQ24*AT24*VLOOKUP('Données projet'!$B$10,Paramètres!$A$1:$I$89,3,0)*0.475*44/12</f>
        <v>3.485243119407456</v>
      </c>
      <c r="AX24" s="21">
        <f t="shared" si="6"/>
        <v>10.037942487398084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8.2014285714285702</v>
      </c>
      <c r="BD24" s="12">
        <f>IF('Données projet'!$A$88&gt;35,BD23+BC24-BL23,IF(A24&lt;'Données projet'!$A$88,$BA$205^A24,IF(A24='Données projet'!$A$88,'Données projet'!$B$88,BD23+BC24-BL23)))</f>
        <v>172.23</v>
      </c>
      <c r="BE24" s="13">
        <f>BD24*VLOOKUP('Données projet'!$B$11,Paramètres!$A$1:$I$89,3,0)*VLOOKUP('Données projet'!$B$11,Paramètres!$A$1:$I$89,5,0)</f>
        <v>80.603639999999999</v>
      </c>
      <c r="BF24" s="13">
        <f t="shared" si="37"/>
        <v>22.284712612841446</v>
      </c>
      <c r="BG24" s="20">
        <f t="shared" si="7"/>
        <v>179.19721413403215</v>
      </c>
      <c r="BH24" s="59">
        <f t="shared" si="8"/>
        <v>438.67925768268026</v>
      </c>
      <c r="BI24" s="59">
        <f ca="1">AVERAGE(OFFSET($BH$3,0,0,'Données projet'!$E$11+1,1))-AVERAGE(OFFSET($H$3,0,0,'Données projet'!$E$11+1,1))</f>
        <v>346.55780187946573</v>
      </c>
      <c r="BJ24" s="59">
        <f t="shared" si="38"/>
        <v>297.28652094809149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>
        <f>VLOOKUP(A24,'Données projet'!$A$113:$I$133,2,0)</f>
        <v>195.31</v>
      </c>
      <c r="BW24" s="12">
        <f>VLOOKUP(A24,'Données projet'!$A$113:$I$133,9,0)</f>
        <v>9.300476190476191</v>
      </c>
      <c r="BX24" s="12">
        <f t="array" ref="BX24">INDEX(BW:BW,MIN(IF(ISNUMBER(BW24:BW220),ROW(BW24:BW220),"")))</f>
        <v>9.300476190476191</v>
      </c>
      <c r="BY24" s="12">
        <f>IF('Données projet'!$A$114&gt;35,BY23+BX24-CG23,IF(A24&lt;'Données projet'!$A$114,$BV$205^A24,IF(A24='Données projet'!$A$114,'Données projet'!$B$114,BY23+BX24-CG23)))</f>
        <v>195.31</v>
      </c>
      <c r="BZ24" s="13">
        <f>BY24*VLOOKUP('Données projet'!$B$12,Paramètres!$A$1:$I$89,3,0)*VLOOKUP('Données projet'!$B$12,Paramètres!$A$1:$I$89,5,0)</f>
        <v>109.17829</v>
      </c>
      <c r="CA24" s="13">
        <f t="shared" si="39"/>
        <v>29.137298882589644</v>
      </c>
      <c r="CB24" s="20">
        <f t="shared" si="10"/>
        <v>240.89965063717693</v>
      </c>
      <c r="CC24" s="59">
        <f t="shared" si="11"/>
        <v>500.38169418582504</v>
      </c>
      <c r="CD24" s="59">
        <f ca="1">AVERAGE(OFFSET($CC$3,0,0,'Données projet'!$E$12+1,1))-AVERAGE(OFFSET($H$3,0,0,'Données projet'!$E$12+1,1))</f>
        <v>394.00476121021177</v>
      </c>
      <c r="CE24" s="59">
        <f t="shared" si="40"/>
        <v>363.10016759175278</v>
      </c>
      <c r="CF24" s="15">
        <f>IF(ISNA(VLOOKUP(A24,'Données projet'!$A$113:$I$133,3,0)),0,VLOOKUP(A24,'Données projet'!$A$113:$I$133,3,0))</f>
        <v>1</v>
      </c>
      <c r="CG24" s="15">
        <f>IF(ISNA(VLOOKUP(A24,'Données projet'!$A$113:$I$133,4,0)),0,VLOOKUP(A24,'Données projet'!$A$113:$I$133,4,0))</f>
        <v>64.599999999999994</v>
      </c>
      <c r="CH24" s="16">
        <f>IF(ISNA(VLOOKUP(A24,'Données projet'!$A$113:$I$133,5,0)),0%,VLOOKUP(A24,'Données projet'!$A$113:$I$133,5,0)*VLOOKUP('Données projet'!$B$12,Paramètres!$A$1:$I$89,7,0))</f>
        <v>0.13750000000000001</v>
      </c>
      <c r="CI24" s="16">
        <f>IF(ISNA(VLOOKUP(A24,'Données projet'!$A$113:$I$133,6,0)),0%,VLOOKUP(A24,'Données projet'!$A$113:$I$133,6,0)*VLOOKUP('Données projet'!$B$12,Paramètres!$A$1:$I$89,7,0))</f>
        <v>0.20350000000000001</v>
      </c>
      <c r="CJ24" s="16">
        <f>IF(ISNA(VLOOKUP(A24,'Données projet'!$A$113:$I$133,7,0)),0%,VLOOKUP(A24,'Données projet'!$A$113:$I$133,7,0))</f>
        <v>0.38</v>
      </c>
      <c r="CK24" s="21">
        <f>EXP(-LN(2)/35)*CK23+(1-EXP(-LN(2)/35))/(LN(2)/35)*CG24*CH24*VLOOKUP('Données projet'!$B$12,Paramètres!$A$1:$I$89,3,0)*0.475*44/12</f>
        <v>6.5868137054719185</v>
      </c>
      <c r="CL24" s="21">
        <f>EXP(-LN(2)/25)*CL23+(1-EXP(-LN(2)/25))/(LN(2)/25)*Calculateur!CG24*Calculateur!CI24*VLOOKUP('Données projet'!$B$12,Paramètres!$A$1:$I$89,3,0)*0.475*44/12</f>
        <v>9.7101007870082245</v>
      </c>
      <c r="CM24" s="21">
        <f>EXP(-LN(2)/2)*CM23+(1-EXP(-LN(2)/2))/(LN(2)/2)*CG24*CJ24*VLOOKUP('Données projet'!$B$12,Paramètres!$A$1:$I$89,3,0)*0.475*44/12</f>
        <v>15.536867487780944</v>
      </c>
      <c r="CN24" s="22">
        <f t="shared" si="12"/>
        <v>31.833781980261087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63.767830058722211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3">
        <f>'Scénario référence'!$B$16*5+'Scénario référence'!$B$17*0+'Scénario référence'!$B$18*5</f>
        <v>1.7999999999999998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6.5999999999999988</v>
      </c>
      <c r="H25" s="67">
        <f t="shared" si="1"/>
        <v>230.26666666666665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442.23848761330623</v>
      </c>
      <c r="S25" s="59">
        <f ca="1">AVERAGE(OFFSET($R$3,0,0,'Données projet'!$E$9+1,1))-AVERAGE(OFFSET($H$3,0,0,'Données projet'!$E$9+1,1))</f>
        <v>652.18744712713965</v>
      </c>
      <c r="T25" s="59">
        <f t="shared" si="34"/>
        <v>288.65635870281199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17.793333333333333</v>
      </c>
      <c r="AI25" s="13">
        <f>IF('Données projet'!$A$62&gt;35,AI24+AH25-AQ24,IF(A25&lt;'Données projet'!$A$62,$AF$205^A25,IF(A25='Données projet'!$A$62,'Données projet'!$B$62,AI24+AH25-AQ24)))</f>
        <v>171.41666666666663</v>
      </c>
      <c r="AJ25" s="13">
        <f>AI25*VLOOKUP('Données projet'!$B$10,Paramètres!$A$1:$I$89,3,0)*VLOOKUP('Données projet'!$B$10,Paramètres!$A$1:$I$89,5,0)</f>
        <v>102.50716666666666</v>
      </c>
      <c r="AK25" s="13">
        <f t="shared" si="35"/>
        <v>27.558431899391174</v>
      </c>
      <c r="AL25" s="20">
        <f t="shared" si="4"/>
        <v>226.53091750255075</v>
      </c>
      <c r="AM25" s="59">
        <f t="shared" si="5"/>
        <v>487.63160206335488</v>
      </c>
      <c r="AN25" s="59">
        <f ca="1">AVERAGE(OFFSET($AM$3,0,0,'Données projet'!$E$10+1,1))-AVERAGE(OFFSET($H$3,0,0,'Données projet'!$E$10+1,1))</f>
        <v>307.94699176410495</v>
      </c>
      <c r="AO25" s="59">
        <f t="shared" si="36"/>
        <v>314.22983137038875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6.3735154591814398</v>
      </c>
      <c r="AW25" s="21">
        <f>EXP(-LN(2)/2)*AW24+(1-EXP(-LN(2)/2))/(LN(2)/2)*AQ25*AT25*VLOOKUP('Données projet'!$B$10,Paramètres!$A$1:$I$89,3,0)*0.475*44/12</f>
        <v>2.4644390438167685</v>
      </c>
      <c r="AX25" s="21">
        <f t="shared" si="6"/>
        <v>8.8379545029982083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8.2014285714285702</v>
      </c>
      <c r="BD25" s="12">
        <f>IF('Données projet'!$A$88&gt;35,BD24+BC25-BL24,IF(A25&lt;'Données projet'!$A$88,$BA$205^A25,IF(A25='Données projet'!$A$88,'Données projet'!$B$88,BD24+BC25-BL24)))</f>
        <v>180.43142857142857</v>
      </c>
      <c r="BE25" s="13">
        <f>BD25*VLOOKUP('Données projet'!$B$11,Paramètres!$A$1:$I$89,3,0)*VLOOKUP('Données projet'!$B$11,Paramètres!$A$1:$I$89,5,0)</f>
        <v>84.44190857142857</v>
      </c>
      <c r="BF25" s="13">
        <f t="shared" si="37"/>
        <v>23.219814702112629</v>
      </c>
      <c r="BG25" s="20">
        <f t="shared" si="7"/>
        <v>187.51083470141759</v>
      </c>
      <c r="BH25" s="59">
        <f t="shared" si="8"/>
        <v>448.61151926222175</v>
      </c>
      <c r="BI25" s="59">
        <f ca="1">AVERAGE(OFFSET($BH$3,0,0,'Données projet'!$E$11+1,1))-AVERAGE(OFFSET($H$3,0,0,'Données projet'!$E$11+1,1))</f>
        <v>346.55780187946573</v>
      </c>
      <c r="BJ25" s="59">
        <f t="shared" si="38"/>
        <v>297.28652094809149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21.61428571428571</v>
      </c>
      <c r="BY25" s="12">
        <f>IF('Données projet'!$A$114&gt;35,BY24+BX25-CG24,IF(A25&lt;'Données projet'!$A$114,$BV$205^A25,IF(A25='Données projet'!$A$114,'Données projet'!$B$114,BY24+BX25-CG24)))</f>
        <v>152.32428571428571</v>
      </c>
      <c r="BZ25" s="13">
        <f>BY25*VLOOKUP('Données projet'!$B$12,Paramètres!$A$1:$I$89,3,0)*VLOOKUP('Données projet'!$B$12,Paramètres!$A$1:$I$89,5,0)</f>
        <v>85.149275714285707</v>
      </c>
      <c r="CA25" s="13">
        <f t="shared" si="39"/>
        <v>23.391601652187223</v>
      </c>
      <c r="CB25" s="20">
        <f t="shared" si="10"/>
        <v>189.04202807994034</v>
      </c>
      <c r="CC25" s="59">
        <f t="shared" si="11"/>
        <v>450.14271264074449</v>
      </c>
      <c r="CD25" s="59">
        <f ca="1">AVERAGE(OFFSET($CC$3,0,0,'Données projet'!$E$12+1,1))-AVERAGE(OFFSET($H$3,0,0,'Données projet'!$E$12+1,1))</f>
        <v>394.00476121021177</v>
      </c>
      <c r="CE25" s="59">
        <f t="shared" si="40"/>
        <v>363.10016759175278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6.457650306267273</v>
      </c>
      <c r="CL25" s="21">
        <f>EXP(-LN(2)/25)*CL24+(1-EXP(-LN(2)/25))/(LN(2)/25)*Calculateur!CG25*Calculateur!CI25*VLOOKUP('Données projet'!$B$12,Paramètres!$A$1:$I$89,3,0)*0.475*44/12</f>
        <v>9.4445775703554773</v>
      </c>
      <c r="CM25" s="21">
        <f>EXP(-LN(2)/2)*CM24+(1-EXP(-LN(2)/2))/(LN(2)/2)*CG25*CJ25*VLOOKUP('Données projet'!$B$12,Paramètres!$A$1:$I$89,3,0)*0.475*44/12</f>
        <v>10.986224359006705</v>
      </c>
      <c r="CN25" s="22">
        <f t="shared" si="12"/>
        <v>26.888452235629455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63.875944274158712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3">
        <f>'Scénario référence'!$B$16*5+'Scénario référence'!$B$17*0+'Scénario référence'!$B$18*5</f>
        <v>1.7999999999999998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6.5999999999999988</v>
      </c>
      <c r="H26" s="67">
        <f t="shared" si="1"/>
        <v>230.26666666666665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451.87232421201077</v>
      </c>
      <c r="S26" s="59">
        <f ca="1">AVERAGE(OFFSET($R$3,0,0,'Données projet'!$E$9+1,1))-AVERAGE(OFFSET($H$3,0,0,'Données projet'!$E$9+1,1))</f>
        <v>652.18744712713965</v>
      </c>
      <c r="T26" s="59">
        <f t="shared" si="34"/>
        <v>288.65635870281199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189.21</v>
      </c>
      <c r="AG26" s="12">
        <f>VLOOKUP(A26,'Données projet'!$A$61:$I$81,9,0)</f>
        <v>17.793333333333333</v>
      </c>
      <c r="AH26" s="12">
        <f t="array" ref="AH26">INDEX(AG:AG,MIN(IF(ISNUMBER(AG26:AG222),ROW(AG26:AG222),"")))</f>
        <v>17.793333333333333</v>
      </c>
      <c r="AI26" s="13">
        <f>IF('Données projet'!$A$62&gt;35,AI25+AH26-AQ25,IF(A26&lt;'Données projet'!$A$62,$AF$205^A26,IF(A26='Données projet'!$A$62,'Données projet'!$B$62,AI25+AH26-AQ25)))</f>
        <v>189.20999999999995</v>
      </c>
      <c r="AJ26" s="13">
        <f>AI26*VLOOKUP('Données projet'!$B$10,Paramètres!$A$1:$I$89,3,0)*VLOOKUP('Données projet'!$B$10,Paramètres!$A$1:$I$89,5,0)</f>
        <v>113.14757999999998</v>
      </c>
      <c r="AK26" s="13">
        <f t="shared" si="35"/>
        <v>30.071356907423628</v>
      </c>
      <c r="AL26" s="20">
        <f t="shared" si="4"/>
        <v>249.43964844709606</v>
      </c>
      <c r="AM26" s="59">
        <f t="shared" si="5"/>
        <v>512.15209704031054</v>
      </c>
      <c r="AN26" s="59">
        <f ca="1">AVERAGE(OFFSET($AM$3,0,0,'Données projet'!$E$10+1,1))-AVERAGE(OFFSET($H$3,0,0,'Données projet'!$E$10+1,1))</f>
        <v>307.94699176410495</v>
      </c>
      <c r="AO26" s="59">
        <f t="shared" si="36"/>
        <v>314.22983137038875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58.370000000000005</v>
      </c>
      <c r="AR26" s="16">
        <f>IF(ISNA(VLOOKUP(A26,'Données projet'!$A$61:$I$81,5,0)),0%,VLOOKUP(A26,'Données projet'!$A$61:$I$81,5,0)*VLOOKUP('Données projet'!$B$10,Paramètres!$A$1:$I$89,7,0))</f>
        <v>0.1125</v>
      </c>
      <c r="AS26" s="16">
        <f>IF(ISNA(VLOOKUP(A26,'Données projet'!$A$61:$I$81,6,0)),0%,VLOOKUP(A26,'Données projet'!$A$61:$I$81,6,0)*VLOOKUP('Données projet'!$B$10,Paramètres!$A$1:$I$89,7,0))</f>
        <v>0.16650000000000001</v>
      </c>
      <c r="AT26" s="16">
        <f>IF(ISNA(VLOOKUP(A26,'Données projet'!$A$61:$I$81,7,0)),0%,VLOOKUP(A26,'Données projet'!$A$61:$I$81,7,0))</f>
        <v>0.38</v>
      </c>
      <c r="AU26" s="21">
        <f>EXP(-LN(2)/35)*AU25+(1-EXP(-LN(2)/35))/(LN(2)/35)*AQ26*AR26*VLOOKUP('Données projet'!$B$10,Paramètres!$A$1:$I$89,3,0)*0.475*44/12</f>
        <v>5.2092086876860018</v>
      </c>
      <c r="AV26" s="21">
        <f>EXP(-LN(2)/25)*AV25+(1-EXP(-LN(2)/25))/(LN(2)/25)*Calculateur!AQ26*Calculateur!AS26*VLOOKUP('Données projet'!$B$10,Paramètres!$A$1:$I$89,3,0)*0.475*44/12</f>
        <v>13.878504455144835</v>
      </c>
      <c r="AW26" s="21">
        <f>EXP(-LN(2)/2)*AW25+(1-EXP(-LN(2)/2))/(LN(2)/2)*AQ26*AT26*VLOOKUP('Données projet'!$B$10,Paramètres!$A$1:$I$89,3,0)*0.475*44/12</f>
        <v>16.760549395416017</v>
      </c>
      <c r="AX26" s="21">
        <f t="shared" si="6"/>
        <v>35.848262538246857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8.2014285714285702</v>
      </c>
      <c r="BD26" s="12">
        <f>IF('Données projet'!$A$88&gt;35,BD25+BC26-BL25,IF(A26&lt;'Données projet'!$A$88,$BA$205^A26,IF(A26='Données projet'!$A$88,'Données projet'!$B$88,BD25+BC26-BL25)))</f>
        <v>188.63285714285715</v>
      </c>
      <c r="BE26" s="13">
        <f>BD26*VLOOKUP('Données projet'!$B$11,Paramètres!$A$1:$I$89,3,0)*VLOOKUP('Données projet'!$B$11,Paramètres!$A$1:$I$89,5,0)</f>
        <v>88.280177142857141</v>
      </c>
      <c r="BF26" s="13">
        <f t="shared" si="37"/>
        <v>24.149980521786791</v>
      </c>
      <c r="BG26" s="20">
        <f t="shared" si="7"/>
        <v>195.81585793258819</v>
      </c>
      <c r="BH26" s="59">
        <f t="shared" si="8"/>
        <v>458.52830652580269</v>
      </c>
      <c r="BI26" s="59">
        <f ca="1">AVERAGE(OFFSET($BH$3,0,0,'Données projet'!$E$11+1,1))-AVERAGE(OFFSET($H$3,0,0,'Données projet'!$E$11+1,1))</f>
        <v>346.55780187946573</v>
      </c>
      <c r="BJ26" s="59">
        <f t="shared" si="38"/>
        <v>297.28652094809149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21.61428571428571</v>
      </c>
      <c r="BY26" s="12">
        <f>IF('Données projet'!$A$114&gt;35,BY25+BX26-CG25,IF(A26&lt;'Données projet'!$A$114,$BV$205^A26,IF(A26='Données projet'!$A$114,'Données projet'!$B$114,BY25+BX26-CG25)))</f>
        <v>173.93857142857141</v>
      </c>
      <c r="BZ26" s="13">
        <f>BY26*VLOOKUP('Données projet'!$B$12,Paramètres!$A$1:$I$89,3,0)*VLOOKUP('Données projet'!$B$12,Paramètres!$A$1:$I$89,5,0)</f>
        <v>97.231661428571414</v>
      </c>
      <c r="CA26" s="13">
        <f t="shared" si="39"/>
        <v>26.301405349792162</v>
      </c>
      <c r="CB26" s="20">
        <f t="shared" si="10"/>
        <v>215.15342463898321</v>
      </c>
      <c r="CC26" s="59">
        <f t="shared" si="11"/>
        <v>477.86587323219771</v>
      </c>
      <c r="CD26" s="59">
        <f ca="1">AVERAGE(OFFSET($CC$3,0,0,'Données projet'!$E$12+1,1))-AVERAGE(OFFSET($H$3,0,0,'Données projet'!$E$12+1,1))</f>
        <v>394.00476121021177</v>
      </c>
      <c r="CE26" s="59">
        <f t="shared" si="40"/>
        <v>363.10016759175278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6.3310197225391365</v>
      </c>
      <c r="CL26" s="21">
        <f>EXP(-LN(2)/25)*CL25+(1-EXP(-LN(2)/25))/(LN(2)/25)*Calculateur!CG26*Calculateur!CI26*VLOOKUP('Données projet'!$B$12,Paramètres!$A$1:$I$89,3,0)*0.475*44/12</f>
        <v>9.1863151000253573</v>
      </c>
      <c r="CM26" s="21">
        <f>EXP(-LN(2)/2)*CM25+(1-EXP(-LN(2)/2))/(LN(2)/2)*CG26*CJ26*VLOOKUP('Données projet'!$B$12,Paramètres!$A$1:$I$89,3,0)*0.475*44/12</f>
        <v>7.7684337438904736</v>
      </c>
      <c r="CN26" s="22">
        <f t="shared" si="12"/>
        <v>23.285768566454966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63.982182949664569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3">
        <f>'Scénario référence'!$B$16*5+'Scénario référence'!$B$17*0+'Scénario référence'!$B$18*5</f>
        <v>1.7999999999999998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6.5999999999999988</v>
      </c>
      <c r="H27" s="67">
        <f t="shared" si="1"/>
        <v>230.26666666666665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461.49147474013512</v>
      </c>
      <c r="S27" s="59">
        <f ca="1">AVERAGE(OFFSET($R$3,0,0,'Données projet'!$E$9+1,1))-AVERAGE(OFFSET($H$3,0,0,'Données projet'!$E$9+1,1))</f>
        <v>652.18744712713965</v>
      </c>
      <c r="T27" s="59">
        <f t="shared" si="34"/>
        <v>288.65635870281199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18.678333333333331</v>
      </c>
      <c r="AI27" s="13">
        <f>IF('Données projet'!$A$62&gt;35,AI26+AH27-AQ26,IF(A27&lt;'Données projet'!$A$62,$AF$205^A27,IF(A27='Données projet'!$A$62,'Données projet'!$B$62,AI26+AH27-AQ26)))</f>
        <v>149.51833333333329</v>
      </c>
      <c r="AJ27" s="13">
        <f>AI27*VLOOKUP('Données projet'!$B$10,Paramètres!$A$1:$I$89,3,0)*VLOOKUP('Données projet'!$B$10,Paramètres!$A$1:$I$89,5,0)</f>
        <v>89.411963333333304</v>
      </c>
      <c r="AK27" s="13">
        <f t="shared" si="35"/>
        <v>24.423350649115033</v>
      </c>
      <c r="AL27" s="20">
        <f t="shared" si="4"/>
        <v>198.2631718527642</v>
      </c>
      <c r="AM27" s="59">
        <f t="shared" si="5"/>
        <v>462.58062679886734</v>
      </c>
      <c r="AN27" s="59">
        <f ca="1">AVERAGE(OFFSET($AM$3,0,0,'Données projet'!$E$10+1,1))-AVERAGE(OFFSET($H$3,0,0,'Données projet'!$E$10+1,1))</f>
        <v>307.94699176410495</v>
      </c>
      <c r="AO27" s="59">
        <f t="shared" si="36"/>
        <v>314.22983137038875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5.1070592826240464</v>
      </c>
      <c r="AV27" s="21">
        <f>EXP(-LN(2)/25)*AV26+(1-EXP(-LN(2)/25))/(LN(2)/25)*Calculateur!AQ27*Calculateur!AS27*VLOOKUP('Données projet'!$B$10,Paramètres!$A$1:$I$89,3,0)*0.475*44/12</f>
        <v>13.498996020980069</v>
      </c>
      <c r="AW27" s="21">
        <f>EXP(-LN(2)/2)*AW26+(1-EXP(-LN(2)/2))/(LN(2)/2)*AQ27*AT27*VLOOKUP('Données projet'!$B$10,Paramètres!$A$1:$I$89,3,0)*0.475*44/12</f>
        <v>11.851498133910756</v>
      </c>
      <c r="AX27" s="21">
        <f t="shared" si="6"/>
        <v>30.457553437514871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8.2014285714285702</v>
      </c>
      <c r="BD27" s="12">
        <f>IF('Données projet'!$A$88&gt;35,BD26+BC27-BL26,IF(A27&lt;'Données projet'!$A$88,$BA$205^A27,IF(A27='Données projet'!$A$88,'Données projet'!$B$88,BD26+BC27-BL26)))</f>
        <v>196.83428571428573</v>
      </c>
      <c r="BE27" s="13">
        <f>BD27*VLOOKUP('Données projet'!$B$11,Paramètres!$A$1:$I$89,3,0)*VLOOKUP('Données projet'!$B$11,Paramètres!$A$1:$I$89,5,0)</f>
        <v>92.118445714285713</v>
      </c>
      <c r="BF27" s="13">
        <f t="shared" si="37"/>
        <v>25.075449222634699</v>
      </c>
      <c r="BG27" s="20">
        <f t="shared" si="7"/>
        <v>204.1127003484697</v>
      </c>
      <c r="BH27" s="59">
        <f t="shared" si="8"/>
        <v>468.43015529457284</v>
      </c>
      <c r="BI27" s="59">
        <f ca="1">AVERAGE(OFFSET($BH$3,0,0,'Données projet'!$E$11+1,1))-AVERAGE(OFFSET($H$3,0,0,'Données projet'!$E$11+1,1))</f>
        <v>346.55780187946573</v>
      </c>
      <c r="BJ27" s="59">
        <f t="shared" si="38"/>
        <v>297.28652094809149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21.61428571428571</v>
      </c>
      <c r="BY27" s="12">
        <f>IF('Données projet'!$A$114&gt;35,BY26+BX27-CG26,IF(A27&lt;'Données projet'!$A$114,$BV$205^A27,IF(A27='Données projet'!$A$114,'Données projet'!$B$114,BY26+BX27-CG26)))</f>
        <v>195.55285714285711</v>
      </c>
      <c r="BZ27" s="13">
        <f>BY27*VLOOKUP('Données projet'!$B$12,Paramètres!$A$1:$I$89,3,0)*VLOOKUP('Données projet'!$B$12,Paramètres!$A$1:$I$89,5,0)</f>
        <v>109.31404714285712</v>
      </c>
      <c r="CA27" s="13">
        <f t="shared" si="39"/>
        <v>29.169309937147133</v>
      </c>
      <c r="CB27" s="20">
        <f t="shared" si="10"/>
        <v>241.19184691434074</v>
      </c>
      <c r="CC27" s="59">
        <f t="shared" si="11"/>
        <v>505.50930186044388</v>
      </c>
      <c r="CD27" s="59">
        <f ca="1">AVERAGE(OFFSET($CC$3,0,0,'Données projet'!$E$12+1,1))-AVERAGE(OFFSET($H$3,0,0,'Données projet'!$E$12+1,1))</f>
        <v>394.00476121021177</v>
      </c>
      <c r="CE27" s="59">
        <f t="shared" si="40"/>
        <v>363.10016759175278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6.2068722873208797</v>
      </c>
      <c r="CL27" s="21">
        <f>EXP(-LN(2)/25)*CL26+(1-EXP(-LN(2)/25))/(LN(2)/25)*Calculateur!CG27*Calculateur!CI27*VLOOKUP('Données projet'!$B$12,Paramètres!$A$1:$I$89,3,0)*0.475*44/12</f>
        <v>8.9351148305278478</v>
      </c>
      <c r="CM27" s="21">
        <f>EXP(-LN(2)/2)*CM26+(1-EXP(-LN(2)/2))/(LN(2)/2)*CG27*CJ27*VLOOKUP('Données projet'!$B$12,Paramètres!$A$1:$I$89,3,0)*0.475*44/12</f>
        <v>5.4931121795033535</v>
      </c>
      <c r="CN27" s="22">
        <f t="shared" si="12"/>
        <v>20.635099297352081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64.086578621664501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3">
        <f>'Scénario référence'!$B$16*5+'Scénario référence'!$B$17*0+'Scénario référence'!$B$18*5</f>
        <v>1.7999999999999998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6.5999999999999988</v>
      </c>
      <c r="H28" s="67">
        <f t="shared" si="1"/>
        <v>230.26666666666665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471.09642455498226</v>
      </c>
      <c r="S28" s="59">
        <f ca="1">AVERAGE(OFFSET($R$3,0,0,'Données projet'!$E$9+1,1))-AVERAGE(OFFSET($H$3,0,0,'Données projet'!$E$9+1,1))</f>
        <v>652.18744712713965</v>
      </c>
      <c r="T28" s="59">
        <f t="shared" si="34"/>
        <v>288.65635870281199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18.678333333333331</v>
      </c>
      <c r="AI28" s="13">
        <f>IF('Données projet'!$A$62&gt;35,AI27+AH28-AQ27,IF(A28&lt;'Données projet'!$A$62,$AF$205^A28,IF(A28='Données projet'!$A$62,'Données projet'!$B$62,AI27+AH28-AQ27)))</f>
        <v>168.19666666666663</v>
      </c>
      <c r="AJ28" s="13">
        <f>AI28*VLOOKUP('Données projet'!$B$10,Paramètres!$A$1:$I$89,3,0)*VLOOKUP('Données projet'!$B$10,Paramètres!$A$1:$I$89,5,0)</f>
        <v>100.58160666666666</v>
      </c>
      <c r="AK28" s="13">
        <f t="shared" si="35"/>
        <v>27.100510515925464</v>
      </c>
      <c r="AL28" s="20">
        <f t="shared" si="4"/>
        <v>222.37968742634794</v>
      </c>
      <c r="AM28" s="59">
        <f t="shared" si="5"/>
        <v>488.29550827644971</v>
      </c>
      <c r="AN28" s="59">
        <f ca="1">AVERAGE(OFFSET($AM$3,0,0,'Données projet'!$E$10+1,1))-AVERAGE(OFFSET($H$3,0,0,'Données projet'!$E$10+1,1))</f>
        <v>307.94699176410495</v>
      </c>
      <c r="AO28" s="59">
        <f t="shared" si="36"/>
        <v>314.22983137038875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5.006912965090371</v>
      </c>
      <c r="AV28" s="21">
        <f>EXP(-LN(2)/25)*AV27+(1-EXP(-LN(2)/25))/(LN(2)/25)*Calculateur!AQ28*Calculateur!AS28*VLOOKUP('Données projet'!$B$10,Paramètres!$A$1:$I$89,3,0)*0.475*44/12</f>
        <v>13.129865264905021</v>
      </c>
      <c r="AW28" s="21">
        <f>EXP(-LN(2)/2)*AW27+(1-EXP(-LN(2)/2))/(LN(2)/2)*AQ28*AT28*VLOOKUP('Données projet'!$B$10,Paramètres!$A$1:$I$89,3,0)*0.475*44/12</f>
        <v>8.3802746977080105</v>
      </c>
      <c r="AX28" s="21">
        <f t="shared" si="6"/>
        <v>26.517052927703403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8.2014285714285702</v>
      </c>
      <c r="BD28" s="12">
        <f>IF('Données projet'!$A$88&gt;35,BD27+BC28-BL27,IF(A28&lt;'Données projet'!$A$88,$BA$205^A28,IF(A28='Données projet'!$A$88,'Données projet'!$B$88,BD27+BC28-BL27)))</f>
        <v>205.03571428571431</v>
      </c>
      <c r="BE28" s="13">
        <f>BD28*VLOOKUP('Données projet'!$B$11,Paramètres!$A$1:$I$89,3,0)*VLOOKUP('Données projet'!$B$11,Paramètres!$A$1:$I$89,5,0)</f>
        <v>95.956714285714284</v>
      </c>
      <c r="BF28" s="13">
        <f t="shared" si="37"/>
        <v>25.996438898681408</v>
      </c>
      <c r="BG28" s="20">
        <f t="shared" si="7"/>
        <v>212.40174179615579</v>
      </c>
      <c r="BH28" s="59">
        <f t="shared" si="8"/>
        <v>478.31756264625756</v>
      </c>
      <c r="BI28" s="59">
        <f ca="1">AVERAGE(OFFSET($BH$3,0,0,'Données projet'!$E$11+1,1))-AVERAGE(OFFSET($H$3,0,0,'Données projet'!$E$11+1,1))</f>
        <v>346.55780187946573</v>
      </c>
      <c r="BJ28" s="59">
        <f t="shared" si="38"/>
        <v>297.28652094809149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21.61428571428571</v>
      </c>
      <c r="BY28" s="12">
        <f>IF('Données projet'!$A$114&gt;35,BY27+BX28-CG27,IF(A28&lt;'Données projet'!$A$114,$BV$205^A28,IF(A28='Données projet'!$A$114,'Données projet'!$B$114,BY27+BX28-CG27)))</f>
        <v>217.16714285714281</v>
      </c>
      <c r="BZ28" s="13">
        <f>BY28*VLOOKUP('Données projet'!$B$12,Paramètres!$A$1:$I$89,3,0)*VLOOKUP('Données projet'!$B$12,Paramètres!$A$1:$I$89,5,0)</f>
        <v>121.39643285714283</v>
      </c>
      <c r="CA28" s="13">
        <f t="shared" si="39"/>
        <v>32.00047469196349</v>
      </c>
      <c r="CB28" s="20">
        <f t="shared" si="10"/>
        <v>267.16628064802683</v>
      </c>
      <c r="CC28" s="59">
        <f t="shared" si="11"/>
        <v>533.08210149812862</v>
      </c>
      <c r="CD28" s="59">
        <f ca="1">AVERAGE(OFFSET($CC$3,0,0,'Données projet'!$E$12+1,1))-AVERAGE(OFFSET($H$3,0,0,'Données projet'!$E$12+1,1))</f>
        <v>394.00476121021177</v>
      </c>
      <c r="CE28" s="59">
        <f t="shared" si="40"/>
        <v>363.10016759175278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6.0851593075847941</v>
      </c>
      <c r="CL28" s="21">
        <f>EXP(-LN(2)/25)*CL27+(1-EXP(-LN(2)/25))/(LN(2)/25)*Calculateur!CG28*Calculateur!CI28*VLOOKUP('Données projet'!$B$12,Paramètres!$A$1:$I$89,3,0)*0.475*44/12</f>
        <v>8.6907836456097964</v>
      </c>
      <c r="CM28" s="21">
        <f>EXP(-LN(2)/2)*CM27+(1-EXP(-LN(2)/2))/(LN(2)/2)*CG28*CJ28*VLOOKUP('Données projet'!$B$12,Paramètres!$A$1:$I$89,3,0)*0.475*44/12</f>
        <v>3.8842168719452372</v>
      </c>
      <c r="CN28" s="22">
        <f t="shared" si="12"/>
        <v>18.660159825139829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64.18916326214898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3">
        <f>'Scénario référence'!$B$16*5+'Scénario référence'!$B$17*0+'Scénario référence'!$B$18*5</f>
        <v>1.7999999999999998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6.5999999999999988</v>
      </c>
      <c r="H29" s="67">
        <f t="shared" si="1"/>
        <v>230.26666666666665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480.68762586306082</v>
      </c>
      <c r="S29" s="59">
        <f ca="1">AVERAGE(OFFSET($R$3,0,0,'Données projet'!$E$9+1,1))-AVERAGE(OFFSET($H$3,0,0,'Données projet'!$E$9+1,1))</f>
        <v>652.18744712713965</v>
      </c>
      <c r="T29" s="59">
        <f t="shared" si="34"/>
        <v>288.65635870281199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18.678333333333331</v>
      </c>
      <c r="AI29" s="13">
        <f>IF('Données projet'!$A$62&gt;35,AI28+AH29-AQ28,IF(A29&lt;'Données projet'!$A$62,$AF$205^A29,IF(A29='Données projet'!$A$62,'Données projet'!$B$62,AI28+AH29-AQ28)))</f>
        <v>186.87499999999997</v>
      </c>
      <c r="AJ29" s="13">
        <f>AI29*VLOOKUP('Données projet'!$B$10,Paramètres!$A$1:$I$89,3,0)*VLOOKUP('Données projet'!$B$10,Paramètres!$A$1:$I$89,5,0)</f>
        <v>111.75125</v>
      </c>
      <c r="AK29" s="13">
        <f t="shared" si="35"/>
        <v>29.743212667393731</v>
      </c>
      <c r="AL29" s="20">
        <f t="shared" si="4"/>
        <v>246.4361891457107</v>
      </c>
      <c r="AM29" s="59">
        <f t="shared" si="5"/>
        <v>513.94385064786366</v>
      </c>
      <c r="AN29" s="59">
        <f ca="1">AVERAGE(OFFSET($AM$3,0,0,'Données projet'!$E$10+1,1))-AVERAGE(OFFSET($H$3,0,0,'Données projet'!$E$10+1,1))</f>
        <v>307.94699176410495</v>
      </c>
      <c r="AO29" s="59">
        <f t="shared" si="36"/>
        <v>314.22983137038875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4.908730455760308</v>
      </c>
      <c r="AV29" s="21">
        <f>EXP(-LN(2)/25)*AV28+(1-EXP(-LN(2)/25))/(LN(2)/25)*Calculateur!AQ29*Calculateur!AS29*VLOOKUP('Données projet'!$B$10,Paramètres!$A$1:$I$89,3,0)*0.475*44/12</f>
        <v>12.770828408766588</v>
      </c>
      <c r="AW29" s="21">
        <f>EXP(-LN(2)/2)*AW28+(1-EXP(-LN(2)/2))/(LN(2)/2)*AQ29*AT29*VLOOKUP('Données projet'!$B$10,Paramètres!$A$1:$I$89,3,0)*0.475*44/12</f>
        <v>5.9257490669553796</v>
      </c>
      <c r="AX29" s="21">
        <f t="shared" si="6"/>
        <v>23.605307931482276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8.2014285714285702</v>
      </c>
      <c r="BD29" s="12">
        <f>IF('Données projet'!$A$88&gt;35,BD28+BC29-BL28,IF(A29&lt;'Données projet'!$A$88,$BA$205^A29,IF(A29='Données projet'!$A$88,'Données projet'!$B$88,BD28+BC29-BL28)))</f>
        <v>213.23714285714289</v>
      </c>
      <c r="BE29" s="13">
        <f>BD29*VLOOKUP('Données projet'!$B$11,Paramètres!$A$1:$I$89,3,0)*VLOOKUP('Données projet'!$B$11,Paramètres!$A$1:$I$89,5,0)</f>
        <v>99.794982857142884</v>
      </c>
      <c r="BF29" s="13">
        <f t="shared" si="37"/>
        <v>26.913149208844544</v>
      </c>
      <c r="BG29" s="20">
        <f t="shared" si="7"/>
        <v>220.68333001492809</v>
      </c>
      <c r="BH29" s="59">
        <f t="shared" si="8"/>
        <v>488.1909915170811</v>
      </c>
      <c r="BI29" s="59">
        <f ca="1">AVERAGE(OFFSET($BH$3,0,0,'Données projet'!$E$11+1,1))-AVERAGE(OFFSET($H$3,0,0,'Données projet'!$E$11+1,1))</f>
        <v>346.55780187946573</v>
      </c>
      <c r="BJ29" s="59">
        <f t="shared" si="38"/>
        <v>297.28652094809149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21.61428571428571</v>
      </c>
      <c r="BY29" s="12">
        <f>IF('Données projet'!$A$114&gt;35,BY28+BX29-CG28,IF(A29&lt;'Données projet'!$A$114,$BV$205^A29,IF(A29='Données projet'!$A$114,'Données projet'!$B$114,BY28+BX29-CG28)))</f>
        <v>238.78142857142851</v>
      </c>
      <c r="BZ29" s="13">
        <f>BY29*VLOOKUP('Données projet'!$B$12,Paramètres!$A$1:$I$89,3,0)*VLOOKUP('Données projet'!$B$12,Paramètres!$A$1:$I$89,5,0)</f>
        <v>133.47881857142855</v>
      </c>
      <c r="CA29" s="13">
        <f t="shared" si="39"/>
        <v>34.798972504515248</v>
      </c>
      <c r="CB29" s="20">
        <f t="shared" si="10"/>
        <v>293.08381945726882</v>
      </c>
      <c r="CC29" s="59">
        <f t="shared" si="11"/>
        <v>560.5914809594218</v>
      </c>
      <c r="CD29" s="59">
        <f ca="1">AVERAGE(OFFSET($CC$3,0,0,'Données projet'!$E$12+1,1))-AVERAGE(OFFSET($H$3,0,0,'Données projet'!$E$12+1,1))</f>
        <v>394.00476121021177</v>
      </c>
      <c r="CE29" s="59">
        <f t="shared" si="40"/>
        <v>363.10016759175278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5.9658330451437456</v>
      </c>
      <c r="CL29" s="21">
        <f>EXP(-LN(2)/25)*CL28+(1-EXP(-LN(2)/25))/(LN(2)/25)*Calculateur!CG29*Calculateur!CI29*VLOOKUP('Données projet'!$B$12,Paramètres!$A$1:$I$89,3,0)*0.475*44/12</f>
        <v>8.453133709792148</v>
      </c>
      <c r="CM29" s="21">
        <f>EXP(-LN(2)/2)*CM28+(1-EXP(-LN(2)/2))/(LN(2)/2)*CG29*CJ29*VLOOKUP('Données projet'!$B$12,Paramètres!$A$1:$I$89,3,0)*0.475*44/12</f>
        <v>2.7465560897516772</v>
      </c>
      <c r="CN29" s="22">
        <f t="shared" si="12"/>
        <v>17.165522844687573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64.289968288465957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3">
        <f>'Scénario référence'!$B$16*5+'Scénario référence'!$B$17*0+'Scénario référence'!$B$18*5</f>
        <v>1.7999999999999998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6.5999999999999988</v>
      </c>
      <c r="H30" s="67">
        <f t="shared" si="1"/>
        <v>230.26666666666665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490.26550148055838</v>
      </c>
      <c r="S30" s="59">
        <f ca="1">AVERAGE(OFFSET($R$3,0,0,'Données projet'!$E$9+1,1))-AVERAGE(OFFSET($H$3,0,0,'Données projet'!$E$9+1,1))</f>
        <v>652.18744712713965</v>
      </c>
      <c r="T30" s="59">
        <f t="shared" si="34"/>
        <v>288.65635870281199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18.678333333333331</v>
      </c>
      <c r="AI30" s="13">
        <f>IF('Données projet'!$A$62&gt;35,AI29+AH30-AQ29,IF(A30&lt;'Données projet'!$A$62,$AF$205^A30,IF(A30='Données projet'!$A$62,'Données projet'!$B$62,AI29+AH30-AQ29)))</f>
        <v>205.55333333333331</v>
      </c>
      <c r="AJ30" s="13">
        <f>AI30*VLOOKUP('Données projet'!$B$10,Paramètres!$A$1:$I$89,3,0)*VLOOKUP('Données projet'!$B$10,Paramètres!$A$1:$I$89,5,0)</f>
        <v>122.92089333333332</v>
      </c>
      <c r="AK30" s="13">
        <f t="shared" si="35"/>
        <v>32.355293246449399</v>
      </c>
      <c r="AL30" s="20">
        <f t="shared" si="4"/>
        <v>270.43935829312153</v>
      </c>
      <c r="AM30" s="59">
        <f t="shared" si="5"/>
        <v>539.53244839391107</v>
      </c>
      <c r="AN30" s="59">
        <f ca="1">AVERAGE(OFFSET($AM$3,0,0,'Données projet'!$E$10+1,1))-AVERAGE(OFFSET($H$3,0,0,'Données projet'!$E$10+1,1))</f>
        <v>307.94699176410495</v>
      </c>
      <c r="AO30" s="59">
        <f t="shared" si="36"/>
        <v>314.22983137038875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4.8124732455527903</v>
      </c>
      <c r="AV30" s="21">
        <f>EXP(-LN(2)/25)*AV29+(1-EXP(-LN(2)/25))/(LN(2)/25)*Calculateur!AQ30*Calculateur!AS30*VLOOKUP('Données projet'!$B$10,Paramètres!$A$1:$I$89,3,0)*0.475*44/12</f>
        <v>12.421609434340189</v>
      </c>
      <c r="AW30" s="21">
        <f>EXP(-LN(2)/2)*AW29+(1-EXP(-LN(2)/2))/(LN(2)/2)*AQ30*AT30*VLOOKUP('Données projet'!$B$10,Paramètres!$A$1:$I$89,3,0)*0.475*44/12</f>
        <v>4.1901373488540061</v>
      </c>
      <c r="AX30" s="21">
        <f t="shared" si="6"/>
        <v>21.424220028746984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8.2014285714285702</v>
      </c>
      <c r="BD30" s="12">
        <f>IF('Données projet'!$A$88&gt;35,BD29+BC30-BL29,IF(A30&lt;'Données projet'!$A$88,$BA$205^A30,IF(A30='Données projet'!$A$88,'Données projet'!$B$88,BD29+BC30-BL29)))</f>
        <v>221.43857142857146</v>
      </c>
      <c r="BE30" s="13">
        <f>BD30*VLOOKUP('Données projet'!$B$11,Paramètres!$A$1:$I$89,3,0)*VLOOKUP('Données projet'!$B$11,Paramètres!$A$1:$I$89,5,0)</f>
        <v>103.63325142857146</v>
      </c>
      <c r="BF30" s="13">
        <f t="shared" si="37"/>
        <v>27.825763583899054</v>
      </c>
      <c r="BG30" s="20">
        <f t="shared" si="7"/>
        <v>228.95778448005277</v>
      </c>
      <c r="BH30" s="59">
        <f t="shared" si="8"/>
        <v>498.05087458084233</v>
      </c>
      <c r="BI30" s="59">
        <f ca="1">AVERAGE(OFFSET($BH$3,0,0,'Données projet'!$E$11+1,1))-AVERAGE(OFFSET($H$3,0,0,'Données projet'!$E$11+1,1))</f>
        <v>346.55780187946573</v>
      </c>
      <c r="BJ30" s="59">
        <f t="shared" si="38"/>
        <v>297.28652094809149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21.61428571428571</v>
      </c>
      <c r="BY30" s="12">
        <f>IF('Données projet'!$A$114&gt;35,BY29+BX30-CG29,IF(A30&lt;'Données projet'!$A$114,$BV$205^A30,IF(A30='Données projet'!$A$114,'Données projet'!$B$114,BY29+BX30-CG29)))</f>
        <v>260.39571428571423</v>
      </c>
      <c r="BZ30" s="13">
        <f>BY30*VLOOKUP('Données projet'!$B$12,Paramètres!$A$1:$I$89,3,0)*VLOOKUP('Données projet'!$B$12,Paramètres!$A$1:$I$89,5,0)</f>
        <v>145.56120428571427</v>
      </c>
      <c r="CA30" s="13">
        <f t="shared" si="39"/>
        <v>37.568096638366988</v>
      </c>
      <c r="CB30" s="20">
        <f t="shared" si="10"/>
        <v>318.95019910944154</v>
      </c>
      <c r="CC30" s="59">
        <f t="shared" si="11"/>
        <v>588.04328921023102</v>
      </c>
      <c r="CD30" s="59">
        <f ca="1">AVERAGE(OFFSET($CC$3,0,0,'Données projet'!$E$12+1,1))-AVERAGE(OFFSET($H$3,0,0,'Données projet'!$E$12+1,1))</f>
        <v>394.00476121021177</v>
      </c>
      <c r="CE30" s="59">
        <f t="shared" si="40"/>
        <v>363.10016759175278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5.8488466979273328</v>
      </c>
      <c r="CL30" s="21">
        <f>EXP(-LN(2)/25)*CL29+(1-EXP(-LN(2)/25))/(LN(2)/25)*Calculateur!CG30*Calculateur!CI30*VLOOKUP('Données projet'!$B$12,Paramètres!$A$1:$I$89,3,0)*0.475*44/12</f>
        <v>8.2219823239669001</v>
      </c>
      <c r="CM30" s="21">
        <f>EXP(-LN(2)/2)*CM29+(1-EXP(-LN(2)/2))/(LN(2)/2)*CG30*CJ30*VLOOKUP('Données projet'!$B$12,Paramètres!$A$1:$I$89,3,0)*0.475*44/12</f>
        <v>1.9421084359726188</v>
      </c>
      <c r="CN30" s="22">
        <f t="shared" si="12"/>
        <v>16.012937457866851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64.389024572942603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3">
        <f>'Scénario référence'!$B$16*5+'Scénario référence'!$B$17*0+'Scénario référence'!$B$18*5</f>
        <v>1.7999999999999998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6.5999999999999988</v>
      </c>
      <c r="H31" s="67">
        <f t="shared" si="1"/>
        <v>230.26666666666665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499.83044802580991</v>
      </c>
      <c r="S31" s="59">
        <f ca="1">AVERAGE(OFFSET($R$3,0,0,'Données projet'!$E$9+1,1))-AVERAGE(OFFSET($H$3,0,0,'Données projet'!$E$9+1,1))</f>
        <v>652.18744712713965</v>
      </c>
      <c r="T31" s="59">
        <f t="shared" si="34"/>
        <v>288.65635870281199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18.678333333333331</v>
      </c>
      <c r="AI31" s="13">
        <f>IF('Données projet'!$A$62&gt;35,AI30+AH31-AQ30,IF(A31&lt;'Données projet'!$A$62,$AF$205^A31,IF(A31='Données projet'!$A$62,'Données projet'!$B$62,AI30+AH31-AQ30)))</f>
        <v>224.23166666666665</v>
      </c>
      <c r="AJ31" s="13">
        <f>AI31*VLOOKUP('Données projet'!$B$10,Paramètres!$A$1:$I$89,3,0)*VLOOKUP('Données projet'!$B$10,Paramètres!$A$1:$I$89,5,0)</f>
        <v>134.09053666666668</v>
      </c>
      <c r="AK31" s="13">
        <f t="shared" si="35"/>
        <v>34.93985124057766</v>
      </c>
      <c r="AL31" s="20">
        <f t="shared" si="4"/>
        <v>294.39459227178389</v>
      </c>
      <c r="AM31" s="59">
        <f t="shared" si="5"/>
        <v>565.0668101525871</v>
      </c>
      <c r="AN31" s="59">
        <f ca="1">AVERAGE(OFFSET($AM$3,0,0,'Données projet'!$E$10+1,1))-AVERAGE(OFFSET($H$3,0,0,'Données projet'!$E$10+1,1))</f>
        <v>307.94699176410495</v>
      </c>
      <c r="AO31" s="59">
        <f t="shared" si="36"/>
        <v>314.22983137038875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4.7181035805263409</v>
      </c>
      <c r="AV31" s="21">
        <f>EXP(-LN(2)/25)*AV30+(1-EXP(-LN(2)/25))/(LN(2)/25)*Calculateur!AQ31*Calculateur!AS31*VLOOKUP('Données projet'!$B$10,Paramètres!$A$1:$I$89,3,0)*0.475*44/12</f>
        <v>12.081939871134106</v>
      </c>
      <c r="AW31" s="21">
        <f>EXP(-LN(2)/2)*AW30+(1-EXP(-LN(2)/2))/(LN(2)/2)*AQ31*AT31*VLOOKUP('Données projet'!$B$10,Paramètres!$A$1:$I$89,3,0)*0.475*44/12</f>
        <v>2.9628745334776903</v>
      </c>
      <c r="AX31" s="21">
        <f t="shared" si="6"/>
        <v>19.762917985138138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8.2014285714285702</v>
      </c>
      <c r="BD31" s="12">
        <f>IF('Données projet'!$A$88&gt;35,BD30+BC31-BL30,IF(A31&lt;'Données projet'!$A$88,$BA$205^A31,IF(A31='Données projet'!$A$88,'Données projet'!$B$88,BD30+BC31-BL30)))</f>
        <v>229.64000000000004</v>
      </c>
      <c r="BE31" s="13">
        <f>BD31*VLOOKUP('Données projet'!$B$11,Paramètres!$A$1:$I$89,3,0)*VLOOKUP('Données projet'!$B$11,Paramètres!$A$1:$I$89,5,0)</f>
        <v>107.47152000000003</v>
      </c>
      <c r="BF31" s="13">
        <f t="shared" si="37"/>
        <v>28.734451097292908</v>
      </c>
      <c r="BG31" s="20">
        <f t="shared" si="7"/>
        <v>237.22539966111853</v>
      </c>
      <c r="BH31" s="59">
        <f t="shared" si="8"/>
        <v>507.8976175419217</v>
      </c>
      <c r="BI31" s="59">
        <f ca="1">AVERAGE(OFFSET($BH$3,0,0,'Données projet'!$E$11+1,1))-AVERAGE(OFFSET($H$3,0,0,'Données projet'!$E$11+1,1))</f>
        <v>346.55780187946573</v>
      </c>
      <c r="BJ31" s="59">
        <f t="shared" si="38"/>
        <v>297.28652094809149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>
        <f>VLOOKUP(A31,'Données projet'!$A$113:$I$133,2,0)</f>
        <v>282.01</v>
      </c>
      <c r="BW31" s="12">
        <f>VLOOKUP(A31,'Données projet'!$A$113:$I$133,9,0)</f>
        <v>21.61428571428571</v>
      </c>
      <c r="BX31" s="12">
        <f t="array" ref="BX31">INDEX(BW:BW,MIN(IF(ISNUMBER(BW31:BW227),ROW(BW31:BW227),"")))</f>
        <v>21.61428571428571</v>
      </c>
      <c r="BY31" s="12">
        <f>IF('Données projet'!$A$114&gt;35,BY30+BX31-CG30,IF(A31&lt;'Données projet'!$A$114,$BV$205^A31,IF(A31='Données projet'!$A$114,'Données projet'!$B$114,BY30+BX31-CG30)))</f>
        <v>282.00999999999993</v>
      </c>
      <c r="BZ31" s="13">
        <f>BY31*VLOOKUP('Données projet'!$B$12,Paramètres!$A$1:$I$89,3,0)*VLOOKUP('Données projet'!$B$12,Paramètres!$A$1:$I$89,5,0)</f>
        <v>157.64358999999996</v>
      </c>
      <c r="CA31" s="13">
        <f t="shared" si="39"/>
        <v>40.310562469543989</v>
      </c>
      <c r="CB31" s="20">
        <f t="shared" si="10"/>
        <v>344.77014888445569</v>
      </c>
      <c r="CC31" s="59">
        <f t="shared" si="11"/>
        <v>615.44236676525884</v>
      </c>
      <c r="CD31" s="59">
        <f ca="1">AVERAGE(OFFSET($CC$3,0,0,'Données projet'!$E$12+1,1))-AVERAGE(OFFSET($H$3,0,0,'Données projet'!$E$12+1,1))</f>
        <v>394.00476121021177</v>
      </c>
      <c r="CE31" s="59">
        <f t="shared" si="40"/>
        <v>363.10016759175278</v>
      </c>
      <c r="CF31" s="15">
        <f>IF(ISNA(VLOOKUP(A31,'Données projet'!$A$113:$I$133,3,0)),0,VLOOKUP(A31,'Données projet'!$A$113:$I$133,3,0))</f>
        <v>2</v>
      </c>
      <c r="CG31" s="15">
        <f>IF(ISNA(VLOOKUP(A31,'Données projet'!$A$113:$I$133,4,0)),0,VLOOKUP(A31,'Données projet'!$A$113:$I$133,4,0))</f>
        <v>67.639999999999986</v>
      </c>
      <c r="CH31" s="16">
        <f>IF(ISNA(VLOOKUP(A31,'Données projet'!$A$113:$I$133,5,0)),0%,VLOOKUP(A31,'Données projet'!$A$113:$I$133,5,0)*VLOOKUP('Données projet'!$B$12,Paramètres!$A$1:$I$89,7,0))</f>
        <v>0.13750000000000001</v>
      </c>
      <c r="CI31" s="16">
        <f>IF(ISNA(VLOOKUP(A31,'Données projet'!$A$113:$I$133,6,0)),0%,VLOOKUP(A31,'Données projet'!$A$113:$I$133,6,0)*VLOOKUP('Données projet'!$B$12,Paramètres!$A$1:$I$89,7,0))</f>
        <v>0.20350000000000001</v>
      </c>
      <c r="CJ31" s="16">
        <f>IF(ISNA(VLOOKUP(A31,'Données projet'!$A$113:$I$133,7,0)),0%,VLOOKUP(A31,'Données projet'!$A$113:$I$133,7,0))</f>
        <v>0.38</v>
      </c>
      <c r="CK31" s="21">
        <f>EXP(-LN(2)/35)*CK30+(1-EXP(-LN(2)/35))/(LN(2)/35)*CG31*CH31*VLOOKUP('Données projet'!$B$12,Paramètres!$A$1:$I$89,3,0)*0.475*44/12</f>
        <v>12.630935790884042</v>
      </c>
      <c r="CL31" s="21">
        <f>EXP(-LN(2)/25)*CL30+(1-EXP(-LN(2)/25))/(LN(2)/25)*Calculateur!CG31*Calculateur!CI31*VLOOKUP('Données projet'!$B$12,Paramètres!$A$1:$I$89,3,0)*0.475*44/12</f>
        <v>18.164198491339612</v>
      </c>
      <c r="CM31" s="21">
        <f>EXP(-LN(2)/2)*CM30+(1-EXP(-LN(2)/2))/(LN(2)/2)*CG31*CJ31*VLOOKUP('Données projet'!$B$12,Paramètres!$A$1:$I$89,3,0)*0.475*44/12</f>
        <v>17.641292237964119</v>
      </c>
      <c r="CN31" s="22">
        <f t="shared" si="12"/>
        <v>48.436426520187773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64.486362452340259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3">
        <f>'Scénario référence'!$B$16*5+'Scénario référence'!$B$17*0+'Scénario référence'!$B$18*5</f>
        <v>1.7999999999999998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6.5999999999999988</v>
      </c>
      <c r="H32" s="67">
        <f t="shared" si="1"/>
        <v>230.26666666666665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509.38283864737173</v>
      </c>
      <c r="S32" s="59">
        <f ca="1">AVERAGE(OFFSET($R$3,0,0,'Données projet'!$E$9+1,1))-AVERAGE(OFFSET($H$3,0,0,'Données projet'!$E$9+1,1))</f>
        <v>652.18744712713965</v>
      </c>
      <c r="T32" s="59">
        <f t="shared" si="34"/>
        <v>288.65635870281199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242.91</v>
      </c>
      <c r="AG32" s="12">
        <f>VLOOKUP(A32,'Données projet'!$A$61:$I$81,9,0)</f>
        <v>18.678333333333331</v>
      </c>
      <c r="AH32" s="12">
        <f t="array" ref="AH32">INDEX(AG:AG,MIN(IF(ISNUMBER(AG32:AG228),ROW(AG32:AG228),"")))</f>
        <v>18.678333333333331</v>
      </c>
      <c r="AI32" s="13">
        <f>IF('Données projet'!$A$62&gt;35,AI31+AH32-AQ31,IF(A32&lt;'Données projet'!$A$62,$AF$205^A32,IF(A32='Données projet'!$A$62,'Données projet'!$B$62,AI31+AH32-AQ31)))</f>
        <v>242.91</v>
      </c>
      <c r="AJ32" s="13">
        <f>AI32*VLOOKUP('Données projet'!$B$10,Paramètres!$A$1:$I$89,3,0)*VLOOKUP('Données projet'!$B$10,Paramètres!$A$1:$I$89,5,0)</f>
        <v>145.26018000000002</v>
      </c>
      <c r="AK32" s="13">
        <f t="shared" si="35"/>
        <v>37.499439910321911</v>
      </c>
      <c r="AL32" s="20">
        <f t="shared" si="4"/>
        <v>318.30633801047736</v>
      </c>
      <c r="AM32" s="59">
        <f t="shared" si="5"/>
        <v>590.55149215778783</v>
      </c>
      <c r="AN32" s="59">
        <f ca="1">AVERAGE(OFFSET($AM$3,0,0,'Données projet'!$E$10+1,1))-AVERAGE(OFFSET($H$3,0,0,'Données projet'!$E$10+1,1))</f>
        <v>307.94699176410495</v>
      </c>
      <c r="AO32" s="59">
        <f t="shared" si="36"/>
        <v>314.22983137038875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54.97</v>
      </c>
      <c r="AR32" s="16">
        <f>IF(ISNA(VLOOKUP(A32,'Données projet'!$A$61:$I$81,5,0)),0%,VLOOKUP(A32,'Données projet'!$A$61:$I$81,5,0)*VLOOKUP('Données projet'!$B$10,Paramètres!$A$1:$I$89,7,0))</f>
        <v>0.27</v>
      </c>
      <c r="AS32" s="16">
        <f>IF(ISNA(VLOOKUP(A32,'Données projet'!$A$61:$I$81,6,0)),0%,VLOOKUP(A32,'Données projet'!$A$61:$I$81,6,0)*VLOOKUP('Données projet'!$B$10,Paramètres!$A$1:$I$89,7,0))</f>
        <v>9.0000000000000011E-2</v>
      </c>
      <c r="AT32" s="16">
        <f>IF(ISNA(VLOOKUP(A32,'Données projet'!$A$61:$I$81,7,0)),0%,VLOOKUP(A32,'Données projet'!$A$61:$I$81,7,0))</f>
        <v>0.2</v>
      </c>
      <c r="AU32" s="21">
        <f>EXP(-LN(2)/35)*AU31+(1-EXP(-LN(2)/35))/(LN(2)/35)*AQ32*AR32*VLOOKUP('Données projet'!$B$10,Paramètres!$A$1:$I$89,3,0)*0.475*44/12</f>
        <v>16.399449167801741</v>
      </c>
      <c r="AV32" s="21">
        <f>EXP(-LN(2)/25)*AV31+(1-EXP(-LN(2)/25))/(LN(2)/25)*Calculateur!AQ32*Calculateur!AS32*VLOOKUP('Données projet'!$B$10,Paramètres!$A$1:$I$89,3,0)*0.475*44/12</f>
        <v>15.66072743303994</v>
      </c>
      <c r="AW32" s="21">
        <f>EXP(-LN(2)/2)*AW31+(1-EXP(-LN(2)/2))/(LN(2)/2)*AQ32*AT32*VLOOKUP('Données projet'!$B$10,Paramètres!$A$1:$I$89,3,0)*0.475*44/12</f>
        <v>9.5388302780725702</v>
      </c>
      <c r="AX32" s="21">
        <f t="shared" si="6"/>
        <v>41.599006878914253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8.2014285714285702</v>
      </c>
      <c r="BD32" s="12">
        <f>IF('Données projet'!$A$88&gt;35,BD31+BC32-BL31,IF(A32&lt;'Données projet'!$A$88,$BA$205^A32,IF(A32='Données projet'!$A$88,'Données projet'!$B$88,BD31+BC32-BL31)))</f>
        <v>237.84142857142862</v>
      </c>
      <c r="BE32" s="13">
        <f>BD32*VLOOKUP('Données projet'!$B$11,Paramètres!$A$1:$I$89,3,0)*VLOOKUP('Données projet'!$B$11,Paramètres!$A$1:$I$89,5,0)</f>
        <v>111.3097885714286</v>
      </c>
      <c r="BF32" s="13">
        <f t="shared" si="37"/>
        <v>29.639368061193167</v>
      </c>
      <c r="BG32" s="20">
        <f t="shared" si="7"/>
        <v>245.48644780181621</v>
      </c>
      <c r="BH32" s="59">
        <f t="shared" si="8"/>
        <v>517.73160194912657</v>
      </c>
      <c r="BI32" s="59">
        <f ca="1">AVERAGE(OFFSET($BH$3,0,0,'Données projet'!$E$11+1,1))-AVERAGE(OFFSET($H$3,0,0,'Données projet'!$E$11+1,1))</f>
        <v>346.55780187946573</v>
      </c>
      <c r="BJ32" s="59">
        <f t="shared" si="38"/>
        <v>297.28652094809149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23.265714285714289</v>
      </c>
      <c r="BY32" s="12">
        <f>IF('Données projet'!$A$114&gt;35,BY31+BX32-CG31,IF(A32&lt;'Données projet'!$A$114,$BV$205^A32,IF(A32='Données projet'!$A$114,'Données projet'!$B$114,BY31+BX32-CG31)))</f>
        <v>237.63571428571424</v>
      </c>
      <c r="BZ32" s="13">
        <f>BY32*VLOOKUP('Données projet'!$B$12,Paramètres!$A$1:$I$89,3,0)*VLOOKUP('Données projet'!$B$12,Paramètres!$A$1:$I$89,5,0)</f>
        <v>132.83836428571425</v>
      </c>
      <c r="CA32" s="13">
        <f t="shared" si="39"/>
        <v>34.651395262904387</v>
      </c>
      <c r="CB32" s="20">
        <f t="shared" si="10"/>
        <v>291.71133121384406</v>
      </c>
      <c r="CC32" s="59">
        <f t="shared" si="11"/>
        <v>563.95648536115448</v>
      </c>
      <c r="CD32" s="59">
        <f ca="1">AVERAGE(OFFSET($CC$3,0,0,'Données projet'!$E$12+1,1))-AVERAGE(OFFSET($H$3,0,0,'Données projet'!$E$12+1,1))</f>
        <v>394.00476121021177</v>
      </c>
      <c r="CE32" s="59">
        <f t="shared" si="40"/>
        <v>363.10016759175278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12.38325084413492</v>
      </c>
      <c r="CL32" s="21">
        <f>EXP(-LN(2)/25)*CL31+(1-EXP(-LN(2)/25))/(LN(2)/25)*Calculateur!CG32*Calculateur!CI32*VLOOKUP('Données projet'!$B$12,Paramètres!$A$1:$I$89,3,0)*0.475*44/12</f>
        <v>17.667497528380245</v>
      </c>
      <c r="CM32" s="21">
        <f>EXP(-LN(2)/2)*CM31+(1-EXP(-LN(2)/2))/(LN(2)/2)*CG32*CJ32*VLOOKUP('Données projet'!$B$12,Paramètres!$A$1:$I$89,3,0)*0.475*44/12</f>
        <v>12.474277370358035</v>
      </c>
      <c r="CN32" s="22">
        <f t="shared" si="12"/>
        <v>42.525025742873197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64.582011737145265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3">
        <f>'Scénario référence'!$B$16*5+'Scénario référence'!$B$17*0+'Scénario référence'!$B$18*5</f>
        <v>1.7999999999999998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6.5999999999999988</v>
      </c>
      <c r="H33" s="67">
        <f t="shared" si="1"/>
        <v>230.26666666666665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518.92302536947864</v>
      </c>
      <c r="S33" s="59">
        <f ca="1">AVERAGE(OFFSET($R$3,0,0,'Données projet'!$E$9+1,1))-AVERAGE(OFFSET($H$3,0,0,'Données projet'!$E$9+1,1))</f>
        <v>652.18744712713965</v>
      </c>
      <c r="T33" s="59">
        <f t="shared" si="34"/>
        <v>288.65635870281199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17.804285714285715</v>
      </c>
      <c r="AI33" s="13">
        <f>IF('Données projet'!$A$62&gt;35,AI32+AH33-AQ32,IF(A33&lt;'Données projet'!$A$62,$AF$205^A33,IF(A33='Données projet'!$A$62,'Données projet'!$B$62,AI32+AH33-AQ32)))</f>
        <v>205.74428571428572</v>
      </c>
      <c r="AJ33" s="13">
        <f>AI33*VLOOKUP('Données projet'!$B$10,Paramètres!$A$1:$I$89,3,0)*VLOOKUP('Données projet'!$B$10,Paramètres!$A$1:$I$89,5,0)</f>
        <v>123.03508285714287</v>
      </c>
      <c r="AK33" s="13">
        <f t="shared" si="35"/>
        <v>32.381850192327164</v>
      </c>
      <c r="AL33" s="20">
        <f t="shared" si="4"/>
        <v>270.68449172782698</v>
      </c>
      <c r="AM33" s="59">
        <f t="shared" si="5"/>
        <v>544.4964980370554</v>
      </c>
      <c r="AN33" s="59">
        <f ca="1">AVERAGE(OFFSET($AM$3,0,0,'Données projet'!$E$10+1,1))-AVERAGE(OFFSET($H$3,0,0,'Données projet'!$E$10+1,1))</f>
        <v>307.94699176410495</v>
      </c>
      <c r="AO33" s="59">
        <f t="shared" si="36"/>
        <v>314.22983137038875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16.07786597229746</v>
      </c>
      <c r="AV33" s="21">
        <f>EXP(-LN(2)/25)*AV32+(1-EXP(-LN(2)/25))/(LN(2)/25)*Calculateur!AQ33*Calculateur!AS33*VLOOKUP('Données projet'!$B$10,Paramètres!$A$1:$I$89,3,0)*0.475*44/12</f>
        <v>15.2324840178216</v>
      </c>
      <c r="AW33" s="21">
        <f>EXP(-LN(2)/2)*AW32+(1-EXP(-LN(2)/2))/(LN(2)/2)*AQ33*AT33*VLOOKUP('Données projet'!$B$10,Paramètres!$A$1:$I$89,3,0)*0.475*44/12</f>
        <v>6.7449715742126752</v>
      </c>
      <c r="AX33" s="21">
        <f t="shared" si="6"/>
        <v>38.055321564331734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8.2014285714285702</v>
      </c>
      <c r="BD33" s="12">
        <f>IF('Données projet'!$A$88&gt;35,BD32+BC33-BL32,IF(A33&lt;'Données projet'!$A$88,$BA$205^A33,IF(A33='Données projet'!$A$88,'Données projet'!$B$88,BD32+BC33-BL32)))</f>
        <v>246.0428571428572</v>
      </c>
      <c r="BE33" s="13">
        <f>BD33*VLOOKUP('Données projet'!$B$11,Paramètres!$A$1:$I$89,3,0)*VLOOKUP('Données projet'!$B$11,Paramètres!$A$1:$I$89,5,0)</f>
        <v>115.14805714285717</v>
      </c>
      <c r="BF33" s="13">
        <f t="shared" si="37"/>
        <v>30.540659396202962</v>
      </c>
      <c r="BG33" s="20">
        <f t="shared" si="7"/>
        <v>253.74118130552972</v>
      </c>
      <c r="BH33" s="59">
        <f t="shared" si="8"/>
        <v>527.55318761475814</v>
      </c>
      <c r="BI33" s="59">
        <f ca="1">AVERAGE(OFFSET($BH$3,0,0,'Données projet'!$E$11+1,1))-AVERAGE(OFFSET($H$3,0,0,'Données projet'!$E$11+1,1))</f>
        <v>346.55780187946573</v>
      </c>
      <c r="BJ33" s="59">
        <f t="shared" si="38"/>
        <v>297.28652094809149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23.265714285714289</v>
      </c>
      <c r="BY33" s="12">
        <f>IF('Données projet'!$A$114&gt;35,BY32+BX33-CG32,IF(A33&lt;'Données projet'!$A$114,$BV$205^A33,IF(A33='Données projet'!$A$114,'Données projet'!$B$114,BY32+BX33-CG32)))</f>
        <v>260.90142857142854</v>
      </c>
      <c r="BZ33" s="13">
        <f>BY33*VLOOKUP('Données projet'!$B$12,Paramètres!$A$1:$I$89,3,0)*VLOOKUP('Données projet'!$B$12,Paramètres!$A$1:$I$89,5,0)</f>
        <v>145.84389857142855</v>
      </c>
      <c r="CA33" s="13">
        <f t="shared" si="39"/>
        <v>37.632557667341459</v>
      </c>
      <c r="CB33" s="20">
        <f t="shared" si="10"/>
        <v>319.55482794919106</v>
      </c>
      <c r="CC33" s="59">
        <f t="shared" si="11"/>
        <v>593.36683425841943</v>
      </c>
      <c r="CD33" s="59">
        <f ca="1">AVERAGE(OFFSET($CC$3,0,0,'Données projet'!$E$12+1,1))-AVERAGE(OFFSET($H$3,0,0,'Données projet'!$E$12+1,1))</f>
        <v>394.00476121021177</v>
      </c>
      <c r="CE33" s="59">
        <f t="shared" si="40"/>
        <v>363.10016759175278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12.14042284811865</v>
      </c>
      <c r="CL33" s="21">
        <f>EXP(-LN(2)/25)*CL32+(1-EXP(-LN(2)/25))/(LN(2)/25)*Calculateur!CG33*Calculateur!CI33*VLOOKUP('Données projet'!$B$12,Paramètres!$A$1:$I$89,3,0)*0.475*44/12</f>
        <v>17.184378879373373</v>
      </c>
      <c r="CM33" s="21">
        <f>EXP(-LN(2)/2)*CM32+(1-EXP(-LN(2)/2))/(LN(2)/2)*CG33*CJ33*VLOOKUP('Données projet'!$B$12,Paramètres!$A$1:$I$89,3,0)*0.475*44/12</f>
        <v>8.8206461189820615</v>
      </c>
      <c r="CN33" s="22">
        <f t="shared" si="12"/>
        <v>38.145447846474084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64.676001720698665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3">
        <f>'Scénario référence'!$B$16*5+'Scénario référence'!$B$17*0+'Scénario référence'!$B$18*5</f>
        <v>1.7999999999999998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6.5999999999999988</v>
      </c>
      <c r="H34" s="67">
        <f t="shared" si="1"/>
        <v>230.26666666666665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527.22911889777401</v>
      </c>
      <c r="S34" s="59">
        <f ca="1">AVERAGE(OFFSET($R$3,0,0,'Données projet'!$E$9+1,1))-AVERAGE(OFFSET($H$3,0,0,'Données projet'!$E$9+1,1))</f>
        <v>652.18744712713965</v>
      </c>
      <c r="T34" s="59">
        <f t="shared" si="34"/>
        <v>288.65635870281199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17.804285714285715</v>
      </c>
      <c r="AI34" s="13">
        <f>IF('Données projet'!$A$62&gt;35,AI33+AH34-AQ33,IF(A34&lt;'Données projet'!$A$62,$AF$205^A34,IF(A34='Données projet'!$A$62,'Données projet'!$B$62,AI33+AH34-AQ33)))</f>
        <v>223.54857142857145</v>
      </c>
      <c r="AJ34" s="13">
        <f>AI34*VLOOKUP('Données projet'!$B$10,Paramètres!$A$1:$I$89,3,0)*VLOOKUP('Données projet'!$B$10,Paramètres!$A$1:$I$89,5,0)</f>
        <v>133.68204571428575</v>
      </c>
      <c r="AK34" s="13">
        <f t="shared" si="35"/>
        <v>34.84578405456601</v>
      </c>
      <c r="AL34" s="20">
        <f t="shared" si="4"/>
        <v>293.51930351408345</v>
      </c>
      <c r="AM34" s="59">
        <f t="shared" si="5"/>
        <v>567.6699612040311</v>
      </c>
      <c r="AN34" s="59">
        <f ca="1">AVERAGE(OFFSET($AM$3,0,0,'Données projet'!$E$10+1,1))-AVERAGE(OFFSET($H$3,0,0,'Données projet'!$E$10+1,1))</f>
        <v>307.94699176410495</v>
      </c>
      <c r="AO34" s="59">
        <f t="shared" si="36"/>
        <v>314.22983137038875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15.762588827110635</v>
      </c>
      <c r="AV34" s="21">
        <f>EXP(-LN(2)/25)*AV33+(1-EXP(-LN(2)/25))/(LN(2)/25)*Calculateur!AQ34*Calculateur!AS34*VLOOKUP('Données projet'!$B$10,Paramètres!$A$1:$I$89,3,0)*0.475*44/12</f>
        <v>14.815950941312748</v>
      </c>
      <c r="AW34" s="21">
        <f>EXP(-LN(2)/2)*AW33+(1-EXP(-LN(2)/2))/(LN(2)/2)*AQ34*AT34*VLOOKUP('Données projet'!$B$10,Paramètres!$A$1:$I$89,3,0)*0.475*44/12</f>
        <v>4.7694151390362851</v>
      </c>
      <c r="AX34" s="21">
        <f t="shared" si="6"/>
        <v>35.347954907459666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8.2014285714285702</v>
      </c>
      <c r="BD34" s="12">
        <f>IF('Données projet'!$A$88&gt;35,BD33+BC34-BL33,IF(A34&lt;'Données projet'!$A$88,$BA$205^A34,IF(A34='Données projet'!$A$88,'Données projet'!$B$88,BD33+BC34-BL33)))</f>
        <v>254.24428571428578</v>
      </c>
      <c r="BE34" s="13">
        <f>BD34*VLOOKUP('Données projet'!$B$11,Paramètres!$A$1:$I$89,3,0)*VLOOKUP('Données projet'!$B$11,Paramètres!$A$1:$I$89,5,0)</f>
        <v>118.98632571428574</v>
      </c>
      <c r="BF34" s="13">
        <f t="shared" si="37"/>
        <v>31.438459813319049</v>
      </c>
      <c r="BG34" s="20">
        <f t="shared" si="7"/>
        <v>261.98983479391171</v>
      </c>
      <c r="BH34" s="59">
        <f t="shared" si="8"/>
        <v>536.14049248385936</v>
      </c>
      <c r="BI34" s="59">
        <f ca="1">AVERAGE(OFFSET($BH$3,0,0,'Données projet'!$E$11+1,1))-AVERAGE(OFFSET($H$3,0,0,'Données projet'!$E$11+1,1))</f>
        <v>346.55780187946573</v>
      </c>
      <c r="BJ34" s="59">
        <f t="shared" si="38"/>
        <v>297.28652094809149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23.265714285714289</v>
      </c>
      <c r="BY34" s="12">
        <f>IF('Données projet'!$A$114&gt;35,BY33+BX34-CG33,IF(A34&lt;'Données projet'!$A$114,$BV$205^A34,IF(A34='Données projet'!$A$114,'Données projet'!$B$114,BY33+BX34-CG33)))</f>
        <v>284.16714285714284</v>
      </c>
      <c r="BZ34" s="13">
        <f>BY34*VLOOKUP('Données projet'!$B$12,Paramètres!$A$1:$I$89,3,0)*VLOOKUP('Données projet'!$B$12,Paramètres!$A$1:$I$89,5,0)</f>
        <v>158.84943285714286</v>
      </c>
      <c r="CA34" s="13">
        <f t="shared" si="39"/>
        <v>40.582892872917235</v>
      </c>
      <c r="CB34" s="20">
        <f t="shared" si="10"/>
        <v>347.34463397985468</v>
      </c>
      <c r="CC34" s="59">
        <f t="shared" si="11"/>
        <v>621.49529166980233</v>
      </c>
      <c r="CD34" s="59">
        <f ca="1">AVERAGE(OFFSET($CC$3,0,0,'Données projet'!$E$12+1,1))-AVERAGE(OFFSET($H$3,0,0,'Données projet'!$E$12+1,1))</f>
        <v>394.00476121021177</v>
      </c>
      <c r="CE34" s="59">
        <f t="shared" si="40"/>
        <v>363.10016759175278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11.902356560993805</v>
      </c>
      <c r="CL34" s="21">
        <f>EXP(-LN(2)/25)*CL33+(1-EXP(-LN(2)/25))/(LN(2)/25)*Calculateur!CG34*Calculateur!CI34*VLOOKUP('Données projet'!$B$12,Paramètres!$A$1:$I$89,3,0)*0.475*44/12</f>
        <v>16.714471135229697</v>
      </c>
      <c r="CM34" s="21">
        <f>EXP(-LN(2)/2)*CM33+(1-EXP(-LN(2)/2))/(LN(2)/2)*CG34*CJ34*VLOOKUP('Données projet'!$B$12,Paramètres!$A$1:$I$89,3,0)*0.475*44/12</f>
        <v>6.2371386851790183</v>
      </c>
      <c r="CN34" s="22">
        <f t="shared" si="12"/>
        <v>34.853966381402522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64.768361188167546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3">
        <f>'Scénario référence'!$B$16*5+'Scénario référence'!$B$17*0+'Scénario référence'!$B$18*5</f>
        <v>1.7999999999999998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6.5999999999999988</v>
      </c>
      <c r="H35" s="67">
        <f t="shared" si="1"/>
        <v>230.26666666666665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535.52365704870067</v>
      </c>
      <c r="S35" s="59">
        <f ca="1">AVERAGE(OFFSET($R$3,0,0,'Données projet'!$E$9+1,1))-AVERAGE(OFFSET($H$3,0,0,'Données projet'!$E$9+1,1))</f>
        <v>652.18744712713965</v>
      </c>
      <c r="T35" s="59">
        <f t="shared" si="34"/>
        <v>288.65635870281199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17.804285714285715</v>
      </c>
      <c r="AI35" s="13">
        <f>IF('Données projet'!$A$62&gt;35,AI34+AH35-AQ34,IF(A35&lt;'Données projet'!$A$62,$AF$205^A35,IF(A35='Données projet'!$A$62,'Données projet'!$B$62,AI34+AH35-AQ34)))</f>
        <v>241.35285714285718</v>
      </c>
      <c r="AJ35" s="13">
        <f>AI35*VLOOKUP('Données projet'!$B$10,Paramètres!$A$1:$I$89,3,0)*VLOOKUP('Données projet'!$B$10,Paramètres!$A$1:$I$89,5,0)</f>
        <v>144.3290085714286</v>
      </c>
      <c r="AK35" s="13">
        <f t="shared" si="35"/>
        <v>37.286956054873187</v>
      </c>
      <c r="AL35" s="20">
        <f t="shared" si="4"/>
        <v>316.31447172414227</v>
      </c>
      <c r="AM35" s="59">
        <f t="shared" si="5"/>
        <v>590.79790595046472</v>
      </c>
      <c r="AN35" s="59">
        <f ca="1">AVERAGE(OFFSET($AM$3,0,0,'Données projet'!$E$10+1,1))-AVERAGE(OFFSET($H$3,0,0,'Données projet'!$E$10+1,1))</f>
        <v>307.94699176410495</v>
      </c>
      <c r="AO35" s="59">
        <f t="shared" si="36"/>
        <v>314.22983137038875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15.453494074440854</v>
      </c>
      <c r="AV35" s="21">
        <f>EXP(-LN(2)/25)*AV34+(1-EXP(-LN(2)/25))/(LN(2)/25)*Calculateur!AQ35*Calculateur!AS35*VLOOKUP('Données projet'!$B$10,Paramètres!$A$1:$I$89,3,0)*0.475*44/12</f>
        <v>14.410807983685553</v>
      </c>
      <c r="AW35" s="21">
        <f>EXP(-LN(2)/2)*AW34+(1-EXP(-LN(2)/2))/(LN(2)/2)*AQ35*AT35*VLOOKUP('Données projet'!$B$10,Paramètres!$A$1:$I$89,3,0)*0.475*44/12</f>
        <v>3.3724857871063376</v>
      </c>
      <c r="AX35" s="21">
        <f t="shared" si="6"/>
        <v>33.23678784523274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8.2014285714285702</v>
      </c>
      <c r="BD35" s="12">
        <f>IF('Données projet'!$A$88&gt;35,BD34+BC35-BL34,IF(A35&lt;'Données projet'!$A$88,$BA$205^A35,IF(A35='Données projet'!$A$88,'Données projet'!$B$88,BD34+BC35-BL34)))</f>
        <v>262.44571428571436</v>
      </c>
      <c r="BE35" s="13">
        <f>BD35*VLOOKUP('Données projet'!$B$11,Paramètres!$A$1:$I$89,3,0)*VLOOKUP('Données projet'!$B$11,Paramètres!$A$1:$I$89,5,0)</f>
        <v>122.82459428571431</v>
      </c>
      <c r="BF35" s="13">
        <f t="shared" si="37"/>
        <v>32.332894839094592</v>
      </c>
      <c r="BG35" s="20">
        <f t="shared" si="7"/>
        <v>270.23262689237549</v>
      </c>
      <c r="BH35" s="59">
        <f t="shared" si="8"/>
        <v>544.71606111869801</v>
      </c>
      <c r="BI35" s="59">
        <f ca="1">AVERAGE(OFFSET($BH$3,0,0,'Données projet'!$E$11+1,1))-AVERAGE(OFFSET($H$3,0,0,'Données projet'!$E$11+1,1))</f>
        <v>346.55780187946573</v>
      </c>
      <c r="BJ35" s="59">
        <f t="shared" si="38"/>
        <v>297.28652094809149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23.265714285714289</v>
      </c>
      <c r="BY35" s="12">
        <f>IF('Données projet'!$A$114&gt;35,BY34+BX35-CG34,IF(A35&lt;'Données projet'!$A$114,$BV$205^A35,IF(A35='Données projet'!$A$114,'Données projet'!$B$114,BY34+BX35-CG34)))</f>
        <v>307.43285714285713</v>
      </c>
      <c r="BZ35" s="13">
        <f>BY35*VLOOKUP('Données projet'!$B$12,Paramètres!$A$1:$I$89,3,0)*VLOOKUP('Données projet'!$B$12,Paramètres!$A$1:$I$89,5,0)</f>
        <v>171.85496714285716</v>
      </c>
      <c r="CA35" s="13">
        <f t="shared" si="39"/>
        <v>43.505211750246715</v>
      </c>
      <c r="CB35" s="20">
        <f t="shared" si="10"/>
        <v>375.08564490548923</v>
      </c>
      <c r="CC35" s="59">
        <f t="shared" si="11"/>
        <v>649.56907913181169</v>
      </c>
      <c r="CD35" s="59">
        <f ca="1">AVERAGE(OFFSET($CC$3,0,0,'Données projet'!$E$12+1,1))-AVERAGE(OFFSET($H$3,0,0,'Données projet'!$E$12+1,1))</f>
        <v>394.00476121021177</v>
      </c>
      <c r="CE35" s="59">
        <f t="shared" si="40"/>
        <v>363.10016759175278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11.668958608553382</v>
      </c>
      <c r="CL35" s="21">
        <f>EXP(-LN(2)/25)*CL34+(1-EXP(-LN(2)/25))/(LN(2)/25)*Calculateur!CG35*Calculateur!CI35*VLOOKUP('Données projet'!$B$12,Paramètres!$A$1:$I$89,3,0)*0.475*44/12</f>
        <v>16.257413043061007</v>
      </c>
      <c r="CM35" s="21">
        <f>EXP(-LN(2)/2)*CM34+(1-EXP(-LN(2)/2))/(LN(2)/2)*CG35*CJ35*VLOOKUP('Données projet'!$B$12,Paramètres!$A$1:$I$89,3,0)*0.475*44/12</f>
        <v>4.4103230594910308</v>
      </c>
      <c r="CN35" s="22">
        <f t="shared" si="12"/>
        <v>32.336694711105423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64.859118425360663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3">
        <f>'Scénario référence'!$B$16*5+'Scénario référence'!$B$17*0+'Scénario référence'!$B$18*5</f>
        <v>1.7999999999999998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6.5999999999999988</v>
      </c>
      <c r="H36" s="67">
        <f t="shared" si="1"/>
        <v>230.26666666666665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543.80693962262001</v>
      </c>
      <c r="S36" s="59">
        <f ca="1">AVERAGE(OFFSET($R$3,0,0,'Données projet'!$E$9+1,1))-AVERAGE(OFFSET($H$3,0,0,'Données projet'!$E$9+1,1))</f>
        <v>652.18744712713965</v>
      </c>
      <c r="T36" s="59">
        <f t="shared" si="34"/>
        <v>288.65635870281199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17.804285714285715</v>
      </c>
      <c r="AI36" s="13">
        <f>IF('Données projet'!$A$62&gt;35,AI35+AH36-AQ35,IF(A36&lt;'Données projet'!$A$62,$AF$205^A36,IF(A36='Données projet'!$A$62,'Données projet'!$B$62,AI35+AH36-AQ35)))</f>
        <v>259.1571428571429</v>
      </c>
      <c r="AJ36" s="13">
        <f>AI36*VLOOKUP('Données projet'!$B$10,Paramètres!$A$1:$I$89,3,0)*VLOOKUP('Données projet'!$B$10,Paramètres!$A$1:$I$89,5,0)</f>
        <v>154.97597142857146</v>
      </c>
      <c r="AK36" s="13">
        <f t="shared" si="35"/>
        <v>39.70723624796571</v>
      </c>
      <c r="AL36" s="20">
        <f t="shared" si="4"/>
        <v>339.07325336996888</v>
      </c>
      <c r="AM36" s="59">
        <f t="shared" si="5"/>
        <v>613.88369120373693</v>
      </c>
      <c r="AN36" s="59">
        <f ca="1">AVERAGE(OFFSET($AM$3,0,0,'Données projet'!$E$10+1,1))-AVERAGE(OFFSET($H$3,0,0,'Données projet'!$E$10+1,1))</f>
        <v>307.94699176410495</v>
      </c>
      <c r="AO36" s="59">
        <f t="shared" si="36"/>
        <v>314.22983137038875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15.150460481341744</v>
      </c>
      <c r="AV36" s="21">
        <f>EXP(-LN(2)/25)*AV35+(1-EXP(-LN(2)/25))/(LN(2)/25)*Calculateur!AQ36*Calculateur!AS36*VLOOKUP('Données projet'!$B$10,Paramètres!$A$1:$I$89,3,0)*0.475*44/12</f>
        <v>14.016743681540216</v>
      </c>
      <c r="AW36" s="21">
        <f>EXP(-LN(2)/2)*AW35+(1-EXP(-LN(2)/2))/(LN(2)/2)*AQ36*AT36*VLOOKUP('Données projet'!$B$10,Paramètres!$A$1:$I$89,3,0)*0.475*44/12</f>
        <v>2.3847075695181426</v>
      </c>
      <c r="AX36" s="21">
        <f t="shared" si="6"/>
        <v>31.5519117324001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8.2014285714285702</v>
      </c>
      <c r="BD36" s="12">
        <f>IF('Données projet'!$A$88&gt;35,BD35+BC36-BL35,IF(A36&lt;'Données projet'!$A$88,$BA$205^A36,IF(A36='Données projet'!$A$88,'Données projet'!$B$88,BD35+BC36-BL35)))</f>
        <v>270.64714285714291</v>
      </c>
      <c r="BE36" s="13">
        <f>BD36*VLOOKUP('Données projet'!$B$11,Paramètres!$A$1:$I$89,3,0)*VLOOKUP('Données projet'!$B$11,Paramètres!$A$1:$I$89,5,0)</f>
        <v>126.66286285714288</v>
      </c>
      <c r="BF36" s="13">
        <f t="shared" si="37"/>
        <v>33.224081709057053</v>
      </c>
      <c r="BG36" s="20">
        <f t="shared" si="7"/>
        <v>278.46976178613153</v>
      </c>
      <c r="BH36" s="59">
        <f t="shared" si="8"/>
        <v>553.28019961989958</v>
      </c>
      <c r="BI36" s="59">
        <f ca="1">AVERAGE(OFFSET($BH$3,0,0,'Données projet'!$E$11+1,1))-AVERAGE(OFFSET($H$3,0,0,'Données projet'!$E$11+1,1))</f>
        <v>346.55780187946573</v>
      </c>
      <c r="BJ36" s="59">
        <f t="shared" si="38"/>
        <v>297.28652094809149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23.265714285714289</v>
      </c>
      <c r="BY36" s="12">
        <f>IF('Données projet'!$A$114&gt;35,BY35+BX36-CG35,IF(A36&lt;'Données projet'!$A$114,$BV$205^A36,IF(A36='Données projet'!$A$114,'Données projet'!$B$114,BY35+BX36-CG35)))</f>
        <v>330.69857142857143</v>
      </c>
      <c r="BZ36" s="13">
        <f>BY36*VLOOKUP('Données projet'!$B$12,Paramètres!$A$1:$I$89,3,0)*VLOOKUP('Données projet'!$B$12,Paramètres!$A$1:$I$89,5,0)</f>
        <v>184.86050142857144</v>
      </c>
      <c r="CA36" s="13">
        <f t="shared" si="39"/>
        <v>46.401875578821517</v>
      </c>
      <c r="CB36" s="20">
        <f t="shared" si="10"/>
        <v>402.7819732878761</v>
      </c>
      <c r="CC36" s="59">
        <f t="shared" si="11"/>
        <v>677.59241112164409</v>
      </c>
      <c r="CD36" s="59">
        <f ca="1">AVERAGE(OFFSET($CC$3,0,0,'Données projet'!$E$12+1,1))-AVERAGE(OFFSET($H$3,0,0,'Données projet'!$E$12+1,1))</f>
        <v>394.00476121021177</v>
      </c>
      <c r="CE36" s="59">
        <f t="shared" si="40"/>
        <v>363.10016759175278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11.44013744760162</v>
      </c>
      <c r="CL36" s="21">
        <f>EXP(-LN(2)/25)*CL35+(1-EXP(-LN(2)/25))/(LN(2)/25)*Calculateur!CG36*Calculateur!CI36*VLOOKUP('Données projet'!$B$12,Paramètres!$A$1:$I$89,3,0)*0.475*44/12</f>
        <v>15.812853228458309</v>
      </c>
      <c r="CM36" s="21">
        <f>EXP(-LN(2)/2)*CM35+(1-EXP(-LN(2)/2))/(LN(2)/2)*CG36*CJ36*VLOOKUP('Données projet'!$B$12,Paramètres!$A$1:$I$89,3,0)*0.475*44/12</f>
        <v>3.1185693425895091</v>
      </c>
      <c r="CN36" s="22">
        <f t="shared" si="12"/>
        <v>30.37156001864944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64.948301227391283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3">
        <f>'Scénario référence'!$B$16*5+'Scénario référence'!$B$17*0+'Scénario référence'!$B$18*5</f>
        <v>1.7999999999999998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6.5999999999999988</v>
      </c>
      <c r="H37" s="67">
        <f t="shared" si="1"/>
        <v>230.26666666666665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552.0792519773438</v>
      </c>
      <c r="S37" s="59">
        <f ca="1">AVERAGE(OFFSET($R$3,0,0,'Données projet'!$E$9+1,1))-AVERAGE(OFFSET($H$3,0,0,'Données projet'!$E$9+1,1))</f>
        <v>652.18744712713965</v>
      </c>
      <c r="T37" s="59">
        <f t="shared" si="34"/>
        <v>288.65635870281199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17.804285714285715</v>
      </c>
      <c r="AI37" s="13">
        <f>IF('Données projet'!$A$62&gt;35,AI36+AH37-AQ36,IF(A37&lt;'Données projet'!$A$62,$AF$205^A37,IF(A37='Données projet'!$A$62,'Données projet'!$B$62,AI36+AH37-AQ36)))</f>
        <v>276.9614285714286</v>
      </c>
      <c r="AJ37" s="13">
        <f>AI37*VLOOKUP('Données projet'!$B$10,Paramètres!$A$1:$I$89,3,0)*VLOOKUP('Données projet'!$B$10,Paramètres!$A$1:$I$89,5,0)</f>
        <v>165.62293428571431</v>
      </c>
      <c r="AK37" s="13">
        <f t="shared" si="35"/>
        <v>42.108223194605671</v>
      </c>
      <c r="AL37" s="20">
        <f t="shared" si="4"/>
        <v>361.7984326115573</v>
      </c>
      <c r="AM37" s="59">
        <f t="shared" si="5"/>
        <v>636.93020127125226</v>
      </c>
      <c r="AN37" s="59">
        <f ca="1">AVERAGE(OFFSET($AM$3,0,0,'Données projet'!$E$10+1,1))-AVERAGE(OFFSET($H$3,0,0,'Données projet'!$E$10+1,1))</f>
        <v>307.94699176410495</v>
      </c>
      <c r="AO37" s="59">
        <f t="shared" si="36"/>
        <v>314.22983137038875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14.853369192171066</v>
      </c>
      <c r="AV37" s="21">
        <f>EXP(-LN(2)/25)*AV36+(1-EXP(-LN(2)/25))/(LN(2)/25)*Calculateur!AQ37*Calculateur!AS37*VLOOKUP('Données projet'!$B$10,Paramètres!$A$1:$I$89,3,0)*0.475*44/12</f>
        <v>13.633455088459984</v>
      </c>
      <c r="AW37" s="21">
        <f>EXP(-LN(2)/2)*AW36+(1-EXP(-LN(2)/2))/(LN(2)/2)*AQ37*AT37*VLOOKUP('Données projet'!$B$10,Paramètres!$A$1:$I$89,3,0)*0.475*44/12</f>
        <v>1.6862428935531688</v>
      </c>
      <c r="AX37" s="21">
        <f t="shared" si="6"/>
        <v>30.173067174184215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8.2014285714285702</v>
      </c>
      <c r="BD37" s="12">
        <f>IF('Données projet'!$A$88&gt;35,BD36+BC37-BL36,IF(A37&lt;'Données projet'!$A$88,$BA$205^A37,IF(A37='Données projet'!$A$88,'Données projet'!$B$88,BD36+BC37-BL36)))</f>
        <v>278.84857142857146</v>
      </c>
      <c r="BE37" s="13">
        <f>BD37*VLOOKUP('Données projet'!$B$11,Paramètres!$A$1:$I$89,3,0)*VLOOKUP('Données projet'!$B$11,Paramètres!$A$1:$I$89,5,0)</f>
        <v>130.50113142857145</v>
      </c>
      <c r="BF37" s="13">
        <f t="shared" si="37"/>
        <v>34.11213014978982</v>
      </c>
      <c r="BG37" s="20">
        <f t="shared" si="7"/>
        <v>286.70143058231258</v>
      </c>
      <c r="BH37" s="59">
        <f t="shared" si="8"/>
        <v>561.83319924200759</v>
      </c>
      <c r="BI37" s="59">
        <f ca="1">AVERAGE(OFFSET($BH$3,0,0,'Données projet'!$E$11+1,1))-AVERAGE(OFFSET($H$3,0,0,'Données projet'!$E$11+1,1))</f>
        <v>346.55780187946573</v>
      </c>
      <c r="BJ37" s="59">
        <f t="shared" si="38"/>
        <v>297.28652094809149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23.265714285714289</v>
      </c>
      <c r="BY37" s="12">
        <f>IF('Données projet'!$A$114&gt;35,BY36+BX37-CG36,IF(A37&lt;'Données projet'!$A$114,$BV$205^A37,IF(A37='Données projet'!$A$114,'Données projet'!$B$114,BY36+BX37-CG36)))</f>
        <v>353.96428571428572</v>
      </c>
      <c r="BZ37" s="13">
        <f>BY37*VLOOKUP('Données projet'!$B$12,Paramètres!$A$1:$I$89,3,0)*VLOOKUP('Données projet'!$B$12,Paramètres!$A$1:$I$89,5,0)</f>
        <v>197.86603571428572</v>
      </c>
      <c r="CA37" s="13">
        <f t="shared" si="39"/>
        <v>49.274894571766396</v>
      </c>
      <c r="CB37" s="20">
        <f t="shared" si="10"/>
        <v>430.43712024820735</v>
      </c>
      <c r="CC37" s="59">
        <f t="shared" si="11"/>
        <v>705.56888890790231</v>
      </c>
      <c r="CD37" s="59">
        <f ca="1">AVERAGE(OFFSET($CC$3,0,0,'Données projet'!$E$12+1,1))-AVERAGE(OFFSET($H$3,0,0,'Données projet'!$E$12+1,1))</f>
        <v>394.00476121021177</v>
      </c>
      <c r="CE37" s="59">
        <f t="shared" si="40"/>
        <v>363.10016759175278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11.215803330048995</v>
      </c>
      <c r="CL37" s="21">
        <f>EXP(-LN(2)/25)*CL36+(1-EXP(-LN(2)/25))/(LN(2)/25)*Calculateur!CG37*Calculateur!CI37*VLOOKUP('Données projet'!$B$12,Paramètres!$A$1:$I$89,3,0)*0.475*44/12</f>
        <v>15.380449925364307</v>
      </c>
      <c r="CM37" s="21">
        <f>EXP(-LN(2)/2)*CM36+(1-EXP(-LN(2)/2))/(LN(2)/2)*CG37*CJ37*VLOOKUP('Données projet'!$B$12,Paramètres!$A$1:$I$89,3,0)*0.475*44/12</f>
        <v>2.2051615297455154</v>
      </c>
      <c r="CN37" s="22">
        <f t="shared" si="12"/>
        <v>28.801414785158819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65.035936907189537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3">
        <f>'Scénario référence'!$B$16*5+'Scénario référence'!$B$17*0+'Scénario référence'!$B$18*5</f>
        <v>1.7999999999999998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6.5999999999999988</v>
      </c>
      <c r="H38" s="67">
        <f t="shared" si="1"/>
        <v>230.26666666666665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560.34086621923257</v>
      </c>
      <c r="S38" s="59">
        <f ca="1">AVERAGE(OFFSET($R$3,0,0,'Données projet'!$E$9+1,1))-AVERAGE(OFFSET($H$3,0,0,'Données projet'!$E$9+1,1))</f>
        <v>652.18744712713965</v>
      </c>
      <c r="T38" s="59">
        <f t="shared" si="34"/>
        <v>288.65635870281199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17.804285714285715</v>
      </c>
      <c r="AI38" s="13">
        <f>IF('Données projet'!$A$62&gt;35,AI37+AH38-AQ37,IF(A38&lt;'Données projet'!$A$62,$AF$205^A38,IF(A38='Données projet'!$A$62,'Données projet'!$B$62,AI37+AH38-AQ37)))</f>
        <v>294.7657142857143</v>
      </c>
      <c r="AJ38" s="13">
        <f>AI38*VLOOKUP('Données projet'!$B$10,Paramètres!$A$1:$I$89,3,0)*VLOOKUP('Données projet'!$B$10,Paramètres!$A$1:$I$89,5,0)</f>
        <v>176.26989714285719</v>
      </c>
      <c r="AK38" s="13">
        <f t="shared" si="35"/>
        <v>44.491298310145091</v>
      </c>
      <c r="AL38" s="20">
        <f t="shared" si="4"/>
        <v>384.49241541397896</v>
      </c>
      <c r="AM38" s="59">
        <f t="shared" si="5"/>
        <v>659.93994052815913</v>
      </c>
      <c r="AN38" s="59">
        <f ca="1">AVERAGE(OFFSET($AM$3,0,0,'Données projet'!$E$10+1,1))-AVERAGE(OFFSET($H$3,0,0,'Données projet'!$E$10+1,1))</f>
        <v>307.94699176410495</v>
      </c>
      <c r="AO38" s="59">
        <f t="shared" si="36"/>
        <v>314.22983137038875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14.56210368197323</v>
      </c>
      <c r="AV38" s="21">
        <f>EXP(-LN(2)/25)*AV37+(1-EXP(-LN(2)/25))/(LN(2)/25)*Calculateur!AQ38*Calculateur!AS38*VLOOKUP('Données projet'!$B$10,Paramètres!$A$1:$I$89,3,0)*0.475*44/12</f>
        <v>13.260647542113801</v>
      </c>
      <c r="AW38" s="21">
        <f>EXP(-LN(2)/2)*AW37+(1-EXP(-LN(2)/2))/(LN(2)/2)*AQ38*AT38*VLOOKUP('Données projet'!$B$10,Paramètres!$A$1:$I$89,3,0)*0.475*44/12</f>
        <v>1.1923537847590713</v>
      </c>
      <c r="AX38" s="21">
        <f t="shared" si="6"/>
        <v>29.015105008846103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8.2014285714285702</v>
      </c>
      <c r="BD38" s="12">
        <f>IF('Données projet'!$A$88&gt;35,BD37+BC38-BL37,IF(A38&lt;'Données projet'!$A$88,$BA$205^A38,IF(A38='Données projet'!$A$88,'Données projet'!$B$88,BD37+BC38-BL37)))</f>
        <v>287.05</v>
      </c>
      <c r="BE38" s="13">
        <f>BD38*VLOOKUP('Données projet'!$B$11,Paramètres!$A$1:$I$89,3,0)*VLOOKUP('Données projet'!$B$11,Paramètres!$A$1:$I$89,5,0)</f>
        <v>134.33939999999998</v>
      </c>
      <c r="BF38" s="13">
        <f t="shared" si="37"/>
        <v>34.997143066419042</v>
      </c>
      <c r="BG38" s="20">
        <f t="shared" si="7"/>
        <v>294.92781250734646</v>
      </c>
      <c r="BH38" s="59">
        <f t="shared" si="8"/>
        <v>570.37533762152657</v>
      </c>
      <c r="BI38" s="59">
        <f ca="1">AVERAGE(OFFSET($BH$3,0,0,'Données projet'!$E$11+1,1))-AVERAGE(OFFSET($H$3,0,0,'Données projet'!$E$11+1,1))</f>
        <v>346.55780187946573</v>
      </c>
      <c r="BJ38" s="59">
        <f t="shared" si="38"/>
        <v>297.28652094809149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377.23</v>
      </c>
      <c r="BW38" s="12">
        <f>VLOOKUP(A38,'Données projet'!$A$113:$I$133,9,0)</f>
        <v>23.265714285714289</v>
      </c>
      <c r="BX38" s="12">
        <f t="array" ref="BX38">INDEX(BW:BW,MIN(IF(ISNUMBER(BW38:BW234),ROW(BW38:BW234),"")))</f>
        <v>23.265714285714289</v>
      </c>
      <c r="BY38" s="12">
        <f>IF('Données projet'!$A$114&gt;35,BY37+BX38-CG37,IF(A38&lt;'Données projet'!$A$114,$BV$205^A38,IF(A38='Données projet'!$A$114,'Données projet'!$B$114,BY37+BX38-CG37)))</f>
        <v>377.23</v>
      </c>
      <c r="BZ38" s="13">
        <f>BY38*VLOOKUP('Données projet'!$B$12,Paramètres!$A$1:$I$89,3,0)*VLOOKUP('Données projet'!$B$12,Paramètres!$A$1:$I$89,5,0)</f>
        <v>210.87157000000002</v>
      </c>
      <c r="CA38" s="13">
        <f t="shared" si="39"/>
        <v>52.125999737089174</v>
      </c>
      <c r="CB38" s="20">
        <f t="shared" si="10"/>
        <v>458.05410062543029</v>
      </c>
      <c r="CC38" s="59">
        <f t="shared" si="11"/>
        <v>733.50162573961052</v>
      </c>
      <c r="CD38" s="59">
        <f ca="1">AVERAGE(OFFSET($CC$3,0,0,'Données projet'!$E$12+1,1))-AVERAGE(OFFSET($H$3,0,0,'Données projet'!$E$12+1,1))</f>
        <v>394.00476121021177</v>
      </c>
      <c r="CE38" s="59">
        <f t="shared" si="40"/>
        <v>363.10016759175278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86.700000000000045</v>
      </c>
      <c r="CH38" s="16">
        <f>IF(ISNA(VLOOKUP(A38,'Données projet'!$A$113:$I$133,5,0)),0%,VLOOKUP(A38,'Données projet'!$A$113:$I$133,5,0)*VLOOKUP('Données projet'!$B$12,Paramètres!$A$1:$I$89,7,0))</f>
        <v>0.33</v>
      </c>
      <c r="CI38" s="16">
        <f>IF(ISNA(VLOOKUP(A38,'Données projet'!$A$113:$I$133,6,0)),0%,VLOOKUP(A38,'Données projet'!$A$113:$I$133,6,0)*VLOOKUP('Données projet'!$B$12,Paramètres!$A$1:$I$89,7,0))</f>
        <v>0.11000000000000001</v>
      </c>
      <c r="CJ38" s="16">
        <f>IF(ISNA(VLOOKUP(A38,'Données projet'!$A$113:$I$133,7,0)),0%,VLOOKUP(A38,'Données projet'!$A$113:$I$133,7,0))</f>
        <v>0.2</v>
      </c>
      <c r="CK38" s="21">
        <f>EXP(-LN(2)/35)*CK37+(1-EXP(-LN(2)/35))/(LN(2)/35)*CG38*CH38*VLOOKUP('Données projet'!$B$12,Paramètres!$A$1:$I$89,3,0)*0.475*44/12</f>
        <v>32.212341887441895</v>
      </c>
      <c r="CL38" s="21">
        <f>EXP(-LN(2)/25)*CL37+(1-EXP(-LN(2)/25))/(LN(2)/25)*Calculateur!CG38*Calculateur!CI38*VLOOKUP('Données projet'!$B$12,Paramètres!$A$1:$I$89,3,0)*0.475*44/12</f>
        <v>22.004182806325677</v>
      </c>
      <c r="CM38" s="21">
        <f>EXP(-LN(2)/2)*CM37+(1-EXP(-LN(2)/2))/(LN(2)/2)*CG38*CJ38*VLOOKUP('Données projet'!$B$12,Paramètres!$A$1:$I$89,3,0)*0.475*44/12</f>
        <v>12.534080265156646</v>
      </c>
      <c r="CN38" s="22">
        <f t="shared" si="12"/>
        <v>66.750604958924214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65.122052303867321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3">
        <f>'Scénario référence'!$B$16*5+'Scénario référence'!$B$17*0+'Scénario référence'!$B$18*5</f>
        <v>1.7999999999999998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6.5999999999999988</v>
      </c>
      <c r="H39" s="67">
        <f t="shared" si="1"/>
        <v>230.26666666666665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568.59204225741291</v>
      </c>
      <c r="S39" s="59">
        <f ca="1">AVERAGE(OFFSET($R$3,0,0,'Données projet'!$E$9+1,1))-AVERAGE(OFFSET($H$3,0,0,'Données projet'!$E$9+1,1))</f>
        <v>652.18744712713965</v>
      </c>
      <c r="T39" s="59">
        <f t="shared" si="34"/>
        <v>288.65635870281199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312.57</v>
      </c>
      <c r="AG39" s="12">
        <f>VLOOKUP(A39,'Données projet'!$A$61:$I$81,9,0)</f>
        <v>17.804285714285715</v>
      </c>
      <c r="AH39" s="12">
        <f t="array" ref="AH39">INDEX(AG:AG,MIN(IF(ISNUMBER(AG39:AG235),ROW(AG39:AG235),"")))</f>
        <v>17.804285714285715</v>
      </c>
      <c r="AI39" s="13">
        <f>IF('Données projet'!$A$62&gt;35,AI38+AH39-AQ38,IF(A39&lt;'Données projet'!$A$62,$AF$205^A39,IF(A39='Données projet'!$A$62,'Données projet'!$B$62,AI38+AH39-AQ38)))</f>
        <v>312.57</v>
      </c>
      <c r="AJ39" s="13">
        <f>AI39*VLOOKUP('Données projet'!$B$10,Paramètres!$A$1:$I$89,3,0)*VLOOKUP('Données projet'!$B$10,Paramètres!$A$1:$I$89,5,0)</f>
        <v>186.91685999999999</v>
      </c>
      <c r="AK39" s="13">
        <f t="shared" si="35"/>
        <v>46.857666701992478</v>
      </c>
      <c r="AL39" s="20">
        <f t="shared" si="4"/>
        <v>407.15730067263689</v>
      </c>
      <c r="AM39" s="59">
        <f t="shared" si="5"/>
        <v>682.91510457274262</v>
      </c>
      <c r="AN39" s="59">
        <f ca="1">AVERAGE(OFFSET($AM$3,0,0,'Données projet'!$E$10+1,1))-AVERAGE(OFFSET($H$3,0,0,'Données projet'!$E$10+1,1))</f>
        <v>307.94699176410495</v>
      </c>
      <c r="AO39" s="59">
        <f t="shared" si="36"/>
        <v>314.22983137038875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76.509999999999991</v>
      </c>
      <c r="AR39" s="16">
        <f>IF(ISNA(VLOOKUP(A39,'Données projet'!$A$61:$I$81,5,0)),0%,VLOOKUP(A39,'Données projet'!$A$61:$I$81,5,0)*VLOOKUP('Données projet'!$B$10,Paramètres!$A$1:$I$89,7,0))</f>
        <v>0.27</v>
      </c>
      <c r="AS39" s="16">
        <f>IF(ISNA(VLOOKUP(A39,'Données projet'!$A$61:$I$81,6,0)),0%,VLOOKUP(A39,'Données projet'!$A$61:$I$81,6,0)*VLOOKUP('Données projet'!$B$10,Paramètres!$A$1:$I$89,7,0))</f>
        <v>9.0000000000000011E-2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30.66400450035372</v>
      </c>
      <c r="AV39" s="21">
        <f>EXP(-LN(2)/25)*AV38+(1-EXP(-LN(2)/25))/(LN(2)/25)*Calculateur!AQ39*Calculateur!AS39*VLOOKUP('Données projet'!$B$10,Paramètres!$A$1:$I$89,3,0)*0.475*44/12</f>
        <v>18.339011483048019</v>
      </c>
      <c r="AW39" s="21">
        <f>EXP(-LN(2)/2)*AW38+(1-EXP(-LN(2)/2))/(LN(2)/2)*AQ39*AT39*VLOOKUP('Données projet'!$B$10,Paramètres!$A$1:$I$89,3,0)*0.475*44/12</f>
        <v>11.203721779593071</v>
      </c>
      <c r="AX39" s="21">
        <f t="shared" si="6"/>
        <v>60.206737762994806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8.2014285714285702</v>
      </c>
      <c r="BD39" s="12">
        <f>IF('Données projet'!$A$88&gt;35,BD38+BC39-BL38,IF(A39&lt;'Données projet'!$A$88,$BA$205^A39,IF(A39='Données projet'!$A$88,'Données projet'!$B$88,BD38+BC39-BL38)))</f>
        <v>295.25142857142856</v>
      </c>
      <c r="BE39" s="13">
        <f>BD39*VLOOKUP('Données projet'!$B$11,Paramètres!$A$1:$I$89,3,0)*VLOOKUP('Données projet'!$B$11,Paramètres!$A$1:$I$89,5,0)</f>
        <v>138.17766857142857</v>
      </c>
      <c r="BF39" s="13">
        <f t="shared" si="37"/>
        <v>35.879217149322336</v>
      </c>
      <c r="BG39" s="20">
        <f t="shared" si="7"/>
        <v>303.14907596364111</v>
      </c>
      <c r="BH39" s="59">
        <f t="shared" si="8"/>
        <v>578.90687986374678</v>
      </c>
      <c r="BI39" s="59">
        <f ca="1">AVERAGE(OFFSET($BH$3,0,0,'Données projet'!$E$11+1,1))-AVERAGE(OFFSET($H$3,0,0,'Données projet'!$E$11+1,1))</f>
        <v>346.55780187946573</v>
      </c>
      <c r="BJ39" s="59">
        <f t="shared" si="38"/>
        <v>297.28652094809149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22.851428571428578</v>
      </c>
      <c r="BY39" s="12">
        <f>IF('Données projet'!$A$114&gt;35,BY38+BX39-CG38,IF(A39&lt;'Données projet'!$A$114,$BV$205^A39,IF(A39='Données projet'!$A$114,'Données projet'!$B$114,BY38+BX39-CG38)))</f>
        <v>313.38142857142856</v>
      </c>
      <c r="BZ39" s="13">
        <f>BY39*VLOOKUP('Données projet'!$B$12,Paramètres!$A$1:$I$89,3,0)*VLOOKUP('Données projet'!$B$12,Paramètres!$A$1:$I$89,5,0)</f>
        <v>175.18021857142855</v>
      </c>
      <c r="CA39" s="13">
        <f t="shared" si="39"/>
        <v>44.248185618905715</v>
      </c>
      <c r="CB39" s="20">
        <f t="shared" si="10"/>
        <v>382.17113729816555</v>
      </c>
      <c r="CC39" s="59">
        <f t="shared" si="11"/>
        <v>657.92894119827133</v>
      </c>
      <c r="CD39" s="59">
        <f ca="1">AVERAGE(OFFSET($CC$3,0,0,'Données projet'!$E$12+1,1))-AVERAGE(OFFSET($H$3,0,0,'Données projet'!$E$12+1,1))</f>
        <v>394.00476121021177</v>
      </c>
      <c r="CE39" s="59">
        <f t="shared" si="40"/>
        <v>363.10016759175278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31.580677510617672</v>
      </c>
      <c r="CL39" s="21">
        <f>EXP(-LN(2)/25)*CL38+(1-EXP(-LN(2)/25))/(LN(2)/25)*Calculateur!CG39*Calculateur!CI39*VLOOKUP('Données projet'!$B$12,Paramètres!$A$1:$I$89,3,0)*0.475*44/12</f>
        <v>21.40247727033702</v>
      </c>
      <c r="CM39" s="21">
        <f>EXP(-LN(2)/2)*CM38+(1-EXP(-LN(2)/2))/(LN(2)/2)*CG39*CJ39*VLOOKUP('Données projet'!$B$12,Paramètres!$A$1:$I$89,3,0)*0.475*44/12</f>
        <v>8.862933151428745</v>
      </c>
      <c r="CN39" s="22">
        <f t="shared" si="12"/>
        <v>61.84608793238344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65.206673790937927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3">
        <f>'Scénario référence'!$B$16*5+'Scénario référence'!$B$17*0+'Scénario référence'!$B$18*5</f>
        <v>1.7999999999999998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6.5999999999999988</v>
      </c>
      <c r="H40" s="67">
        <f t="shared" si="1"/>
        <v>230.26666666666665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576.83302874048809</v>
      </c>
      <c r="S40" s="59">
        <f ca="1">AVERAGE(OFFSET($R$3,0,0,'Données projet'!$E$9+1,1))-AVERAGE(OFFSET($H$3,0,0,'Données projet'!$E$9+1,1))</f>
        <v>652.18744712713965</v>
      </c>
      <c r="T40" s="59">
        <f t="shared" si="34"/>
        <v>288.65635870281199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16.583750000000002</v>
      </c>
      <c r="AI40" s="13">
        <f>IF('Données projet'!$A$62&gt;35,AI39+AH40-AQ39,IF(A40&lt;'Données projet'!$A$62,$AF$205^A40,IF(A40='Données projet'!$A$62,'Données projet'!$B$62,AI39+AH40-AQ39)))</f>
        <v>252.64375000000001</v>
      </c>
      <c r="AJ40" s="13">
        <f>AI40*VLOOKUP('Données projet'!$B$10,Paramètres!$A$1:$I$89,3,0)*VLOOKUP('Données projet'!$B$10,Paramètres!$A$1:$I$89,5,0)</f>
        <v>151.0809625</v>
      </c>
      <c r="AK40" s="13">
        <f t="shared" si="35"/>
        <v>38.824135473109777</v>
      </c>
      <c r="AL40" s="20">
        <f t="shared" si="4"/>
        <v>330.75137896983284</v>
      </c>
      <c r="AM40" s="59">
        <f t="shared" si="5"/>
        <v>606.81407901260786</v>
      </c>
      <c r="AN40" s="59">
        <f ca="1">AVERAGE(OFFSET($AM$3,0,0,'Données projet'!$E$10+1,1))-AVERAGE(OFFSET($H$3,0,0,'Données projet'!$E$10+1,1))</f>
        <v>307.94699176410495</v>
      </c>
      <c r="AO40" s="59">
        <f t="shared" si="36"/>
        <v>314.22983137038875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30.062702075297739</v>
      </c>
      <c r="AV40" s="21">
        <f>EXP(-LN(2)/25)*AV39+(1-EXP(-LN(2)/25))/(LN(2)/25)*Calculateur!AQ40*Calculateur!AS40*VLOOKUP('Données projet'!$B$10,Paramètres!$A$1:$I$89,3,0)*0.475*44/12</f>
        <v>17.837530249637371</v>
      </c>
      <c r="AW40" s="21">
        <f>EXP(-LN(2)/2)*AW39+(1-EXP(-LN(2)/2))/(LN(2)/2)*AQ40*AT40*VLOOKUP('Données projet'!$B$10,Paramètres!$A$1:$I$89,3,0)*0.475*44/12</f>
        <v>7.9222276448776752</v>
      </c>
      <c r="AX40" s="21">
        <f t="shared" si="6"/>
        <v>55.822459969812783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8.2014285714285702</v>
      </c>
      <c r="BD40" s="12">
        <f>IF('Données projet'!$A$88&gt;35,BD39+BC40-BL39,IF(A40&lt;'Données projet'!$A$88,$BA$205^A40,IF(A40='Données projet'!$A$88,'Données projet'!$B$88,BD39+BC40-BL39)))</f>
        <v>303.45285714285711</v>
      </c>
      <c r="BE40" s="13">
        <f>BD40*VLOOKUP('Données projet'!$B$11,Paramètres!$A$1:$I$89,3,0)*VLOOKUP('Données projet'!$B$11,Paramètres!$A$1:$I$89,5,0)</f>
        <v>142.01593714285713</v>
      </c>
      <c r="BF40" s="13">
        <f t="shared" si="37"/>
        <v>36.758443411529754</v>
      </c>
      <c r="BG40" s="20">
        <f t="shared" si="7"/>
        <v>311.36537946555717</v>
      </c>
      <c r="BH40" s="59">
        <f t="shared" si="8"/>
        <v>587.42807950833208</v>
      </c>
      <c r="BI40" s="59">
        <f ca="1">AVERAGE(OFFSET($BH$3,0,0,'Données projet'!$E$11+1,1))-AVERAGE(OFFSET($H$3,0,0,'Données projet'!$E$11+1,1))</f>
        <v>346.55780187946573</v>
      </c>
      <c r="BJ40" s="59">
        <f t="shared" si="38"/>
        <v>297.28652094809149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22.851428571428578</v>
      </c>
      <c r="BY40" s="12">
        <f>IF('Données projet'!$A$114&gt;35,BY39+BX40-CG39,IF(A40&lt;'Données projet'!$A$114,$BV$205^A40,IF(A40='Données projet'!$A$114,'Données projet'!$B$114,BY39+BX40-CG39)))</f>
        <v>336.23285714285714</v>
      </c>
      <c r="BZ40" s="13">
        <f>BY40*VLOOKUP('Données projet'!$B$12,Paramètres!$A$1:$I$89,3,0)*VLOOKUP('Données projet'!$B$12,Paramètres!$A$1:$I$89,5,0)</f>
        <v>187.95416714285713</v>
      </c>
      <c r="CA40" s="13">
        <f t="shared" si="39"/>
        <v>47.087363665282226</v>
      </c>
      <c r="CB40" s="20">
        <f t="shared" si="10"/>
        <v>409.36399949084267</v>
      </c>
      <c r="CC40" s="59">
        <f t="shared" si="11"/>
        <v>685.42669953361769</v>
      </c>
      <c r="CD40" s="59">
        <f ca="1">AVERAGE(OFFSET($CC$3,0,0,'Données projet'!$E$12+1,1))-AVERAGE(OFFSET($H$3,0,0,'Données projet'!$E$12+1,1))</f>
        <v>394.00476121021177</v>
      </c>
      <c r="CE40" s="59">
        <f t="shared" si="40"/>
        <v>363.10016759175278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30.961399686945747</v>
      </c>
      <c r="CL40" s="21">
        <f>EXP(-LN(2)/25)*CL39+(1-EXP(-LN(2)/25))/(LN(2)/25)*Calculateur!CG40*Calculateur!CI40*VLOOKUP('Données projet'!$B$12,Paramètres!$A$1:$I$89,3,0)*0.475*44/12</f>
        <v>20.817225403872289</v>
      </c>
      <c r="CM40" s="21">
        <f>EXP(-LN(2)/2)*CM39+(1-EXP(-LN(2)/2))/(LN(2)/2)*CG40*CJ40*VLOOKUP('Données projet'!$B$12,Paramètres!$A$1:$I$89,3,0)*0.475*44/12</f>
        <v>6.267040132578324</v>
      </c>
      <c r="CN40" s="22">
        <f t="shared" si="12"/>
        <v>58.045665223396362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65.289827284393169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3">
        <f>'Scénario référence'!$B$16*5+'Scénario référence'!$B$17*0+'Scénario référence'!$B$18*5</f>
        <v>1.7999999999999998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6.5999999999999988</v>
      </c>
      <c r="H41" s="67">
        <f t="shared" si="1"/>
        <v>230.26666666666665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585.06406389191147</v>
      </c>
      <c r="S41" s="59">
        <f ca="1">AVERAGE(OFFSET($R$3,0,0,'Données projet'!$E$9+1,1))-AVERAGE(OFFSET($H$3,0,0,'Données projet'!$E$9+1,1))</f>
        <v>652.18744712713965</v>
      </c>
      <c r="T41" s="59">
        <f t="shared" si="34"/>
        <v>288.65635870281199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16.583750000000002</v>
      </c>
      <c r="AI41" s="13">
        <f>IF('Données projet'!$A$62&gt;35,AI40+AH41-AQ40,IF(A41&lt;'Données projet'!$A$62,$AF$205^A41,IF(A41='Données projet'!$A$62,'Données projet'!$B$62,AI40+AH41-AQ40)))</f>
        <v>269.22750000000002</v>
      </c>
      <c r="AJ41" s="13">
        <f>AI41*VLOOKUP('Données projet'!$B$10,Paramètres!$A$1:$I$89,3,0)*VLOOKUP('Données projet'!$B$10,Paramètres!$A$1:$I$89,5,0)</f>
        <v>160.99804500000002</v>
      </c>
      <c r="AK41" s="13">
        <f t="shared" si="35"/>
        <v>41.067545707058052</v>
      </c>
      <c r="AL41" s="20">
        <f t="shared" si="4"/>
        <v>351.93090381479277</v>
      </c>
      <c r="AM41" s="59">
        <f t="shared" si="5"/>
        <v>628.2932107338072</v>
      </c>
      <c r="AN41" s="59">
        <f ca="1">AVERAGE(OFFSET($AM$3,0,0,'Données projet'!$E$10+1,1))-AVERAGE(OFFSET($H$3,0,0,'Données projet'!$E$10+1,1))</f>
        <v>307.94699176410495</v>
      </c>
      <c r="AO41" s="59">
        <f t="shared" si="36"/>
        <v>314.22983137038875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29.473190824038845</v>
      </c>
      <c r="AV41" s="21">
        <f>EXP(-LN(2)/25)*AV40+(1-EXP(-LN(2)/25))/(LN(2)/25)*Calculateur!AQ41*Calculateur!AS41*VLOOKUP('Données projet'!$B$10,Paramètres!$A$1:$I$89,3,0)*0.475*44/12</f>
        <v>17.349762046926088</v>
      </c>
      <c r="AW41" s="21">
        <f>EXP(-LN(2)/2)*AW40+(1-EXP(-LN(2)/2))/(LN(2)/2)*AQ41*AT41*VLOOKUP('Données projet'!$B$10,Paramètres!$A$1:$I$89,3,0)*0.475*44/12</f>
        <v>5.6018608897965363</v>
      </c>
      <c r="AX41" s="21">
        <f t="shared" si="6"/>
        <v>52.424813760761467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8.2014285714285702</v>
      </c>
      <c r="BD41" s="12">
        <f>IF('Données projet'!$A$88&gt;35,BD40+BC41-BL40,IF(A41&lt;'Données projet'!$A$88,$BA$205^A41,IF(A41='Données projet'!$A$88,'Données projet'!$B$88,BD40+BC41-BL40)))</f>
        <v>311.65428571428566</v>
      </c>
      <c r="BE41" s="13">
        <f>BD41*VLOOKUP('Données projet'!$B$11,Paramètres!$A$1:$I$89,3,0)*VLOOKUP('Données projet'!$B$11,Paramètres!$A$1:$I$89,5,0)</f>
        <v>145.85420571428568</v>
      </c>
      <c r="BF41" s="13">
        <f t="shared" si="37"/>
        <v>37.634907666394</v>
      </c>
      <c r="BG41" s="20">
        <f t="shared" si="7"/>
        <v>319.57687247135044</v>
      </c>
      <c r="BH41" s="59">
        <f t="shared" si="8"/>
        <v>595.93917939036487</v>
      </c>
      <c r="BI41" s="59">
        <f ca="1">AVERAGE(OFFSET($BH$3,0,0,'Données projet'!$E$11+1,1))-AVERAGE(OFFSET($H$3,0,0,'Données projet'!$E$11+1,1))</f>
        <v>346.55780187946573</v>
      </c>
      <c r="BJ41" s="59">
        <f t="shared" si="38"/>
        <v>297.28652094809149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22.851428571428578</v>
      </c>
      <c r="BY41" s="12">
        <f>IF('Données projet'!$A$114&gt;35,BY40+BX41-CG40,IF(A41&lt;'Données projet'!$A$114,$BV$205^A41,IF(A41='Données projet'!$A$114,'Données projet'!$B$114,BY40+BX41-CG40)))</f>
        <v>359.08428571428573</v>
      </c>
      <c r="BZ41" s="13">
        <f>BY41*VLOOKUP('Données projet'!$B$12,Paramètres!$A$1:$I$89,3,0)*VLOOKUP('Données projet'!$B$12,Paramètres!$A$1:$I$89,5,0)</f>
        <v>200.72811571428574</v>
      </c>
      <c r="CA41" s="13">
        <f t="shared" si="39"/>
        <v>49.904151662519681</v>
      </c>
      <c r="CB41" s="20">
        <f t="shared" si="10"/>
        <v>436.51786568126948</v>
      </c>
      <c r="CC41" s="59">
        <f t="shared" si="11"/>
        <v>712.88017260028391</v>
      </c>
      <c r="CD41" s="59">
        <f ca="1">AVERAGE(OFFSET($CC$3,0,0,'Données projet'!$E$12+1,1))-AVERAGE(OFFSET($H$3,0,0,'Données projet'!$E$12+1,1))</f>
        <v>394.00476121021177</v>
      </c>
      <c r="CE41" s="59">
        <f t="shared" si="40"/>
        <v>363.10016759175278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30.354265523673853</v>
      </c>
      <c r="CL41" s="21">
        <f>EXP(-LN(2)/25)*CL40+(1-EXP(-LN(2)/25))/(LN(2)/25)*Calculateur!CG41*Calculateur!CI41*VLOOKUP('Données projet'!$B$12,Paramètres!$A$1:$I$89,3,0)*0.475*44/12</f>
        <v>20.247977280473094</v>
      </c>
      <c r="CM41" s="21">
        <f>EXP(-LN(2)/2)*CM40+(1-EXP(-LN(2)/2))/(LN(2)/2)*CG41*CJ41*VLOOKUP('Données projet'!$B$12,Paramètres!$A$1:$I$89,3,0)*0.475*44/12</f>
        <v>4.4314665757143734</v>
      </c>
      <c r="CN41" s="22">
        <f t="shared" si="12"/>
        <v>55.033709379861321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65.371538250640313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3">
        <f>'Scénario référence'!$B$16*5+'Scénario référence'!$B$17*0+'Scénario référence'!$B$18*5</f>
        <v>1.7999999999999998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6.5999999999999988</v>
      </c>
      <c r="H42" s="67">
        <f t="shared" si="1"/>
        <v>230.26666666666665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593.28537625759873</v>
      </c>
      <c r="S42" s="59">
        <f ca="1">AVERAGE(OFFSET($R$3,0,0,'Données projet'!$E$9+1,1))-AVERAGE(OFFSET($H$3,0,0,'Données projet'!$E$9+1,1))</f>
        <v>652.18744712713965</v>
      </c>
      <c r="T42" s="59">
        <f t="shared" si="34"/>
        <v>288.65635870281199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16.583750000000002</v>
      </c>
      <c r="AI42" s="13">
        <f>IF('Données projet'!$A$62&gt;35,AI41+AH42-AQ41,IF(A42&lt;'Données projet'!$A$62,$AF$205^A42,IF(A42='Données projet'!$A$62,'Données projet'!$B$62,AI41+AH42-AQ41)))</f>
        <v>285.81125000000003</v>
      </c>
      <c r="AJ42" s="13">
        <f>AI42*VLOOKUP('Données projet'!$B$10,Paramètres!$A$1:$I$89,3,0)*VLOOKUP('Données projet'!$B$10,Paramètres!$A$1:$I$89,5,0)</f>
        <v>170.91512750000004</v>
      </c>
      <c r="AK42" s="13">
        <f t="shared" si="35"/>
        <v>43.294917618591782</v>
      </c>
      <c r="AL42" s="20">
        <f t="shared" si="4"/>
        <v>373.08249524821412</v>
      </c>
      <c r="AM42" s="59">
        <f t="shared" si="5"/>
        <v>649.73921153398601</v>
      </c>
      <c r="AN42" s="59">
        <f ca="1">AVERAGE(OFFSET($AM$3,0,0,'Données projet'!$E$10+1,1))-AVERAGE(OFFSET($H$3,0,0,'Données projet'!$E$10+1,1))</f>
        <v>307.94699176410495</v>
      </c>
      <c r="AO42" s="59">
        <f t="shared" si="36"/>
        <v>314.22983137038875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28.895239528850777</v>
      </c>
      <c r="AV42" s="21">
        <f>EXP(-LN(2)/25)*AV41+(1-EXP(-LN(2)/25))/(LN(2)/25)*Calculateur!AQ42*Calculateur!AS42*VLOOKUP('Données projet'!$B$10,Paramètres!$A$1:$I$89,3,0)*0.475*44/12</f>
        <v>16.87533189136856</v>
      </c>
      <c r="AW42" s="21">
        <f>EXP(-LN(2)/2)*AW41+(1-EXP(-LN(2)/2))/(LN(2)/2)*AQ42*AT42*VLOOKUP('Données projet'!$B$10,Paramètres!$A$1:$I$89,3,0)*0.475*44/12</f>
        <v>3.961113822438838</v>
      </c>
      <c r="AX42" s="21">
        <f t="shared" si="6"/>
        <v>49.73168524265818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8.2014285714285702</v>
      </c>
      <c r="BD42" s="12">
        <f>IF('Données projet'!$A$88&gt;35,BD41+BC42-BL41,IF(A42&lt;'Données projet'!$A$88,$BA$205^A42,IF(A42='Données projet'!$A$88,'Données projet'!$B$88,BD41+BC42-BL41)))</f>
        <v>319.85571428571421</v>
      </c>
      <c r="BE42" s="13">
        <f>BD42*VLOOKUP('Données projet'!$B$11,Paramètres!$A$1:$I$89,3,0)*VLOOKUP('Données projet'!$B$11,Paramètres!$A$1:$I$89,5,0)</f>
        <v>149.69247428571424</v>
      </c>
      <c r="BF42" s="13">
        <f t="shared" si="37"/>
        <v>38.508690953564773</v>
      </c>
      <c r="BG42" s="20">
        <f t="shared" si="7"/>
        <v>327.7836961250776</v>
      </c>
      <c r="BH42" s="59">
        <f t="shared" si="8"/>
        <v>604.44041241084949</v>
      </c>
      <c r="BI42" s="59">
        <f ca="1">AVERAGE(OFFSET($BH$3,0,0,'Données projet'!$E$11+1,1))-AVERAGE(OFFSET($H$3,0,0,'Données projet'!$E$11+1,1))</f>
        <v>346.55780187946573</v>
      </c>
      <c r="BJ42" s="59">
        <f t="shared" si="38"/>
        <v>297.28652094809149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22.851428571428578</v>
      </c>
      <c r="BY42" s="12">
        <f>IF('Données projet'!$A$114&gt;35,BY41+BX42-CG41,IF(A42&lt;'Données projet'!$A$114,$BV$205^A42,IF(A42='Données projet'!$A$114,'Données projet'!$B$114,BY41+BX42-CG41)))</f>
        <v>381.93571428571431</v>
      </c>
      <c r="BZ42" s="13">
        <f>BY42*VLOOKUP('Données projet'!$B$12,Paramètres!$A$1:$I$89,3,0)*VLOOKUP('Données projet'!$B$12,Paramètres!$A$1:$I$89,5,0)</f>
        <v>213.50206428571431</v>
      </c>
      <c r="CA42" s="13">
        <f t="shared" si="39"/>
        <v>52.700136656354076</v>
      </c>
      <c r="CB42" s="20">
        <f t="shared" si="10"/>
        <v>463.6354999741024</v>
      </c>
      <c r="CC42" s="59">
        <f t="shared" si="11"/>
        <v>740.29221625987429</v>
      </c>
      <c r="CD42" s="59">
        <f ca="1">AVERAGE(OFFSET($CC$3,0,0,'Données projet'!$E$12+1,1))-AVERAGE(OFFSET($H$3,0,0,'Données projet'!$E$12+1,1))</f>
        <v>394.00476121021177</v>
      </c>
      <c r="CE42" s="59">
        <f t="shared" si="40"/>
        <v>363.10016759175278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29.759036891028444</v>
      </c>
      <c r="CL42" s="21">
        <f>EXP(-LN(2)/25)*CL41+(1-EXP(-LN(2)/25))/(LN(2)/25)*Calculateur!CG42*Calculateur!CI42*VLOOKUP('Données projet'!$B$12,Paramètres!$A$1:$I$89,3,0)*0.475*44/12</f>
        <v>19.694295276943709</v>
      </c>
      <c r="CM42" s="21">
        <f>EXP(-LN(2)/2)*CM41+(1-EXP(-LN(2)/2))/(LN(2)/2)*CG42*CJ42*VLOOKUP('Données projet'!$B$12,Paramètres!$A$1:$I$89,3,0)*0.475*44/12</f>
        <v>3.1335200662891629</v>
      </c>
      <c r="CN42" s="22">
        <f t="shared" si="12"/>
        <v>52.586852234261315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65.451831714301434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3">
        <f>'Scénario référence'!$B$16*5+'Scénario référence'!$B$17*0+'Scénario référence'!$B$18*5</f>
        <v>1.7999999999999998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6.5999999999999988</v>
      </c>
      <c r="H43" s="67">
        <f t="shared" si="1"/>
        <v>230.26666666666665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601.4971853772206</v>
      </c>
      <c r="S43" s="59">
        <f ca="1">AVERAGE(OFFSET($R$3,0,0,'Données projet'!$E$9+1,1))-AVERAGE(OFFSET($H$3,0,0,'Données projet'!$E$9+1,1))</f>
        <v>652.18744712713965</v>
      </c>
      <c r="T43" s="59">
        <f t="shared" si="34"/>
        <v>288.65635870281199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16.583750000000002</v>
      </c>
      <c r="AI43" s="13">
        <f>IF('Données projet'!$A$62&gt;35,AI42+AH43-AQ42,IF(A43&lt;'Données projet'!$A$62,$AF$205^A43,IF(A43='Données projet'!$A$62,'Données projet'!$B$62,AI42+AH43-AQ42)))</f>
        <v>302.39500000000004</v>
      </c>
      <c r="AJ43" s="13">
        <f>AI43*VLOOKUP('Données projet'!$B$10,Paramètres!$A$1:$I$89,3,0)*VLOOKUP('Données projet'!$B$10,Paramètres!$A$1:$I$89,5,0)</f>
        <v>180.83221000000003</v>
      </c>
      <c r="AK43" s="13">
        <f t="shared" si="35"/>
        <v>45.507287823747916</v>
      </c>
      <c r="AL43" s="20">
        <f t="shared" si="4"/>
        <v>394.20795870969431</v>
      </c>
      <c r="AM43" s="59">
        <f t="shared" si="5"/>
        <v>671.15397701791107</v>
      </c>
      <c r="AN43" s="59">
        <f ca="1">AVERAGE(OFFSET($AM$3,0,0,'Données projet'!$E$10+1,1))-AVERAGE(OFFSET($H$3,0,0,'Données projet'!$E$10+1,1))</f>
        <v>307.94699176410495</v>
      </c>
      <c r="AO43" s="59">
        <f t="shared" si="36"/>
        <v>314.22983137038875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28.328621506045867</v>
      </c>
      <c r="AV43" s="21">
        <f>EXP(-LN(2)/25)*AV42+(1-EXP(-LN(2)/25))/(LN(2)/25)*Calculateur!AQ43*Calculateur!AS43*VLOOKUP('Données projet'!$B$10,Paramètres!$A$1:$I$89,3,0)*0.475*44/12</f>
        <v>16.413875053363952</v>
      </c>
      <c r="AW43" s="21">
        <f>EXP(-LN(2)/2)*AW42+(1-EXP(-LN(2)/2))/(LN(2)/2)*AQ43*AT43*VLOOKUP('Données projet'!$B$10,Paramètres!$A$1:$I$89,3,0)*0.475*44/12</f>
        <v>2.8009304448982686</v>
      </c>
      <c r="AX43" s="21">
        <f t="shared" si="6"/>
        <v>47.543427004308086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8.2014285714285702</v>
      </c>
      <c r="BD43" s="12">
        <f>IF('Données projet'!$A$88&gt;35,BD42+BC43-BL42,IF(A43&lt;'Données projet'!$A$88,$BA$205^A43,IF(A43='Données projet'!$A$88,'Données projet'!$B$88,BD42+BC43-BL42)))</f>
        <v>328.05714285714276</v>
      </c>
      <c r="BE43" s="13">
        <f>BD43*VLOOKUP('Données projet'!$B$11,Paramètres!$A$1:$I$89,3,0)*VLOOKUP('Données projet'!$B$11,Paramètres!$A$1:$I$89,5,0)</f>
        <v>153.5307428571428</v>
      </c>
      <c r="BF43" s="13">
        <f t="shared" si="37"/>
        <v>39.379869920044555</v>
      </c>
      <c r="BG43" s="20">
        <f t="shared" si="7"/>
        <v>335.98598392026793</v>
      </c>
      <c r="BH43" s="59">
        <f t="shared" si="8"/>
        <v>612.93200222848475</v>
      </c>
      <c r="BI43" s="59">
        <f ca="1">AVERAGE(OFFSET($BH$3,0,0,'Données projet'!$E$11+1,1))-AVERAGE(OFFSET($H$3,0,0,'Données projet'!$E$11+1,1))</f>
        <v>346.55780187946573</v>
      </c>
      <c r="BJ43" s="59">
        <f t="shared" si="38"/>
        <v>297.28652094809149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22.851428571428578</v>
      </c>
      <c r="BY43" s="12">
        <f>IF('Données projet'!$A$114&gt;35,BY42+BX43-CG42,IF(A43&lt;'Données projet'!$A$114,$BV$205^A43,IF(A43='Données projet'!$A$114,'Données projet'!$B$114,BY42+BX43-CG42)))</f>
        <v>404.7871428571429</v>
      </c>
      <c r="BZ43" s="13">
        <f>BY43*VLOOKUP('Données projet'!$B$12,Paramètres!$A$1:$I$89,3,0)*VLOOKUP('Données projet'!$B$12,Paramètres!$A$1:$I$89,5,0)</f>
        <v>226.27601285714289</v>
      </c>
      <c r="CA43" s="13">
        <f t="shared" si="39"/>
        <v>55.476705055614268</v>
      </c>
      <c r="CB43" s="20">
        <f t="shared" si="10"/>
        <v>490.71931703138534</v>
      </c>
      <c r="CC43" s="59">
        <f t="shared" si="11"/>
        <v>767.66533533960217</v>
      </c>
      <c r="CD43" s="59">
        <f ca="1">AVERAGE(OFFSET($CC$3,0,0,'Données projet'!$E$12+1,1))-AVERAGE(OFFSET($H$3,0,0,'Données projet'!$E$12+1,1))</f>
        <v>394.00476121021177</v>
      </c>
      <c r="CE43" s="59">
        <f t="shared" si="40"/>
        <v>363.10016759175278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29.175480328815595</v>
      </c>
      <c r="CL43" s="21">
        <f>EXP(-LN(2)/25)*CL42+(1-EXP(-LN(2)/25))/(LN(2)/25)*Calculateur!CG43*Calculateur!CI43*VLOOKUP('Données projet'!$B$12,Paramètres!$A$1:$I$89,3,0)*0.475*44/12</f>
        <v>19.155753736917706</v>
      </c>
      <c r="CM43" s="21">
        <f>EXP(-LN(2)/2)*CM42+(1-EXP(-LN(2)/2))/(LN(2)/2)*CG43*CJ43*VLOOKUP('Données projet'!$B$12,Paramètres!$A$1:$I$89,3,0)*0.475*44/12</f>
        <v>2.2157332878571872</v>
      </c>
      <c r="CN43" s="22">
        <f t="shared" si="12"/>
        <v>50.546967353590489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65.530732265877319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3">
        <f>'Scénario référence'!$B$16*5+'Scénario référence'!$B$17*0+'Scénario référence'!$B$18*5</f>
        <v>1.7999999999999998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6.5999999999999988</v>
      </c>
      <c r="H44" s="67">
        <f t="shared" si="1"/>
        <v>230.26666666666665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609.69970238888277</v>
      </c>
      <c r="S44" s="59">
        <f ca="1">AVERAGE(OFFSET($R$3,0,0,'Données projet'!$E$9+1,1))-AVERAGE(OFFSET($H$3,0,0,'Données projet'!$E$9+1,1))</f>
        <v>652.18744712713965</v>
      </c>
      <c r="T44" s="59">
        <f t="shared" si="34"/>
        <v>288.65635870281199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16.583750000000002</v>
      </c>
      <c r="AI44" s="13">
        <f>IF('Données projet'!$A$62&gt;35,AI43+AH44-AQ43,IF(A44&lt;'Données projet'!$A$62,$AF$205^A44,IF(A44='Données projet'!$A$62,'Données projet'!$B$62,AI43+AH44-AQ43)))</f>
        <v>318.97875000000005</v>
      </c>
      <c r="AJ44" s="13">
        <f>AI44*VLOOKUP('Données projet'!$B$10,Paramètres!$A$1:$I$89,3,0)*VLOOKUP('Données projet'!$B$10,Paramètres!$A$1:$I$89,5,0)</f>
        <v>190.74929250000002</v>
      </c>
      <c r="AK44" s="13">
        <f t="shared" si="35"/>
        <v>47.705572818216723</v>
      </c>
      <c r="AL44" s="20">
        <f t="shared" si="4"/>
        <v>415.30889042922746</v>
      </c>
      <c r="AM44" s="59">
        <f t="shared" si="5"/>
        <v>692.53919201658221</v>
      </c>
      <c r="AN44" s="59">
        <f ca="1">AVERAGE(OFFSET($AM$3,0,0,'Données projet'!$E$10+1,1))-AVERAGE(OFFSET($H$3,0,0,'Données projet'!$E$10+1,1))</f>
        <v>307.94699176410495</v>
      </c>
      <c r="AO44" s="59">
        <f t="shared" si="36"/>
        <v>314.22983137038875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27.773114517065292</v>
      </c>
      <c r="AV44" s="21">
        <f>EXP(-LN(2)/25)*AV43+(1-EXP(-LN(2)/25))/(LN(2)/25)*Calculateur!AQ44*Calculateur!AS44*VLOOKUP('Données projet'!$B$10,Paramètres!$A$1:$I$89,3,0)*0.475*44/12</f>
        <v>15.96503677686154</v>
      </c>
      <c r="AW44" s="21">
        <f>EXP(-LN(2)/2)*AW43+(1-EXP(-LN(2)/2))/(LN(2)/2)*AQ44*AT44*VLOOKUP('Données projet'!$B$10,Paramètres!$A$1:$I$89,3,0)*0.475*44/12</f>
        <v>1.9805569112194195</v>
      </c>
      <c r="AX44" s="21">
        <f t="shared" si="6"/>
        <v>45.71870820514625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8.2014285714285702</v>
      </c>
      <c r="BD44" s="12">
        <f>IF('Données projet'!$A$88&gt;35,BD43+BC44-BL43,IF(A44&lt;'Données projet'!$A$88,$BA$205^A44,IF(A44='Données projet'!$A$88,'Données projet'!$B$88,BD43+BC44-BL43)))</f>
        <v>336.25857142857132</v>
      </c>
      <c r="BE44" s="13">
        <f>BD44*VLOOKUP('Données projet'!$B$11,Paramètres!$A$1:$I$89,3,0)*VLOOKUP('Données projet'!$B$11,Paramètres!$A$1:$I$89,5,0)</f>
        <v>157.36901142857138</v>
      </c>
      <c r="BF44" s="13">
        <f t="shared" si="37"/>
        <v>40.248517162065561</v>
      </c>
      <c r="BG44" s="20">
        <f t="shared" si="7"/>
        <v>344.18386229535935</v>
      </c>
      <c r="BH44" s="59">
        <f t="shared" si="8"/>
        <v>621.41416388271409</v>
      </c>
      <c r="BI44" s="59">
        <f ca="1">AVERAGE(OFFSET($BH$3,0,0,'Données projet'!$E$11+1,1))-AVERAGE(OFFSET($H$3,0,0,'Données projet'!$E$11+1,1))</f>
        <v>346.55780187946573</v>
      </c>
      <c r="BJ44" s="59">
        <f t="shared" si="38"/>
        <v>297.28652094809149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22.851428571428578</v>
      </c>
      <c r="BY44" s="12">
        <f>IF('Données projet'!$A$114&gt;35,BY43+BX44-CG43,IF(A44&lt;'Données projet'!$A$114,$BV$205^A44,IF(A44='Données projet'!$A$114,'Données projet'!$B$114,BY43+BX44-CG43)))</f>
        <v>427.63857142857148</v>
      </c>
      <c r="BZ44" s="13">
        <f>BY44*VLOOKUP('Données projet'!$B$12,Paramètres!$A$1:$I$89,3,0)*VLOOKUP('Données projet'!$B$12,Paramètres!$A$1:$I$89,5,0)</f>
        <v>239.04996142857144</v>
      </c>
      <c r="CA44" s="13">
        <f t="shared" si="39"/>
        <v>58.235077894233235</v>
      </c>
      <c r="CB44" s="20">
        <f t="shared" si="10"/>
        <v>517.77144348721811</v>
      </c>
      <c r="CC44" s="59">
        <f t="shared" si="11"/>
        <v>795.00174507457291</v>
      </c>
      <c r="CD44" s="59">
        <f ca="1">AVERAGE(OFFSET($CC$3,0,0,'Données projet'!$E$12+1,1))-AVERAGE(OFFSET($H$3,0,0,'Données projet'!$E$12+1,1))</f>
        <v>394.00476121021177</v>
      </c>
      <c r="CE44" s="59">
        <f t="shared" si="40"/>
        <v>363.10016759175278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28.603366954853385</v>
      </c>
      <c r="CL44" s="21">
        <f>EXP(-LN(2)/25)*CL43+(1-EXP(-LN(2)/25))/(LN(2)/25)*Calculateur!CG44*Calculateur!CI44*VLOOKUP('Données projet'!$B$12,Paramètres!$A$1:$I$89,3,0)*0.475*44/12</f>
        <v>18.631938643624384</v>
      </c>
      <c r="CM44" s="21">
        <f>EXP(-LN(2)/2)*CM43+(1-EXP(-LN(2)/2))/(LN(2)/2)*CG44*CJ44*VLOOKUP('Données projet'!$B$12,Paramètres!$A$1:$I$89,3,0)*0.475*44/12</f>
        <v>1.5667600331445817</v>
      </c>
      <c r="CN44" s="22">
        <f t="shared" si="12"/>
        <v>48.802065631622348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65.608264069278576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3">
        <f>'Scénario référence'!$B$16*5+'Scénario référence'!$B$17*0+'Scénario référence'!$B$18*5</f>
        <v>1.7999999999999998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6.5999999999999988</v>
      </c>
      <c r="H45" s="67">
        <f t="shared" si="1"/>
        <v>230.26666666666665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617.89313057543916</v>
      </c>
      <c r="S45" s="59">
        <f ca="1">AVERAGE(OFFSET($R$3,0,0,'Données projet'!$E$9+1,1))-AVERAGE(OFFSET($H$3,0,0,'Données projet'!$E$9+1,1))</f>
        <v>652.18744712713965</v>
      </c>
      <c r="T45" s="59">
        <f t="shared" si="34"/>
        <v>288.65635870281199</v>
      </c>
      <c r="U45" s="15">
        <f>IF(ISNA(VLOOKUP(A45,'Données projet'!$A$35:$I$55,3,0)),0,VLOOKUP(A45,'Données projet'!$A$35:$I$55,3,0))</f>
        <v>3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16.583750000000002</v>
      </c>
      <c r="AI45" s="13">
        <f>IF('Données projet'!$A$62&gt;35,AI44+AH45-AQ44,IF(A45&lt;'Données projet'!$A$62,$AF$205^A45,IF(A45='Données projet'!$A$62,'Données projet'!$B$62,AI44+AH45-AQ44)))</f>
        <v>335.56250000000006</v>
      </c>
      <c r="AJ45" s="13">
        <f>AI45*VLOOKUP('Données projet'!$B$10,Paramètres!$A$1:$I$89,3,0)*VLOOKUP('Données projet'!$B$10,Paramètres!$A$1:$I$89,5,0)</f>
        <v>200.66637500000007</v>
      </c>
      <c r="AK45" s="13">
        <f t="shared" si="35"/>
        <v>49.890588417680917</v>
      </c>
      <c r="AL45" s="20">
        <f t="shared" si="4"/>
        <v>436.38671128579443</v>
      </c>
      <c r="AM45" s="59">
        <f t="shared" si="5"/>
        <v>713.89636447295629</v>
      </c>
      <c r="AN45" s="59">
        <f ca="1">AVERAGE(OFFSET($AM$3,0,0,'Données projet'!$E$10+1,1))-AVERAGE(OFFSET($H$3,0,0,'Données projet'!$E$10+1,1))</f>
        <v>307.94699176410495</v>
      </c>
      <c r="AO45" s="59">
        <f t="shared" si="36"/>
        <v>314.22983137038875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27.228500681312816</v>
      </c>
      <c r="AV45" s="21">
        <f>EXP(-LN(2)/25)*AV44+(1-EXP(-LN(2)/25))/(LN(2)/25)*Calculateur!AQ45*Calculateur!AS45*VLOOKUP('Données projet'!$B$10,Paramètres!$A$1:$I$89,3,0)*0.475*44/12</f>
        <v>15.528472006633466</v>
      </c>
      <c r="AW45" s="21">
        <f>EXP(-LN(2)/2)*AW44+(1-EXP(-LN(2)/2))/(LN(2)/2)*AQ45*AT45*VLOOKUP('Données projet'!$B$10,Paramètres!$A$1:$I$89,3,0)*0.475*44/12</f>
        <v>1.4004652224491345</v>
      </c>
      <c r="AX45" s="21">
        <f t="shared" si="6"/>
        <v>44.157437910395416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344.46</v>
      </c>
      <c r="BB45" s="12">
        <f>VLOOKUP(A45,'Données projet'!$A$87:$I$107,9,0)</f>
        <v>8.2014285714285702</v>
      </c>
      <c r="BC45" s="12">
        <f t="array" ref="BC45">INDEX(BB:BB,MIN(IF(ISNUMBER(BB45:BB241),ROW(BB45:BB241),"")))</f>
        <v>8.2014285714285702</v>
      </c>
      <c r="BD45" s="12">
        <f>IF('Données projet'!$A$88&gt;35,BD44+BC45-BL44,IF(A45&lt;'Données projet'!$A$88,$BA$205^A45,IF(A45='Données projet'!$A$88,'Données projet'!$B$88,BD44+BC45-BL44)))</f>
        <v>344.45999999999987</v>
      </c>
      <c r="BE45" s="13">
        <f>BD45*VLOOKUP('Données projet'!$B$11,Paramètres!$A$1:$I$89,3,0)*VLOOKUP('Données projet'!$B$11,Paramètres!$A$1:$I$89,5,0)</f>
        <v>161.20727999999994</v>
      </c>
      <c r="BF45" s="13">
        <f t="shared" si="37"/>
        <v>41.114701532674296</v>
      </c>
      <c r="BG45" s="20">
        <f t="shared" si="7"/>
        <v>352.37745116940761</v>
      </c>
      <c r="BH45" s="59">
        <f t="shared" si="8"/>
        <v>629.88710435656947</v>
      </c>
      <c r="BI45" s="59">
        <f ca="1">AVERAGE(OFFSET($BH$3,0,0,'Données projet'!$E$11+1,1))-AVERAGE(OFFSET($H$3,0,0,'Données projet'!$E$11+1,1))</f>
        <v>346.55780187946573</v>
      </c>
      <c r="BJ45" s="59">
        <f t="shared" si="38"/>
        <v>297.28652094809149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107.08999999999997</v>
      </c>
      <c r="BM45" s="16">
        <f>IF(ISNA(VLOOKUP(A45,'Données projet'!$A$87:$I$107,5,0)),0%,VLOOKUP(A45,'Données projet'!$A$87:$I$107,5,0)*VLOOKUP('Données projet'!$B$11,Paramètres!$A$1:$I$89,7,0))</f>
        <v>0.13750000000000001</v>
      </c>
      <c r="BN45" s="16">
        <f>IF(ISNA(VLOOKUP(A45,'Données projet'!$A$87:$I$107,6,0)),0%,VLOOKUP(A45,'Données projet'!$A$87:$I$107,6,0)*VLOOKUP('Données projet'!$B$11,Paramètres!$A$1:$I$89,7,0))</f>
        <v>0.20350000000000001</v>
      </c>
      <c r="BO45" s="16">
        <f>IF(ISNA(VLOOKUP(A45,'Données projet'!$A$87:$I$107,7,0)),0%,VLOOKUP(A45,'Données projet'!$A$87:$I$107,7,0))</f>
        <v>0.38</v>
      </c>
      <c r="BP45" s="21">
        <f>EXP(-LN(2)/35)*BP44+(1-EXP(-LN(2)/35))/(LN(2)/35)*BL45*BM45*VLOOKUP('Données projet'!$B$11,Paramètres!$A$1:$I$89,3,0)*0.475*44/12</f>
        <v>9.1416760277498579</v>
      </c>
      <c r="BQ45" s="21">
        <f>EXP(-LN(2)/25)*BQ44+(1-EXP(-LN(2)/25))/(LN(2)/25)*Calculateur!BL45*Calculateur!BN45*VLOOKUP('Données projet'!$B$11,Paramètres!$A$1:$I$89,3,0)*0.475*44/12</f>
        <v>13.476409013645899</v>
      </c>
      <c r="BR45" s="21">
        <f>EXP(-LN(2)/2)*BR44+(1-EXP(-LN(2)/2))/(LN(2)/2)*BL45*BO45*VLOOKUP('Données projet'!$B$11,Paramètres!$A$1:$I$89,3,0)*0.475*44/12</f>
        <v>21.563234579016697</v>
      </c>
      <c r="BS45" s="22">
        <f t="shared" si="9"/>
        <v>44.181319620412452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450.49</v>
      </c>
      <c r="BW45" s="12">
        <f>VLOOKUP(A45,'Données projet'!$A$113:$I$133,9,0)</f>
        <v>22.851428571428578</v>
      </c>
      <c r="BX45" s="12">
        <f t="array" ref="BX45">INDEX(BW:BW,MIN(IF(ISNUMBER(BW45:BW241),ROW(BW45:BW241),"")))</f>
        <v>22.851428571428578</v>
      </c>
      <c r="BY45" s="12">
        <f>IF('Données projet'!$A$114&gt;35,BY44+BX45-CG44,IF(A45&lt;'Données projet'!$A$114,$BV$205^A45,IF(A45='Données projet'!$A$114,'Données projet'!$B$114,BY44+BX45-CG44)))</f>
        <v>450.49000000000007</v>
      </c>
      <c r="BZ45" s="13">
        <f>BY45*VLOOKUP('Données projet'!$B$12,Paramètres!$A$1:$I$89,3,0)*VLOOKUP('Données projet'!$B$12,Paramètres!$A$1:$I$89,5,0)</f>
        <v>251.82391000000004</v>
      </c>
      <c r="CA45" s="13">
        <f t="shared" si="39"/>
        <v>60.976338340878812</v>
      </c>
      <c r="CB45" s="20">
        <f t="shared" si="10"/>
        <v>544.79376586036392</v>
      </c>
      <c r="CC45" s="59">
        <f t="shared" si="11"/>
        <v>822.30341904752572</v>
      </c>
      <c r="CD45" s="59">
        <f ca="1">AVERAGE(OFFSET($CC$3,0,0,'Données projet'!$E$12+1,1))-AVERAGE(OFFSET($H$3,0,0,'Données projet'!$E$12+1,1))</f>
        <v>394.00476121021177</v>
      </c>
      <c r="CE45" s="59">
        <f t="shared" si="40"/>
        <v>363.10016759175278</v>
      </c>
      <c r="CF45" s="15">
        <f>IF(ISNA(VLOOKUP(A45,'Données projet'!$A$113:$I$133,3,0)),0,VLOOKUP(A45,'Données projet'!$A$113:$I$133,3,0))</f>
        <v>4</v>
      </c>
      <c r="CG45" s="15">
        <f>IF(ISNA(VLOOKUP(A45,'Données projet'!$A$113:$I$133,4,0)),0,VLOOKUP(A45,'Données projet'!$A$113:$I$133,4,0))</f>
        <v>100.04000000000002</v>
      </c>
      <c r="CH45" s="16">
        <f>IF(ISNA(VLOOKUP(A45,'Données projet'!$A$113:$I$133,5,0)),0%,VLOOKUP(A45,'Données projet'!$A$113:$I$133,5,0)*VLOOKUP('Données projet'!$B$12,Paramètres!$A$1:$I$89,7,0))</f>
        <v>0.33</v>
      </c>
      <c r="CI45" s="16">
        <f>IF(ISNA(VLOOKUP(A45,'Données projet'!$A$113:$I$133,6,0)),0%,VLOOKUP(A45,'Données projet'!$A$113:$I$133,6,0)*VLOOKUP('Données projet'!$B$12,Paramètres!$A$1:$I$89,7,0))</f>
        <v>0.11000000000000001</v>
      </c>
      <c r="CJ45" s="16">
        <f>IF(ISNA(VLOOKUP(A45,'Données projet'!$A$113:$I$133,7,0)),0%,VLOOKUP(A45,'Données projet'!$A$113:$I$133,7,0))</f>
        <v>0.2</v>
      </c>
      <c r="CK45" s="21">
        <f>EXP(-LN(2)/35)*CK44+(1-EXP(-LN(2)/35))/(LN(2)/35)*CG45*CH45*VLOOKUP('Données projet'!$B$12,Paramètres!$A$1:$I$89,3,0)*0.475*44/12</f>
        <v>52.523395338496876</v>
      </c>
      <c r="CL45" s="21">
        <f>EXP(-LN(2)/25)*CL44+(1-EXP(-LN(2)/25))/(LN(2)/25)*Calculateur!CG45*Calculateur!CI45*VLOOKUP('Données projet'!$B$12,Paramètres!$A$1:$I$89,3,0)*0.475*44/12</f>
        <v>26.250624715479255</v>
      </c>
      <c r="CM45" s="21">
        <f>EXP(-LN(2)/2)*CM44+(1-EXP(-LN(2)/2))/(LN(2)/2)*CG45*CJ45*VLOOKUP('Données projet'!$B$12,Paramètres!$A$1:$I$89,3,0)*0.475*44/12</f>
        <v>13.771287073109026</v>
      </c>
      <c r="CN45" s="22">
        <f t="shared" si="12"/>
        <v>92.545307127085152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65.684450869225955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3">
        <f>'Scénario référence'!$B$16*5+'Scénario référence'!$B$17*0+'Scénario référence'!$B$18*5</f>
        <v>1.7999999999999998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6.5999999999999988</v>
      </c>
      <c r="H46" s="67">
        <f t="shared" si="1"/>
        <v>230.26666666666665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551.53633895520716</v>
      </c>
      <c r="S46" s="59">
        <f ca="1">AVERAGE(OFFSET($R$3,0,0,'Données projet'!$E$9+1,1))-AVERAGE(OFFSET($H$3,0,0,'Données projet'!$E$9+1,1))</f>
        <v>652.18744712713965</v>
      </c>
      <c r="T46" s="59">
        <f t="shared" si="34"/>
        <v>288.65635870281199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16.583750000000002</v>
      </c>
      <c r="AI46" s="13">
        <f>IF('Données projet'!$A$62&gt;35,AI45+AH46-AQ45,IF(A46&lt;'Données projet'!$A$62,$AF$205^A46,IF(A46='Données projet'!$A$62,'Données projet'!$B$62,AI45+AH46-AQ45)))</f>
        <v>352.14625000000007</v>
      </c>
      <c r="AJ46" s="13">
        <f>AI46*VLOOKUP('Données projet'!$B$10,Paramètres!$A$1:$I$89,3,0)*VLOOKUP('Données projet'!$B$10,Paramètres!$A$1:$I$89,5,0)</f>
        <v>210.58345750000007</v>
      </c>
      <c r="AK46" s="13">
        <f t="shared" si="35"/>
        <v>52.063065246002132</v>
      </c>
      <c r="AL46" s="20">
        <f t="shared" si="4"/>
        <v>457.44269378262044</v>
      </c>
      <c r="AM46" s="59">
        <f t="shared" si="5"/>
        <v>735.22685244386935</v>
      </c>
      <c r="AN46" s="59">
        <f ca="1">AVERAGE(OFFSET($AM$3,0,0,'Données projet'!$E$10+1,1))-AVERAGE(OFFSET($H$3,0,0,'Données projet'!$E$10+1,1))</f>
        <v>307.94699176410495</v>
      </c>
      <c r="AO46" s="59">
        <f t="shared" si="36"/>
        <v>314.22983137038875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26.694566390697808</v>
      </c>
      <c r="AV46" s="21">
        <f>EXP(-LN(2)/25)*AV45+(1-EXP(-LN(2)/25))/(LN(2)/25)*Calculateur!AQ46*Calculateur!AS46*VLOOKUP('Données projet'!$B$10,Paramètres!$A$1:$I$89,3,0)*0.475*44/12</f>
        <v>15.103845123005222</v>
      </c>
      <c r="AW46" s="21">
        <f>EXP(-LN(2)/2)*AW45+(1-EXP(-LN(2)/2))/(LN(2)/2)*AQ46*AT46*VLOOKUP('Données projet'!$B$10,Paramètres!$A$1:$I$89,3,0)*0.475*44/12</f>
        <v>0.99027845560970984</v>
      </c>
      <c r="AX46" s="21">
        <f t="shared" si="6"/>
        <v>42.788689969312742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17.29</v>
      </c>
      <c r="BD46" s="12">
        <f>IF('Données projet'!$A$88&gt;35,BD45+BC46-BL45,IF(A46&lt;'Données projet'!$A$88,$BA$205^A46,IF(A46='Données projet'!$A$88,'Données projet'!$B$88,BD45+BC46-BL45)))</f>
        <v>254.65999999999991</v>
      </c>
      <c r="BE46" s="13">
        <f>BD46*VLOOKUP('Données projet'!$B$11,Paramètres!$A$1:$I$89,3,0)*VLOOKUP('Données projet'!$B$11,Paramètres!$A$1:$I$89,5,0)</f>
        <v>119.18087999999996</v>
      </c>
      <c r="BF46" s="13">
        <f t="shared" si="37"/>
        <v>31.483876914537184</v>
      </c>
      <c r="BG46" s="20">
        <f t="shared" si="7"/>
        <v>262.40778495948553</v>
      </c>
      <c r="BH46" s="59">
        <f t="shared" si="8"/>
        <v>540.19194362073449</v>
      </c>
      <c r="BI46" s="59">
        <f ca="1">AVERAGE(OFFSET($BH$3,0,0,'Données projet'!$E$11+1,1))-AVERAGE(OFFSET($H$3,0,0,'Données projet'!$E$11+1,1))</f>
        <v>346.55780187946573</v>
      </c>
      <c r="BJ46" s="59">
        <f t="shared" si="38"/>
        <v>297.28652094809149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8.9624133367174892</v>
      </c>
      <c r="BQ46" s="21">
        <f>EXP(-LN(2)/25)*BQ45+(1-EXP(-LN(2)/25))/(LN(2)/25)*Calculateur!BL46*Calculateur!BN46*VLOOKUP('Données projet'!$B$11,Paramètres!$A$1:$I$89,3,0)*0.475*44/12</f>
        <v>13.107895900474203</v>
      </c>
      <c r="BR46" s="21">
        <f>EXP(-LN(2)/2)*BR45+(1-EXP(-LN(2)/2))/(LN(2)/2)*BL46*BO46*VLOOKUP('Données projet'!$B$11,Paramètres!$A$1:$I$89,3,0)*0.475*44/12</f>
        <v>15.247509395138955</v>
      </c>
      <c r="BS46" s="22">
        <f t="shared" si="9"/>
        <v>37.317818632330649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21.970000000000002</v>
      </c>
      <c r="BY46" s="12">
        <f>IF('Données projet'!$A$114&gt;35,BY45+BX46-CG45,IF(A46&lt;'Données projet'!$A$114,$BV$205^A46,IF(A46='Données projet'!$A$114,'Données projet'!$B$114,BY45+BX46-CG45)))</f>
        <v>372.42000000000007</v>
      </c>
      <c r="BZ46" s="13">
        <f>BY46*VLOOKUP('Données projet'!$B$12,Paramètres!$A$1:$I$89,3,0)*VLOOKUP('Données projet'!$B$12,Paramètres!$A$1:$I$89,5,0)</f>
        <v>208.18278000000007</v>
      </c>
      <c r="CA46" s="13">
        <f t="shared" si="39"/>
        <v>51.538276765249073</v>
      </c>
      <c r="CB46" s="20">
        <f t="shared" si="10"/>
        <v>452.34750719947556</v>
      </c>
      <c r="CC46" s="59">
        <f t="shared" si="11"/>
        <v>730.13166586072452</v>
      </c>
      <c r="CD46" s="59">
        <f ca="1">AVERAGE(OFFSET($CC$3,0,0,'Données projet'!$E$12+1,1))-AVERAGE(OFFSET($H$3,0,0,'Données projet'!$E$12+1,1))</f>
        <v>394.00476121021177</v>
      </c>
      <c r="CE46" s="59">
        <f t="shared" si="40"/>
        <v>363.10016759175278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51.493443592016803</v>
      </c>
      <c r="CL46" s="21">
        <f>EXP(-LN(2)/25)*CL45+(1-EXP(-LN(2)/25))/(LN(2)/25)*Calculateur!CG46*Calculateur!CI46*VLOOKUP('Données projet'!$B$12,Paramètres!$A$1:$I$89,3,0)*0.475*44/12</f>
        <v>25.532800002174117</v>
      </c>
      <c r="CM46" s="21">
        <f>EXP(-LN(2)/2)*CM45+(1-EXP(-LN(2)/2))/(LN(2)/2)*CG46*CJ46*VLOOKUP('Données projet'!$B$12,Paramètres!$A$1:$I$89,3,0)*0.475*44/12</f>
        <v>9.7377704750620353</v>
      </c>
      <c r="CN46" s="22">
        <f t="shared" si="12"/>
        <v>86.764014069252951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65.759315998522425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3">
        <f>'Scénario référence'!$B$16*5+'Scénario référence'!$B$17*0+'Scénario référence'!$B$18*5</f>
        <v>1.7999999999999998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6.5999999999999988</v>
      </c>
      <c r="H47" s="67">
        <f t="shared" si="1"/>
        <v>230.26666666666665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571.42271590611062</v>
      </c>
      <c r="S47" s="59">
        <f ca="1">AVERAGE(OFFSET($R$3,0,0,'Données projet'!$E$9+1,1))-AVERAGE(OFFSET($H$3,0,0,'Données projet'!$E$9+1,1))</f>
        <v>652.18744712713965</v>
      </c>
      <c r="T47" s="59">
        <f t="shared" si="34"/>
        <v>288.65635870281199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368.73</v>
      </c>
      <c r="AG47" s="12">
        <f>VLOOKUP(A47,'Données projet'!$A$61:$I$81,9,0)</f>
        <v>16.583750000000002</v>
      </c>
      <c r="AH47" s="12">
        <f t="array" ref="AH47">INDEX(AG:AG,MIN(IF(ISNUMBER(AG47:AG243),ROW(AG47:AG243),"")))</f>
        <v>16.583750000000002</v>
      </c>
      <c r="AI47" s="13">
        <f>IF('Données projet'!$A$62&gt;35,AI46+AH47-AQ46,IF(A47&lt;'Données projet'!$A$62,$AF$205^A47,IF(A47='Données projet'!$A$62,'Données projet'!$B$62,AI46+AH47-AQ46)))</f>
        <v>368.73000000000008</v>
      </c>
      <c r="AJ47" s="13">
        <f>AI47*VLOOKUP('Données projet'!$B$10,Paramètres!$A$1:$I$89,3,0)*VLOOKUP('Données projet'!$B$10,Paramètres!$A$1:$I$89,5,0)</f>
        <v>220.50054000000006</v>
      </c>
      <c r="AK47" s="13">
        <f t="shared" si="35"/>
        <v>54.223661223229719</v>
      </c>
      <c r="AL47" s="20">
        <f t="shared" si="4"/>
        <v>478.47798379712521</v>
      </c>
      <c r="AM47" s="59">
        <f t="shared" si="5"/>
        <v>756.53188587618808</v>
      </c>
      <c r="AN47" s="59">
        <f ca="1">AVERAGE(OFFSET($AM$3,0,0,'Données projet'!$E$10+1,1))-AVERAGE(OFFSET($H$3,0,0,'Données projet'!$E$10+1,1))</f>
        <v>307.94699176410495</v>
      </c>
      <c r="AO47" s="59">
        <f t="shared" si="36"/>
        <v>314.22983137038875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78.240000000000009</v>
      </c>
      <c r="AR47" s="16">
        <f>IF(ISNA(VLOOKUP(A47,'Données projet'!$A$61:$I$81,5,0)),0%,VLOOKUP(A47,'Données projet'!$A$61:$I$81,5,0)*VLOOKUP('Données projet'!$B$10,Paramètres!$A$1:$I$89,7,0))</f>
        <v>0.27</v>
      </c>
      <c r="AS47" s="16">
        <f>IF(ISNA(VLOOKUP(A47,'Données projet'!$A$61:$I$81,6,0)),0%,VLOOKUP(A47,'Données projet'!$A$61:$I$81,6,0)*VLOOKUP('Données projet'!$B$10,Paramètres!$A$1:$I$89,7,0))</f>
        <v>9.0000000000000011E-2</v>
      </c>
      <c r="AT47" s="16">
        <f>IF(ISNA(VLOOKUP(A47,'Données projet'!$A$61:$I$81,7,0)),0%,VLOOKUP(A47,'Données projet'!$A$61:$I$81,7,0))</f>
        <v>0.2</v>
      </c>
      <c r="AU47" s="21">
        <f>EXP(-LN(2)/35)*AU46+(1-EXP(-LN(2)/35))/(LN(2)/35)*AQ47*AR47*VLOOKUP('Données projet'!$B$10,Paramètres!$A$1:$I$89,3,0)*0.475*44/12</f>
        <v>42.92910069319899</v>
      </c>
      <c r="AV47" s="21">
        <f>EXP(-LN(2)/25)*AV46+(1-EXP(-LN(2)/25))/(LN(2)/25)*Calculateur!AQ47*Calculateur!AS47*VLOOKUP('Données projet'!$B$10,Paramètres!$A$1:$I$89,3,0)*0.475*44/12</f>
        <v>20.254834964533629</v>
      </c>
      <c r="AW47" s="21">
        <f>EXP(-LN(2)/2)*AW46+(1-EXP(-LN(2)/2))/(LN(2)/2)*AQ47*AT47*VLOOKUP('Données projet'!$B$10,Paramètres!$A$1:$I$89,3,0)*0.475*44/12</f>
        <v>11.295100864257664</v>
      </c>
      <c r="AX47" s="21">
        <f t="shared" si="6"/>
        <v>74.479036521990281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17.29</v>
      </c>
      <c r="BD47" s="12">
        <f>IF('Données projet'!$A$88&gt;35,BD46+BC47-BL46,IF(A47&lt;'Données projet'!$A$88,$BA$205^A47,IF(A47='Données projet'!$A$88,'Données projet'!$B$88,BD46+BC47-BL46)))</f>
        <v>271.94999999999993</v>
      </c>
      <c r="BE47" s="13">
        <f>BD47*VLOOKUP('Données projet'!$B$11,Paramètres!$A$1:$I$89,3,0)*VLOOKUP('Données projet'!$B$11,Paramètres!$A$1:$I$89,5,0)</f>
        <v>127.27259999999997</v>
      </c>
      <c r="BF47" s="13">
        <f t="shared" si="37"/>
        <v>33.3653616714357</v>
      </c>
      <c r="BG47" s="20">
        <f t="shared" si="7"/>
        <v>279.77778324441709</v>
      </c>
      <c r="BH47" s="59">
        <f t="shared" si="8"/>
        <v>557.83168532347997</v>
      </c>
      <c r="BI47" s="59">
        <f ca="1">AVERAGE(OFFSET($BH$3,0,0,'Données projet'!$E$11+1,1))-AVERAGE(OFFSET($H$3,0,0,'Données projet'!$E$11+1,1))</f>
        <v>346.55780187946573</v>
      </c>
      <c r="BJ47" s="59">
        <f t="shared" si="38"/>
        <v>297.28652094809149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8.7866658777168194</v>
      </c>
      <c r="BQ47" s="21">
        <f>EXP(-LN(2)/25)*BQ46+(1-EXP(-LN(2)/25))/(LN(2)/25)*Calculateur!BL47*Calculateur!BN47*VLOOKUP('Données projet'!$B$11,Paramètres!$A$1:$I$89,3,0)*0.475*44/12</f>
        <v>12.74945979776145</v>
      </c>
      <c r="BR47" s="21">
        <f>EXP(-LN(2)/2)*BR46+(1-EXP(-LN(2)/2))/(LN(2)/2)*BL47*BO47*VLOOKUP('Données projet'!$B$11,Paramètres!$A$1:$I$89,3,0)*0.475*44/12</f>
        <v>10.78161728950835</v>
      </c>
      <c r="BS47" s="22">
        <f t="shared" si="9"/>
        <v>32.317742964986621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21.970000000000002</v>
      </c>
      <c r="BY47" s="12">
        <f>IF('Données projet'!$A$114&gt;35,BY46+BX47-CG46,IF(A47&lt;'Données projet'!$A$114,$BV$205^A47,IF(A47='Données projet'!$A$114,'Données projet'!$B$114,BY46+BX47-CG46)))</f>
        <v>394.3900000000001</v>
      </c>
      <c r="BZ47" s="13">
        <f>BY47*VLOOKUP('Données projet'!$B$12,Paramètres!$A$1:$I$89,3,0)*VLOOKUP('Données projet'!$B$12,Paramètres!$A$1:$I$89,5,0)</f>
        <v>220.46401000000006</v>
      </c>
      <c r="CA47" s="13">
        <f t="shared" si="39"/>
        <v>54.215723631671224</v>
      </c>
      <c r="CB47" s="20">
        <f t="shared" si="10"/>
        <v>478.4005360751608</v>
      </c>
      <c r="CC47" s="59">
        <f t="shared" si="11"/>
        <v>756.45443815422368</v>
      </c>
      <c r="CD47" s="59">
        <f ca="1">AVERAGE(OFFSET($CC$3,0,0,'Données projet'!$E$12+1,1))-AVERAGE(OFFSET($H$3,0,0,'Données projet'!$E$12+1,1))</f>
        <v>394.00476121021177</v>
      </c>
      <c r="CE47" s="59">
        <f t="shared" si="40"/>
        <v>363.10016759175278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50.483688571076669</v>
      </c>
      <c r="CL47" s="21">
        <f>EXP(-LN(2)/25)*CL46+(1-EXP(-LN(2)/25))/(LN(2)/25)*Calculateur!CG47*Calculateur!CI47*VLOOKUP('Données projet'!$B$12,Paramètres!$A$1:$I$89,3,0)*0.475*44/12</f>
        <v>24.834604243403071</v>
      </c>
      <c r="CM47" s="21">
        <f>EXP(-LN(2)/2)*CM46+(1-EXP(-LN(2)/2))/(LN(2)/2)*CG47*CJ47*VLOOKUP('Données projet'!$B$12,Paramètres!$A$1:$I$89,3,0)*0.475*44/12</f>
        <v>6.8856435365545137</v>
      </c>
      <c r="CN47" s="22">
        <f t="shared" si="12"/>
        <v>82.203936351034258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65.832882385198957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3">
        <f>'Scénario référence'!$B$16*5+'Scénario référence'!$B$17*0+'Scénario référence'!$B$18*5</f>
        <v>1.7999999999999998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6.5999999999999988</v>
      </c>
      <c r="H48" s="67">
        <f t="shared" si="1"/>
        <v>230.26666666666665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591.2751421456644</v>
      </c>
      <c r="S48" s="59">
        <f ca="1">AVERAGE(OFFSET($R$3,0,0,'Données projet'!$E$9+1,1))-AVERAGE(OFFSET($H$3,0,0,'Données projet'!$E$9+1,1))</f>
        <v>652.18744712713965</v>
      </c>
      <c r="T48" s="59">
        <f t="shared" si="34"/>
        <v>288.65635870281199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14.689999999999998</v>
      </c>
      <c r="AI48" s="13">
        <f>IF('Données projet'!$A$62&gt;35,AI47+AH48-AQ47,IF(A48&lt;'Données projet'!$A$62,$AF$205^A48,IF(A48='Données projet'!$A$62,'Données projet'!$B$62,AI47+AH48-AQ47)))</f>
        <v>305.18000000000006</v>
      </c>
      <c r="AJ48" s="13">
        <f>AI48*VLOOKUP('Données projet'!$B$10,Paramètres!$A$1:$I$89,3,0)*VLOOKUP('Données projet'!$B$10,Paramètres!$A$1:$I$89,5,0)</f>
        <v>182.49764000000005</v>
      </c>
      <c r="AK48" s="13">
        <f t="shared" si="35"/>
        <v>45.877418600848756</v>
      </c>
      <c r="AL48" s="20">
        <f t="shared" si="4"/>
        <v>397.753227063145</v>
      </c>
      <c r="AM48" s="59">
        <f t="shared" si="5"/>
        <v>676.07219311477866</v>
      </c>
      <c r="AN48" s="59">
        <f ca="1">AVERAGE(OFFSET($AM$3,0,0,'Données projet'!$E$10+1,1))-AVERAGE(OFFSET($H$3,0,0,'Données projet'!$E$10+1,1))</f>
        <v>307.94699176410495</v>
      </c>
      <c r="AO48" s="59">
        <f t="shared" si="36"/>
        <v>314.22983137038875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42.087287212771308</v>
      </c>
      <c r="AV48" s="21">
        <f>EXP(-LN(2)/25)*AV47+(1-EXP(-LN(2)/25))/(LN(2)/25)*Calculateur!AQ48*Calculateur!AS48*VLOOKUP('Données projet'!$B$10,Paramètres!$A$1:$I$89,3,0)*0.475*44/12</f>
        <v>19.700965437272981</v>
      </c>
      <c r="AW48" s="21">
        <f>EXP(-LN(2)/2)*AW47+(1-EXP(-LN(2)/2))/(LN(2)/2)*AQ48*AT48*VLOOKUP('Données projet'!$B$10,Paramètres!$A$1:$I$89,3,0)*0.475*44/12</f>
        <v>7.986842415302629</v>
      </c>
      <c r="AX48" s="21">
        <f t="shared" si="6"/>
        <v>69.775095065346918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17.29</v>
      </c>
      <c r="BD48" s="12">
        <f>IF('Données projet'!$A$88&gt;35,BD47+BC48-BL47,IF(A48&lt;'Données projet'!$A$88,$BA$205^A48,IF(A48='Données projet'!$A$88,'Données projet'!$B$88,BD47+BC48-BL47)))</f>
        <v>289.23999999999995</v>
      </c>
      <c r="BE48" s="13">
        <f>BD48*VLOOKUP('Données projet'!$B$11,Paramètres!$A$1:$I$89,3,0)*VLOOKUP('Données projet'!$B$11,Paramètres!$A$1:$I$89,5,0)</f>
        <v>135.36431999999996</v>
      </c>
      <c r="BF48" s="13">
        <f t="shared" si="37"/>
        <v>35.232964094232521</v>
      </c>
      <c r="BG48" s="20">
        <f t="shared" si="7"/>
        <v>297.12360313078824</v>
      </c>
      <c r="BH48" s="59">
        <f t="shared" si="8"/>
        <v>575.44256918242183</v>
      </c>
      <c r="BI48" s="59">
        <f ca="1">AVERAGE(OFFSET($BH$3,0,0,'Données projet'!$E$11+1,1))-AVERAGE(OFFSET($H$3,0,0,'Données projet'!$E$11+1,1))</f>
        <v>346.55780187946573</v>
      </c>
      <c r="BJ48" s="59">
        <f t="shared" si="38"/>
        <v>297.28652094809149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8.6143647191917871</v>
      </c>
      <c r="BQ48" s="21">
        <f>EXP(-LN(2)/25)*BQ47+(1-EXP(-LN(2)/25))/(LN(2)/25)*Calculateur!BL48*Calculateur!BN48*VLOOKUP('Données projet'!$B$11,Paramètres!$A$1:$I$89,3,0)*0.475*44/12</f>
        <v>12.400825149126712</v>
      </c>
      <c r="BR48" s="21">
        <f>EXP(-LN(2)/2)*BR47+(1-EXP(-LN(2)/2))/(LN(2)/2)*BL48*BO48*VLOOKUP('Données projet'!$B$11,Paramètres!$A$1:$I$89,3,0)*0.475*44/12</f>
        <v>7.6237546975694794</v>
      </c>
      <c r="BS48" s="22">
        <f t="shared" si="9"/>
        <v>28.638944565887982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21.970000000000002</v>
      </c>
      <c r="BY48" s="12">
        <f>IF('Données projet'!$A$114&gt;35,BY47+BX48-CG47,IF(A48&lt;'Données projet'!$A$114,$BV$205^A48,IF(A48='Données projet'!$A$114,'Données projet'!$B$114,BY47+BX48-CG47)))</f>
        <v>416.36000000000013</v>
      </c>
      <c r="BZ48" s="13">
        <f>BY48*VLOOKUP('Données projet'!$B$12,Paramètres!$A$1:$I$89,3,0)*VLOOKUP('Données projet'!$B$12,Paramètres!$A$1:$I$89,5,0)</f>
        <v>232.74524000000008</v>
      </c>
      <c r="CA48" s="13">
        <f t="shared" si="39"/>
        <v>56.875856080072602</v>
      </c>
      <c r="CB48" s="20">
        <f t="shared" si="10"/>
        <v>504.42340900612658</v>
      </c>
      <c r="CC48" s="59">
        <f t="shared" si="11"/>
        <v>782.74237505776023</v>
      </c>
      <c r="CD48" s="59">
        <f ca="1">AVERAGE(OFFSET($CC$3,0,0,'Données projet'!$E$12+1,1))-AVERAGE(OFFSET($H$3,0,0,'Données projet'!$E$12+1,1))</f>
        <v>394.00476121021177</v>
      </c>
      <c r="CE48" s="59">
        <f t="shared" si="40"/>
        <v>363.10016759175278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49.493734230207423</v>
      </c>
      <c r="CL48" s="21">
        <f>EXP(-LN(2)/25)*CL47+(1-EXP(-LN(2)/25))/(LN(2)/25)*Calculateur!CG48*Calculateur!CI48*VLOOKUP('Données projet'!$B$12,Paramètres!$A$1:$I$89,3,0)*0.475*44/12</f>
        <v>24.155500684372136</v>
      </c>
      <c r="CM48" s="21">
        <f>EXP(-LN(2)/2)*CM47+(1-EXP(-LN(2)/2))/(LN(2)/2)*CG48*CJ48*VLOOKUP('Données projet'!$B$12,Paramètres!$A$1:$I$89,3,0)*0.475*44/12</f>
        <v>4.8688852375310177</v>
      </c>
      <c r="CN48" s="22">
        <f t="shared" si="12"/>
        <v>78.518120152110569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65.905172559536439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3">
        <f>'Scénario référence'!$B$16*5+'Scénario référence'!$B$17*0+'Scénario référence'!$B$18*5</f>
        <v>1.7999999999999998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6.5999999999999988</v>
      </c>
      <c r="H49" s="67">
        <f t="shared" si="1"/>
        <v>230.26666666666665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611.09578793432888</v>
      </c>
      <c r="S49" s="59">
        <f ca="1">AVERAGE(OFFSET($R$3,0,0,'Données projet'!$E$9+1,1))-AVERAGE(OFFSET($H$3,0,0,'Données projet'!$E$9+1,1))</f>
        <v>652.18744712713965</v>
      </c>
      <c r="T49" s="59">
        <f t="shared" si="34"/>
        <v>288.65635870281199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14.689999999999998</v>
      </c>
      <c r="AI49" s="13">
        <f>IF('Données projet'!$A$62&gt;35,AI48+AH49-AQ48,IF(A49&lt;'Données projet'!$A$62,$AF$205^A49,IF(A49='Données projet'!$A$62,'Données projet'!$B$62,AI48+AH49-AQ48)))</f>
        <v>319.87000000000006</v>
      </c>
      <c r="AJ49" s="13">
        <f>AI49*VLOOKUP('Données projet'!$B$10,Paramètres!$A$1:$I$89,3,0)*VLOOKUP('Données projet'!$B$10,Paramètres!$A$1:$I$89,5,0)</f>
        <v>191.28226000000004</v>
      </c>
      <c r="AK49" s="13">
        <f t="shared" si="35"/>
        <v>47.823331262073218</v>
      </c>
      <c r="AL49" s="20">
        <f t="shared" si="4"/>
        <v>416.44223811477758</v>
      </c>
      <c r="AM49" s="59">
        <f t="shared" si="5"/>
        <v>695.02166987165219</v>
      </c>
      <c r="AN49" s="59">
        <f ca="1">AVERAGE(OFFSET($AM$3,0,0,'Données projet'!$E$10+1,1))-AVERAGE(OFFSET($H$3,0,0,'Données projet'!$E$10+1,1))</f>
        <v>307.94699176410495</v>
      </c>
      <c r="AO49" s="59">
        <f t="shared" si="36"/>
        <v>314.22983137038875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41.261981181239292</v>
      </c>
      <c r="AV49" s="21">
        <f>EXP(-LN(2)/25)*AV48+(1-EXP(-LN(2)/25))/(LN(2)/25)*Calculateur!AQ49*Calculateur!AS49*VLOOKUP('Données projet'!$B$10,Paramètres!$A$1:$I$89,3,0)*0.475*44/12</f>
        <v>19.162241501362004</v>
      </c>
      <c r="AW49" s="21">
        <f>EXP(-LN(2)/2)*AW48+(1-EXP(-LN(2)/2))/(LN(2)/2)*AQ49*AT49*VLOOKUP('Données projet'!$B$10,Paramètres!$A$1:$I$89,3,0)*0.475*44/12</f>
        <v>5.647550432128833</v>
      </c>
      <c r="AX49" s="21">
        <f t="shared" si="6"/>
        <v>66.071773114730135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17.29</v>
      </c>
      <c r="BD49" s="12">
        <f>IF('Données projet'!$A$88&gt;35,BD48+BC49-BL48,IF(A49&lt;'Données projet'!$A$88,$BA$205^A49,IF(A49='Données projet'!$A$88,'Données projet'!$B$88,BD48+BC49-BL48)))</f>
        <v>306.52999999999997</v>
      </c>
      <c r="BE49" s="13">
        <f>BD49*VLOOKUP('Données projet'!$B$11,Paramètres!$A$1:$I$89,3,0)*VLOOKUP('Données projet'!$B$11,Paramètres!$A$1:$I$89,5,0)</f>
        <v>143.45604</v>
      </c>
      <c r="BF49" s="13">
        <f t="shared" si="37"/>
        <v>37.087608544115007</v>
      </c>
      <c r="BG49" s="20">
        <f t="shared" si="7"/>
        <v>314.44685454766693</v>
      </c>
      <c r="BH49" s="59">
        <f t="shared" si="8"/>
        <v>593.0262863045416</v>
      </c>
      <c r="BI49" s="59">
        <f ca="1">AVERAGE(OFFSET($BH$3,0,0,'Données projet'!$E$11+1,1))-AVERAGE(OFFSET($H$3,0,0,'Données projet'!$E$11+1,1))</f>
        <v>346.55780187946573</v>
      </c>
      <c r="BJ49" s="59">
        <f t="shared" si="38"/>
        <v>297.28652094809149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8.4454422812921006</v>
      </c>
      <c r="BQ49" s="21">
        <f>EXP(-LN(2)/25)*BQ48+(1-EXP(-LN(2)/25))/(LN(2)/25)*Calculateur!BL49*Calculateur!BN49*VLOOKUP('Données projet'!$B$11,Paramètres!$A$1:$I$89,3,0)*0.475*44/12</f>
        <v>12.061723933292789</v>
      </c>
      <c r="BR49" s="21">
        <f>EXP(-LN(2)/2)*BR48+(1-EXP(-LN(2)/2))/(LN(2)/2)*BL49*BO49*VLOOKUP('Données projet'!$B$11,Paramètres!$A$1:$I$89,3,0)*0.475*44/12</f>
        <v>5.3908086447541761</v>
      </c>
      <c r="BS49" s="22">
        <f t="shared" si="9"/>
        <v>25.897974859339069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21.970000000000002</v>
      </c>
      <c r="BY49" s="12">
        <f>IF('Données projet'!$A$114&gt;35,BY48+BX49-CG48,IF(A49&lt;'Données projet'!$A$114,$BV$205^A49,IF(A49='Données projet'!$A$114,'Données projet'!$B$114,BY48+BX49-CG48)))</f>
        <v>438.33000000000015</v>
      </c>
      <c r="BZ49" s="13">
        <f>BY49*VLOOKUP('Données projet'!$B$12,Paramètres!$A$1:$I$89,3,0)*VLOOKUP('Données projet'!$B$12,Paramètres!$A$1:$I$89,5,0)</f>
        <v>245.02647000000007</v>
      </c>
      <c r="CA49" s="13">
        <f t="shared" si="39"/>
        <v>59.519691926533838</v>
      </c>
      <c r="CB49" s="20">
        <f t="shared" si="10"/>
        <v>530.41789868871319</v>
      </c>
      <c r="CC49" s="59">
        <f t="shared" si="11"/>
        <v>808.99733044558775</v>
      </c>
      <c r="CD49" s="59">
        <f ca="1">AVERAGE(OFFSET($CC$3,0,0,'Données projet'!$E$12+1,1))-AVERAGE(OFFSET($H$3,0,0,'Données projet'!$E$12+1,1))</f>
        <v>394.00476121021177</v>
      </c>
      <c r="CE49" s="59">
        <f t="shared" si="40"/>
        <v>363.10016759175278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48.523192290150099</v>
      </c>
      <c r="CL49" s="21">
        <f>EXP(-LN(2)/25)*CL48+(1-EXP(-LN(2)/25))/(LN(2)/25)*Calculateur!CG49*Calculateur!CI49*VLOOKUP('Données projet'!$B$12,Paramètres!$A$1:$I$89,3,0)*0.475*44/12</f>
        <v>23.494967247875408</v>
      </c>
      <c r="CM49" s="21">
        <f>EXP(-LN(2)/2)*CM48+(1-EXP(-LN(2)/2))/(LN(2)/2)*CG49*CJ49*VLOOKUP('Données projet'!$B$12,Paramètres!$A$1:$I$89,3,0)*0.475*44/12</f>
        <v>3.4428217682772568</v>
      </c>
      <c r="CN49" s="22">
        <f t="shared" si="12"/>
        <v>75.46098130630277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65.976208660965796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3">
        <f>'Scénario référence'!$B$16*5+'Scénario référence'!$B$17*0+'Scénario référence'!$B$18*5</f>
        <v>1.7999999999999998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6.5999999999999988</v>
      </c>
      <c r="H50" s="67">
        <f t="shared" si="1"/>
        <v>230.26666666666665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630.88655630815447</v>
      </c>
      <c r="S50" s="59">
        <f ca="1">AVERAGE(OFFSET($R$3,0,0,'Données projet'!$E$9+1,1))-AVERAGE(OFFSET($H$3,0,0,'Données projet'!$E$9+1,1))</f>
        <v>652.18744712713965</v>
      </c>
      <c r="T50" s="59">
        <f t="shared" si="34"/>
        <v>288.65635870281199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14.689999999999998</v>
      </c>
      <c r="AI50" s="13">
        <f>IF('Données projet'!$A$62&gt;35,AI49+AH50-AQ49,IF(A50&lt;'Données projet'!$A$62,$AF$205^A50,IF(A50='Données projet'!$A$62,'Données projet'!$B$62,AI49+AH50-AQ49)))</f>
        <v>334.56000000000006</v>
      </c>
      <c r="AJ50" s="13">
        <f>AI50*VLOOKUP('Données projet'!$B$10,Paramètres!$A$1:$I$89,3,0)*VLOOKUP('Données projet'!$B$10,Paramètres!$A$1:$I$89,5,0)</f>
        <v>200.06688000000005</v>
      </c>
      <c r="AK50" s="13">
        <f t="shared" si="35"/>
        <v>49.758865639104997</v>
      </c>
      <c r="AL50" s="20">
        <f t="shared" si="4"/>
        <v>435.11317365477458</v>
      </c>
      <c r="AM50" s="59">
        <f t="shared" si="5"/>
        <v>713.94855261921828</v>
      </c>
      <c r="AN50" s="59">
        <f ca="1">AVERAGE(OFFSET($AM$3,0,0,'Données projet'!$E$10+1,1))-AVERAGE(OFFSET($H$3,0,0,'Données projet'!$E$10+1,1))</f>
        <v>307.94699176410495</v>
      </c>
      <c r="AO50" s="59">
        <f t="shared" si="36"/>
        <v>314.22983137038875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40.452858897598645</v>
      </c>
      <c r="AV50" s="21">
        <f>EXP(-LN(2)/25)*AV49+(1-EXP(-LN(2)/25))/(LN(2)/25)*Calculateur!AQ50*Calculateur!AS50*VLOOKUP('Données projet'!$B$10,Paramètres!$A$1:$I$89,3,0)*0.475*44/12</f>
        <v>18.638248999808777</v>
      </c>
      <c r="AW50" s="21">
        <f>EXP(-LN(2)/2)*AW49+(1-EXP(-LN(2)/2))/(LN(2)/2)*AQ50*AT50*VLOOKUP('Données projet'!$B$10,Paramètres!$A$1:$I$89,3,0)*0.475*44/12</f>
        <v>3.9934212076513149</v>
      </c>
      <c r="AX50" s="21">
        <f t="shared" si="6"/>
        <v>63.084529105058742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17.29</v>
      </c>
      <c r="BD50" s="12">
        <f>IF('Données projet'!$A$88&gt;35,BD49+BC50-BL49,IF(A50&lt;'Données projet'!$A$88,$BA$205^A50,IF(A50='Données projet'!$A$88,'Données projet'!$B$88,BD49+BC50-BL49)))</f>
        <v>323.82</v>
      </c>
      <c r="BE50" s="13">
        <f>BD50*VLOOKUP('Données projet'!$B$11,Paramètres!$A$1:$I$89,3,0)*VLOOKUP('Données projet'!$B$11,Paramètres!$A$1:$I$89,5,0)</f>
        <v>151.54776000000001</v>
      </c>
      <c r="BF50" s="13">
        <f t="shared" si="37"/>
        <v>38.930109214317461</v>
      </c>
      <c r="BG50" s="20">
        <f t="shared" si="7"/>
        <v>331.74895554826963</v>
      </c>
      <c r="BH50" s="59">
        <f t="shared" si="8"/>
        <v>610.58433451271333</v>
      </c>
      <c r="BI50" s="59">
        <f ca="1">AVERAGE(OFFSET($BH$3,0,0,'Données projet'!$E$11+1,1))-AVERAGE(OFFSET($H$3,0,0,'Données projet'!$E$11+1,1))</f>
        <v>346.55780187946573</v>
      </c>
      <c r="BJ50" s="59">
        <f t="shared" si="38"/>
        <v>297.28652094809149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8.279832309367114</v>
      </c>
      <c r="BQ50" s="21">
        <f>EXP(-LN(2)/25)*BQ49+(1-EXP(-LN(2)/25))/(LN(2)/25)*Calculateur!BL50*Calculateur!BN50*VLOOKUP('Données projet'!$B$11,Paramètres!$A$1:$I$89,3,0)*0.475*44/12</f>
        <v>11.731895458038403</v>
      </c>
      <c r="BR50" s="21">
        <f>EXP(-LN(2)/2)*BR49+(1-EXP(-LN(2)/2))/(LN(2)/2)*BL50*BO50*VLOOKUP('Données projet'!$B$11,Paramètres!$A$1:$I$89,3,0)*0.475*44/12</f>
        <v>3.8118773487847402</v>
      </c>
      <c r="BS50" s="22">
        <f t="shared" si="9"/>
        <v>23.823605116190258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21.970000000000002</v>
      </c>
      <c r="BY50" s="12">
        <f>IF('Données projet'!$A$114&gt;35,BY49+BX50-CG49,IF(A50&lt;'Données projet'!$A$114,$BV$205^A50,IF(A50='Données projet'!$A$114,'Données projet'!$B$114,BY49+BX50-CG49)))</f>
        <v>460.30000000000018</v>
      </c>
      <c r="BZ50" s="13">
        <f>BY50*VLOOKUP('Données projet'!$B$12,Paramètres!$A$1:$I$89,3,0)*VLOOKUP('Données projet'!$B$12,Paramètres!$A$1:$I$89,5,0)</f>
        <v>257.30770000000012</v>
      </c>
      <c r="CA50" s="13">
        <f t="shared" si="39"/>
        <v>62.148141193508692</v>
      </c>
      <c r="CB50" s="20">
        <f t="shared" si="10"/>
        <v>556.38559007869458</v>
      </c>
      <c r="CC50" s="59">
        <f t="shared" si="11"/>
        <v>835.22096904313821</v>
      </c>
      <c r="CD50" s="59">
        <f ca="1">AVERAGE(OFFSET($CC$3,0,0,'Données projet'!$E$12+1,1))-AVERAGE(OFFSET($H$3,0,0,'Données projet'!$E$12+1,1))</f>
        <v>394.00476121021177</v>
      </c>
      <c r="CE50" s="59">
        <f t="shared" si="40"/>
        <v>363.10016759175278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47.571682085565172</v>
      </c>
      <c r="CL50" s="21">
        <f>EXP(-LN(2)/25)*CL49+(1-EXP(-LN(2)/25))/(LN(2)/25)*Calculateur!CG50*Calculateur!CI50*VLOOKUP('Données projet'!$B$12,Paramètres!$A$1:$I$89,3,0)*0.475*44/12</f>
        <v>22.852496132935627</v>
      </c>
      <c r="CM50" s="21">
        <f>EXP(-LN(2)/2)*CM49+(1-EXP(-LN(2)/2))/(LN(2)/2)*CG50*CJ50*VLOOKUP('Données projet'!$B$12,Paramètres!$A$1:$I$89,3,0)*0.475*44/12</f>
        <v>2.4344426187655088</v>
      </c>
      <c r="CN50" s="22">
        <f t="shared" si="12"/>
        <v>72.858620837266301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66.046012444848287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3">
        <f>'Scénario référence'!$B$16*5+'Scénario référence'!$B$17*0+'Scénario référence'!$B$18*5</f>
        <v>1.7999999999999998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6.5999999999999988</v>
      </c>
      <c r="H51" s="67">
        <f t="shared" si="1"/>
        <v>230.26666666666665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650.64913010627038</v>
      </c>
      <c r="S51" s="59">
        <f ca="1">AVERAGE(OFFSET($R$3,0,0,'Données projet'!$E$9+1,1))-AVERAGE(OFFSET($H$3,0,0,'Données projet'!$E$9+1,1))</f>
        <v>652.18744712713965</v>
      </c>
      <c r="T51" s="59">
        <f t="shared" si="34"/>
        <v>288.65635870281199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14.689999999999998</v>
      </c>
      <c r="AI51" s="13">
        <f>IF('Données projet'!$A$62&gt;35,AI50+AH51-AQ50,IF(A51&lt;'Données projet'!$A$62,$AF$205^A51,IF(A51='Données projet'!$A$62,'Données projet'!$B$62,AI50+AH51-AQ50)))</f>
        <v>349.25000000000006</v>
      </c>
      <c r="AJ51" s="13">
        <f>AI51*VLOOKUP('Données projet'!$B$10,Paramètres!$A$1:$I$89,3,0)*VLOOKUP('Données projet'!$B$10,Paramètres!$A$1:$I$89,5,0)</f>
        <v>208.85150000000004</v>
      </c>
      <c r="AK51" s="13">
        <f t="shared" si="35"/>
        <v>51.684529504057373</v>
      </c>
      <c r="AL51" s="20">
        <f t="shared" si="4"/>
        <v>453.76691805289994</v>
      </c>
      <c r="AM51" s="59">
        <f t="shared" si="5"/>
        <v>732.85380411307369</v>
      </c>
      <c r="AN51" s="59">
        <f ca="1">AVERAGE(OFFSET($AM$3,0,0,'Données projet'!$E$10+1,1))-AVERAGE(OFFSET($H$3,0,0,'Données projet'!$E$10+1,1))</f>
        <v>307.94699176410495</v>
      </c>
      <c r="AO51" s="59">
        <f t="shared" si="36"/>
        <v>314.22983137038875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39.659603008424327</v>
      </c>
      <c r="AV51" s="21">
        <f>EXP(-LN(2)/25)*AV50+(1-EXP(-LN(2)/25))/(LN(2)/25)*Calculateur!AQ51*Calculateur!AS51*VLOOKUP('Données projet'!$B$10,Paramètres!$A$1:$I$89,3,0)*0.475*44/12</f>
        <v>18.128585100766088</v>
      </c>
      <c r="AW51" s="21">
        <f>EXP(-LN(2)/2)*AW50+(1-EXP(-LN(2)/2))/(LN(2)/2)*AQ51*AT51*VLOOKUP('Données projet'!$B$10,Paramètres!$A$1:$I$89,3,0)*0.475*44/12</f>
        <v>2.8237752160644169</v>
      </c>
      <c r="AX51" s="21">
        <f t="shared" si="6"/>
        <v>60.611963325254834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17.29</v>
      </c>
      <c r="BD51" s="12">
        <f>IF('Données projet'!$A$88&gt;35,BD50+BC51-BL50,IF(A51&lt;'Données projet'!$A$88,$BA$205^A51,IF(A51='Données projet'!$A$88,'Données projet'!$B$88,BD50+BC51-BL50)))</f>
        <v>341.11</v>
      </c>
      <c r="BE51" s="13">
        <f>BD51*VLOOKUP('Données projet'!$B$11,Paramètres!$A$1:$I$89,3,0)*VLOOKUP('Données projet'!$B$11,Paramètres!$A$1:$I$89,5,0)</f>
        <v>159.63947999999999</v>
      </c>
      <c r="BF51" s="13">
        <f t="shared" si="37"/>
        <v>40.761188441662483</v>
      </c>
      <c r="BG51" s="20">
        <f t="shared" si="7"/>
        <v>349.03116420256214</v>
      </c>
      <c r="BH51" s="59">
        <f t="shared" si="8"/>
        <v>628.11805026273578</v>
      </c>
      <c r="BI51" s="59">
        <f ca="1">AVERAGE(OFFSET($BH$3,0,0,'Données projet'!$E$11+1,1))-AVERAGE(OFFSET($H$3,0,0,'Données projet'!$E$11+1,1))</f>
        <v>346.55780187946573</v>
      </c>
      <c r="BJ51" s="59">
        <f t="shared" si="38"/>
        <v>297.28652094809149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8.1174698479794678</v>
      </c>
      <c r="BQ51" s="21">
        <f>EXP(-LN(2)/25)*BQ50+(1-EXP(-LN(2)/25))/(LN(2)/25)*Calculateur!BL51*Calculateur!BN51*VLOOKUP('Données projet'!$B$11,Paramètres!$A$1:$I$89,3,0)*0.475*44/12</f>
        <v>11.411086159784775</v>
      </c>
      <c r="BR51" s="21">
        <f>EXP(-LN(2)/2)*BR50+(1-EXP(-LN(2)/2))/(LN(2)/2)*BL51*BO51*VLOOKUP('Données projet'!$B$11,Paramètres!$A$1:$I$89,3,0)*0.475*44/12</f>
        <v>2.6954043223770885</v>
      </c>
      <c r="BS51" s="22">
        <f t="shared" si="9"/>
        <v>22.223960330141331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21.970000000000002</v>
      </c>
      <c r="BY51" s="12">
        <f>IF('Données projet'!$A$114&gt;35,BY50+BX51-CG50,IF(A51&lt;'Données projet'!$A$114,$BV$205^A51,IF(A51='Données projet'!$A$114,'Données projet'!$B$114,BY50+BX51-CG50)))</f>
        <v>482.27000000000021</v>
      </c>
      <c r="BZ51" s="13">
        <f>BY51*VLOOKUP('Données projet'!$B$12,Paramètres!$A$1:$I$89,3,0)*VLOOKUP('Données projet'!$B$12,Paramètres!$A$1:$I$89,5,0)</f>
        <v>269.58893000000012</v>
      </c>
      <c r="CA51" s="13">
        <f t="shared" si="39"/>
        <v>64.762022124596854</v>
      </c>
      <c r="CB51" s="20">
        <f t="shared" si="10"/>
        <v>582.32790828367308</v>
      </c>
      <c r="CC51" s="59">
        <f t="shared" si="11"/>
        <v>861.41479434384678</v>
      </c>
      <c r="CD51" s="59">
        <f ca="1">AVERAGE(OFFSET($CC$3,0,0,'Données projet'!$E$12+1,1))-AVERAGE(OFFSET($H$3,0,0,'Données projet'!$E$12+1,1))</f>
        <v>394.00476121021177</v>
      </c>
      <c r="CE51" s="59">
        <f t="shared" si="40"/>
        <v>363.10016759175278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46.638830415728229</v>
      </c>
      <c r="CL51" s="21">
        <f>EXP(-LN(2)/25)*CL50+(1-EXP(-LN(2)/25))/(LN(2)/25)*Calculateur!CG51*Calculateur!CI51*VLOOKUP('Données projet'!$B$12,Paramètres!$A$1:$I$89,3,0)*0.475*44/12</f>
        <v>22.227593424419961</v>
      </c>
      <c r="CM51" s="21">
        <f>EXP(-LN(2)/2)*CM50+(1-EXP(-LN(2)/2))/(LN(2)/2)*CG51*CJ51*VLOOKUP('Données projet'!$B$12,Paramètres!$A$1:$I$89,3,0)*0.475*44/12</f>
        <v>1.7214108841386284</v>
      </c>
      <c r="CN51" s="22">
        <f t="shared" si="12"/>
        <v>70.587834724286822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66.114605289138282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3">
        <f>'Scénario référence'!$B$16*5+'Scénario référence'!$B$17*0+'Scénario référence'!$B$18*5</f>
        <v>1.7999999999999998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6.5999999999999988</v>
      </c>
      <c r="H52" s="67">
        <f t="shared" si="1"/>
        <v>230.26666666666665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670.38500860441673</v>
      </c>
      <c r="S52" s="59">
        <f ca="1">AVERAGE(OFFSET($R$3,0,0,'Données projet'!$E$9+1,1))-AVERAGE(OFFSET($H$3,0,0,'Données projet'!$E$9+1,1))</f>
        <v>652.18744712713965</v>
      </c>
      <c r="T52" s="59">
        <f t="shared" si="34"/>
        <v>288.65635870281199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14.689999999999998</v>
      </c>
      <c r="AI52" s="13">
        <f>IF('Données projet'!$A$62&gt;35,AI51+AH52-AQ51,IF(A52&lt;'Données projet'!$A$62,$AF$205^A52,IF(A52='Données projet'!$A$62,'Données projet'!$B$62,AI51+AH52-AQ51)))</f>
        <v>363.94000000000005</v>
      </c>
      <c r="AJ52" s="13">
        <f>AI52*VLOOKUP('Données projet'!$B$10,Paramètres!$A$1:$I$89,3,0)*VLOOKUP('Données projet'!$B$10,Paramètres!$A$1:$I$89,5,0)</f>
        <v>217.63612000000003</v>
      </c>
      <c r="AK52" s="13">
        <f t="shared" si="35"/>
        <v>53.600785497261654</v>
      </c>
      <c r="AL52" s="20">
        <f t="shared" si="4"/>
        <v>472.40427707439738</v>
      </c>
      <c r="AM52" s="59">
        <f t="shared" si="5"/>
        <v>751.73830714447581</v>
      </c>
      <c r="AN52" s="59">
        <f ca="1">AVERAGE(OFFSET($AM$3,0,0,'Données projet'!$E$10+1,1))-AVERAGE(OFFSET($H$3,0,0,'Données projet'!$E$10+1,1))</f>
        <v>307.94699176410495</v>
      </c>
      <c r="AO52" s="59">
        <f t="shared" si="36"/>
        <v>314.22983137038875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38.881902383398398</v>
      </c>
      <c r="AV52" s="21">
        <f>EXP(-LN(2)/25)*AV51+(1-EXP(-LN(2)/25))/(LN(2)/25)*Calculateur!AQ52*Calculateur!AS52*VLOOKUP('Données projet'!$B$10,Paramètres!$A$1:$I$89,3,0)*0.475*44/12</f>
        <v>17.632857987844783</v>
      </c>
      <c r="AW52" s="21">
        <f>EXP(-LN(2)/2)*AW51+(1-EXP(-LN(2)/2))/(LN(2)/2)*AQ52*AT52*VLOOKUP('Données projet'!$B$10,Paramètres!$A$1:$I$89,3,0)*0.475*44/12</f>
        <v>1.9967106038256577</v>
      </c>
      <c r="AX52" s="21">
        <f t="shared" si="6"/>
        <v>58.511470975068839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17.29</v>
      </c>
      <c r="BD52" s="12">
        <f>IF('Données projet'!$A$88&gt;35,BD51+BC52-BL51,IF(A52&lt;'Données projet'!$A$88,$BA$205^A52,IF(A52='Données projet'!$A$88,'Données projet'!$B$88,BD51+BC52-BL51)))</f>
        <v>358.40000000000003</v>
      </c>
      <c r="BE52" s="13">
        <f>BD52*VLOOKUP('Données projet'!$B$11,Paramètres!$A$1:$I$89,3,0)*VLOOKUP('Données projet'!$B$11,Paramètres!$A$1:$I$89,5,0)</f>
        <v>167.7312</v>
      </c>
      <c r="BF52" s="13">
        <f t="shared" si="37"/>
        <v>42.581491199832655</v>
      </c>
      <c r="BG52" s="20">
        <f t="shared" si="7"/>
        <v>366.29460383970854</v>
      </c>
      <c r="BH52" s="59">
        <f t="shared" si="8"/>
        <v>645.62863390978691</v>
      </c>
      <c r="BI52" s="59">
        <f ca="1">AVERAGE(OFFSET($BH$3,0,0,'Données projet'!$E$11+1,1))-AVERAGE(OFFSET($H$3,0,0,'Données projet'!$E$11+1,1))</f>
        <v>346.55780187946573</v>
      </c>
      <c r="BJ52" s="59">
        <f t="shared" si="38"/>
        <v>297.28652094809149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7.9582912154283107</v>
      </c>
      <c r="BQ52" s="21">
        <f>EXP(-LN(2)/25)*BQ51+(1-EXP(-LN(2)/25))/(LN(2)/25)*Calculateur!BL52*Calculateur!BN52*VLOOKUP('Données projet'!$B$11,Paramètres!$A$1:$I$89,3,0)*0.475*44/12</f>
        <v>11.09904940866252</v>
      </c>
      <c r="BR52" s="21">
        <f>EXP(-LN(2)/2)*BR51+(1-EXP(-LN(2)/2))/(LN(2)/2)*BL52*BO52*VLOOKUP('Données projet'!$B$11,Paramètres!$A$1:$I$89,3,0)*0.475*44/12</f>
        <v>1.9059386743923705</v>
      </c>
      <c r="BS52" s="22">
        <f t="shared" si="9"/>
        <v>20.963279298483201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>
        <f>VLOOKUP(A52,'Données projet'!$A$113:$I$133,2,0)</f>
        <v>504.24</v>
      </c>
      <c r="BW52" s="12">
        <f>VLOOKUP(A52,'Données projet'!$A$113:$I$133,9,0)</f>
        <v>21.970000000000002</v>
      </c>
      <c r="BX52" s="12">
        <f t="array" ref="BX52">INDEX(BW:BW,MIN(IF(ISNUMBER(BW52:BW248),ROW(BW52:BW248),"")))</f>
        <v>21.970000000000002</v>
      </c>
      <c r="BY52" s="12">
        <f>IF('Données projet'!$A$114&gt;35,BY51+BX52-CG51,IF(A52&lt;'Données projet'!$A$114,$BV$205^A52,IF(A52='Données projet'!$A$114,'Données projet'!$B$114,BY51+BX52-CG51)))</f>
        <v>504.24000000000024</v>
      </c>
      <c r="BZ52" s="13">
        <f>BY52*VLOOKUP('Données projet'!$B$12,Paramètres!$A$1:$I$89,3,0)*VLOOKUP('Données projet'!$B$12,Paramètres!$A$1:$I$89,5,0)</f>
        <v>281.87016000000011</v>
      </c>
      <c r="CA52" s="13">
        <f t="shared" si="39"/>
        <v>67.362074198579379</v>
      </c>
      <c r="CB52" s="20">
        <f t="shared" si="10"/>
        <v>608.24614122919252</v>
      </c>
      <c r="CC52" s="59">
        <f t="shared" si="11"/>
        <v>887.58017129927089</v>
      </c>
      <c r="CD52" s="59">
        <f ca="1">AVERAGE(OFFSET($CC$3,0,0,'Données projet'!$E$12+1,1))-AVERAGE(OFFSET($H$3,0,0,'Données projet'!$E$12+1,1))</f>
        <v>394.00476121021177</v>
      </c>
      <c r="CE52" s="59">
        <f t="shared" si="40"/>
        <v>363.10016759175278</v>
      </c>
      <c r="CF52" s="15">
        <f>IF(ISNA(VLOOKUP(A52,'Données projet'!$A$113:$I$133,3,0)),0,VLOOKUP(A52,'Données projet'!$A$113:$I$133,3,0))</f>
        <v>5</v>
      </c>
      <c r="CG52" s="15">
        <f>IF(ISNA(VLOOKUP(A52,'Données projet'!$A$113:$I$133,4,0)),0,VLOOKUP(A52,'Données projet'!$A$113:$I$133,4,0))</f>
        <v>112.69999999999999</v>
      </c>
      <c r="CH52" s="16">
        <f>IF(ISNA(VLOOKUP(A52,'Données projet'!$A$113:$I$133,5,0)),0%,VLOOKUP(A52,'Données projet'!$A$113:$I$133,5,0)*VLOOKUP('Données projet'!$B$12,Paramètres!$A$1:$I$89,7,0))</f>
        <v>0.33</v>
      </c>
      <c r="CI52" s="16">
        <f>IF(ISNA(VLOOKUP(A52,'Données projet'!$A$113:$I$133,6,0)),0%,VLOOKUP(A52,'Données projet'!$A$113:$I$133,6,0)*VLOOKUP('Données projet'!$B$12,Paramètres!$A$1:$I$89,7,0))</f>
        <v>0.11000000000000001</v>
      </c>
      <c r="CJ52" s="16">
        <f>IF(ISNA(VLOOKUP(A52,'Données projet'!$A$113:$I$133,7,0)),0%,VLOOKUP(A52,'Données projet'!$A$113:$I$133,7,0))</f>
        <v>0.2</v>
      </c>
      <c r="CK52" s="21">
        <f>EXP(-LN(2)/35)*CK51+(1-EXP(-LN(2)/35))/(LN(2)/35)*CG52*CH52*VLOOKUP('Données projet'!$B$12,Paramètres!$A$1:$I$89,3,0)*0.475*44/12</f>
        <v>73.303239990352296</v>
      </c>
      <c r="CL52" s="21">
        <f>EXP(-LN(2)/25)*CL51+(1-EXP(-LN(2)/25))/(LN(2)/25)*Calculateur!CG52*Calculateur!CI52*VLOOKUP('Données projet'!$B$12,Paramètres!$A$1:$I$89,3,0)*0.475*44/12</f>
        <v>30.776571941477684</v>
      </c>
      <c r="CM52" s="21">
        <f>EXP(-LN(2)/2)*CM51+(1-EXP(-LN(2)/2))/(LN(2)/2)*CG52*CJ52*VLOOKUP('Données projet'!$B$12,Paramètres!$A$1:$I$89,3,0)*0.475*44/12</f>
        <v>15.483189745694569</v>
      </c>
      <c r="CN52" s="22">
        <f t="shared" si="12"/>
        <v>119.56300167752455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66.182008200930483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3">
        <f>'Scénario référence'!$B$16*5+'Scénario référence'!$B$17*0+'Scénario référence'!$B$18*5</f>
        <v>1.7999999999999998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6.5999999999999988</v>
      </c>
      <c r="H53" s="67">
        <f t="shared" si="1"/>
        <v>230.26666666666665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690.09553646659242</v>
      </c>
      <c r="S53" s="59">
        <f ca="1">AVERAGE(OFFSET($R$3,0,0,'Données projet'!$E$9+1,1))-AVERAGE(OFFSET($H$3,0,0,'Données projet'!$E$9+1,1))</f>
        <v>652.18744712713965</v>
      </c>
      <c r="T53" s="59">
        <f t="shared" si="34"/>
        <v>288.65635870281199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14.689999999999998</v>
      </c>
      <c r="AI53" s="13">
        <f>IF('Données projet'!$A$62&gt;35,AI52+AH53-AQ52,IF(A53&lt;'Données projet'!$A$62,$AF$205^A53,IF(A53='Données projet'!$A$62,'Données projet'!$B$62,AI52+AH53-AQ52)))</f>
        <v>378.63000000000005</v>
      </c>
      <c r="AJ53" s="13">
        <f>AI53*VLOOKUP('Données projet'!$B$10,Paramètres!$A$1:$I$89,3,0)*VLOOKUP('Données projet'!$B$10,Paramètres!$A$1:$I$89,5,0)</f>
        <v>226.42074000000005</v>
      </c>
      <c r="AK53" s="13">
        <f t="shared" si="35"/>
        <v>55.508056797434847</v>
      </c>
      <c r="AL53" s="20">
        <f t="shared" si="4"/>
        <v>491.0259877555323</v>
      </c>
      <c r="AM53" s="59">
        <f t="shared" si="5"/>
        <v>770.60287443947482</v>
      </c>
      <c r="AN53" s="59">
        <f ca="1">AVERAGE(OFFSET($AM$3,0,0,'Données projet'!$E$10+1,1))-AVERAGE(OFFSET($H$3,0,0,'Données projet'!$E$10+1,1))</f>
        <v>307.94699176410495</v>
      </c>
      <c r="AO53" s="59">
        <f t="shared" si="36"/>
        <v>314.22983137038875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38.119451993278687</v>
      </c>
      <c r="AV53" s="21">
        <f>EXP(-LN(2)/25)*AV52+(1-EXP(-LN(2)/25))/(LN(2)/25)*Calculateur!AQ53*Calculateur!AS53*VLOOKUP('Données projet'!$B$10,Paramètres!$A$1:$I$89,3,0)*0.475*44/12</f>
        <v>17.150686558895465</v>
      </c>
      <c r="AW53" s="21">
        <f>EXP(-LN(2)/2)*AW52+(1-EXP(-LN(2)/2))/(LN(2)/2)*AQ53*AT53*VLOOKUP('Données projet'!$B$10,Paramètres!$A$1:$I$89,3,0)*0.475*44/12</f>
        <v>1.4118876080322087</v>
      </c>
      <c r="AX53" s="21">
        <f t="shared" si="6"/>
        <v>56.682026160206362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375.69</v>
      </c>
      <c r="BB53" s="12">
        <f>VLOOKUP(A53,'Données projet'!$A$87:$I$107,9,0)</f>
        <v>17.29</v>
      </c>
      <c r="BC53" s="12">
        <f t="array" ref="BC53">INDEX(BB:BB,MIN(IF(ISNUMBER(BB53:BB249),ROW(BB53:BB249),"")))</f>
        <v>17.29</v>
      </c>
      <c r="BD53" s="12">
        <f>IF('Données projet'!$A$88&gt;35,BD52+BC53-BL52,IF(A53&lt;'Données projet'!$A$88,$BA$205^A53,IF(A53='Données projet'!$A$88,'Données projet'!$B$88,BD52+BC53-BL52)))</f>
        <v>375.69000000000005</v>
      </c>
      <c r="BE53" s="13">
        <f>BD53*VLOOKUP('Données projet'!$B$11,Paramètres!$A$1:$I$89,3,0)*VLOOKUP('Données projet'!$B$11,Paramètres!$A$1:$I$89,5,0)</f>
        <v>175.82292000000001</v>
      </c>
      <c r="BF53" s="13">
        <f t="shared" si="37"/>
        <v>44.391596716593277</v>
      </c>
      <c r="BG53" s="20">
        <f t="shared" si="7"/>
        <v>383.54028328139998</v>
      </c>
      <c r="BH53" s="59">
        <f t="shared" si="8"/>
        <v>663.11716996534255</v>
      </c>
      <c r="BI53" s="59">
        <f ca="1">AVERAGE(OFFSET($BH$3,0,0,'Données projet'!$E$11+1,1))-AVERAGE(OFFSET($H$3,0,0,'Données projet'!$E$11+1,1))</f>
        <v>346.55780187946573</v>
      </c>
      <c r="BJ53" s="59">
        <f t="shared" si="38"/>
        <v>297.28652094809149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108.07</v>
      </c>
      <c r="BM53" s="16">
        <f>IF(ISNA(VLOOKUP(A53,'Données projet'!$A$87:$I$107,5,0)),0%,VLOOKUP(A53,'Données projet'!$A$87:$I$107,5,0)*VLOOKUP('Données projet'!$B$11,Paramètres!$A$1:$I$89,7,0))</f>
        <v>0.33</v>
      </c>
      <c r="BN53" s="16">
        <f>IF(ISNA(VLOOKUP(A53,'Données projet'!$A$87:$I$107,6,0)),0%,VLOOKUP(A53,'Données projet'!$A$87:$I$107,6,0)*VLOOKUP('Données projet'!$B$11,Paramètres!$A$1:$I$89,7,0))</f>
        <v>0.11000000000000001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29.943033567579882</v>
      </c>
      <c r="BQ53" s="21">
        <f>EXP(-LN(2)/25)*BQ52+(1-EXP(-LN(2)/25))/(LN(2)/25)*Calculateur!BL53*Calculateur!BN53*VLOOKUP('Données projet'!$B$11,Paramètres!$A$1:$I$89,3,0)*0.475*44/12</f>
        <v>18.146752927082538</v>
      </c>
      <c r="BR53" s="21">
        <f>EXP(-LN(2)/2)*BR52+(1-EXP(-LN(2)/2))/(LN(2)/2)*BL53*BO53*VLOOKUP('Données projet'!$B$11,Paramètres!$A$1:$I$89,3,0)*0.475*44/12</f>
        <v>12.800630396437477</v>
      </c>
      <c r="BS53" s="22">
        <f t="shared" si="9"/>
        <v>60.890416891099896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20.355714285714278</v>
      </c>
      <c r="BY53" s="12">
        <f>IF('Données projet'!$A$114&gt;35,BY52+BX53-CG52,IF(A53&lt;'Données projet'!$A$114,$BV$205^A53,IF(A53='Données projet'!$A$114,'Données projet'!$B$114,BY52+BX53-CG52)))</f>
        <v>411.89571428571452</v>
      </c>
      <c r="BZ53" s="13">
        <f>BY53*VLOOKUP('Données projet'!$B$12,Paramètres!$A$1:$I$89,3,0)*VLOOKUP('Données projet'!$B$12,Paramètres!$A$1:$I$89,5,0)</f>
        <v>230.24970428571442</v>
      </c>
      <c r="CA53" s="13">
        <f t="shared" si="39"/>
        <v>56.336670025642462</v>
      </c>
      <c r="CB53" s="20">
        <f t="shared" si="10"/>
        <v>499.13793525894647</v>
      </c>
      <c r="CC53" s="59">
        <f t="shared" si="11"/>
        <v>778.7148219428891</v>
      </c>
      <c r="CD53" s="59">
        <f ca="1">AVERAGE(OFFSET($CC$3,0,0,'Données projet'!$E$12+1,1))-AVERAGE(OFFSET($H$3,0,0,'Données projet'!$E$12+1,1))</f>
        <v>394.00476121021177</v>
      </c>
      <c r="CE53" s="59">
        <f t="shared" si="40"/>
        <v>363.10016759175278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71.865808164703083</v>
      </c>
      <c r="CL53" s="21">
        <f>EXP(-LN(2)/25)*CL52+(1-EXP(-LN(2)/25))/(LN(2)/25)*Calculateur!CG53*Calculateur!CI53*VLOOKUP('Données projet'!$B$12,Paramètres!$A$1:$I$89,3,0)*0.475*44/12</f>
        <v>29.934984963268398</v>
      </c>
      <c r="CM53" s="21">
        <f>EXP(-LN(2)/2)*CM52+(1-EXP(-LN(2)/2))/(LN(2)/2)*CG53*CJ53*VLOOKUP('Données projet'!$B$12,Paramètres!$A$1:$I$89,3,0)*0.475*44/12</f>
        <v>10.948268463578646</v>
      </c>
      <c r="CN53" s="22">
        <f t="shared" si="12"/>
        <v>112.74906159155012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66.248241822893434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3">
        <f>'Scénario référence'!$B$16*5+'Scénario référence'!$B$17*0+'Scénario référence'!$B$18*5</f>
        <v>1.7999999999999998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6.5999999999999988</v>
      </c>
      <c r="H54" s="67">
        <f t="shared" si="1"/>
        <v>230.26666666666665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637.95553960539064</v>
      </c>
      <c r="S54" s="59">
        <f ca="1">AVERAGE(OFFSET($R$3,0,0,'Données projet'!$E$9+1,1))-AVERAGE(OFFSET($H$3,0,0,'Données projet'!$E$9+1,1))</f>
        <v>652.18744712713965</v>
      </c>
      <c r="T54" s="59">
        <f t="shared" si="34"/>
        <v>288.65635870281199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14.689999999999998</v>
      </c>
      <c r="AI54" s="13">
        <f>IF('Données projet'!$A$62&gt;35,AI53+AH54-AQ53,IF(A54&lt;'Données projet'!$A$62,$AF$205^A54,IF(A54='Données projet'!$A$62,'Données projet'!$B$62,AI53+AH54-AQ53)))</f>
        <v>393.32000000000005</v>
      </c>
      <c r="AJ54" s="13">
        <f>AI54*VLOOKUP('Données projet'!$B$10,Paramètres!$A$1:$I$89,3,0)*VLOOKUP('Données projet'!$B$10,Paramètres!$A$1:$I$89,5,0)</f>
        <v>235.20536000000004</v>
      </c>
      <c r="AK54" s="13">
        <f t="shared" si="35"/>
        <v>57.406731887132807</v>
      </c>
      <c r="AL54" s="20">
        <f t="shared" si="4"/>
        <v>509.63272670342303</v>
      </c>
      <c r="AM54" s="59">
        <f t="shared" si="5"/>
        <v>789.44825698192517</v>
      </c>
      <c r="AN54" s="59">
        <f ca="1">AVERAGE(OFFSET($AM$3,0,0,'Données projet'!$E$10+1,1))-AVERAGE(OFFSET($H$3,0,0,'Données projet'!$E$10+1,1))</f>
        <v>307.94699176410495</v>
      </c>
      <c r="AO54" s="59">
        <f t="shared" si="36"/>
        <v>314.22983137038875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37.371952790260409</v>
      </c>
      <c r="AV54" s="21">
        <f>EXP(-LN(2)/25)*AV53+(1-EXP(-LN(2)/25))/(LN(2)/25)*Calculateur!AQ54*Calculateur!AS54*VLOOKUP('Données projet'!$B$10,Paramètres!$A$1:$I$89,3,0)*0.475*44/12</f>
        <v>16.681700133027061</v>
      </c>
      <c r="AW54" s="21">
        <f>EXP(-LN(2)/2)*AW53+(1-EXP(-LN(2)/2))/(LN(2)/2)*AQ54*AT54*VLOOKUP('Données projet'!$B$10,Paramètres!$A$1:$I$89,3,0)*0.475*44/12</f>
        <v>0.99835530191282906</v>
      </c>
      <c r="AX54" s="21">
        <f t="shared" si="6"/>
        <v>55.052008225200304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16.561250000000001</v>
      </c>
      <c r="BD54" s="12">
        <f>IF('Données projet'!$A$88&gt;35,BD53+BC54-BL53,IF(A54&lt;'Données projet'!$A$88,$BA$205^A54,IF(A54='Données projet'!$A$88,'Données projet'!$B$88,BD53+BC54-BL53)))</f>
        <v>284.18125000000003</v>
      </c>
      <c r="BE54" s="13">
        <f>BD54*VLOOKUP('Données projet'!$B$11,Paramètres!$A$1:$I$89,3,0)*VLOOKUP('Données projet'!$B$11,Paramètres!$A$1:$I$89,5,0)</f>
        <v>132.99682500000003</v>
      </c>
      <c r="BF54" s="13">
        <f t="shared" si="37"/>
        <v>34.687916407887755</v>
      </c>
      <c r="BG54" s="20">
        <f t="shared" si="7"/>
        <v>292.05092461873784</v>
      </c>
      <c r="BH54" s="59">
        <f t="shared" si="8"/>
        <v>571.86645489724003</v>
      </c>
      <c r="BI54" s="59">
        <f ca="1">AVERAGE(OFFSET($BH$3,0,0,'Données projet'!$E$11+1,1))-AVERAGE(OFFSET($H$3,0,0,'Données projet'!$E$11+1,1))</f>
        <v>346.55780187946573</v>
      </c>
      <c r="BJ54" s="59">
        <f t="shared" si="38"/>
        <v>297.28652094809149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29.355868942766751</v>
      </c>
      <c r="BQ54" s="21">
        <f>EXP(-LN(2)/25)*BQ53+(1-EXP(-LN(2)/25))/(LN(2)/25)*Calculateur!BL54*Calculateur!BN54*VLOOKUP('Données projet'!$B$11,Paramètres!$A$1:$I$89,3,0)*0.475*44/12</f>
        <v>17.650529013995204</v>
      </c>
      <c r="BR54" s="21">
        <f>EXP(-LN(2)/2)*BR53+(1-EXP(-LN(2)/2))/(LN(2)/2)*BL54*BO54*VLOOKUP('Données projet'!$B$11,Paramètres!$A$1:$I$89,3,0)*0.475*44/12</f>
        <v>9.0514125567835837</v>
      </c>
      <c r="BS54" s="22">
        <f t="shared" si="9"/>
        <v>56.05781051354554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20.355714285714278</v>
      </c>
      <c r="BY54" s="12">
        <f>IF('Données projet'!$A$114&gt;35,BY53+BX54-CG53,IF(A54&lt;'Données projet'!$A$114,$BV$205^A54,IF(A54='Données projet'!$A$114,'Données projet'!$B$114,BY53+BX54-CG53)))</f>
        <v>432.25142857142879</v>
      </c>
      <c r="BZ54" s="13">
        <f>BY54*VLOOKUP('Données projet'!$B$12,Paramètres!$A$1:$I$89,3,0)*VLOOKUP('Données projet'!$B$12,Paramètres!$A$1:$I$89,5,0)</f>
        <v>241.62854857142869</v>
      </c>
      <c r="CA54" s="13">
        <f t="shared" si="39"/>
        <v>58.789782611687855</v>
      </c>
      <c r="CB54" s="20">
        <f t="shared" si="10"/>
        <v>523.22859347726126</v>
      </c>
      <c r="CC54" s="59">
        <f t="shared" si="11"/>
        <v>803.04412375576339</v>
      </c>
      <c r="CD54" s="59">
        <f ca="1">AVERAGE(OFFSET($CC$3,0,0,'Données projet'!$E$12+1,1))-AVERAGE(OFFSET($H$3,0,0,'Données projet'!$E$12+1,1))</f>
        <v>394.00476121021177</v>
      </c>
      <c r="CE54" s="59">
        <f t="shared" si="40"/>
        <v>363.10016759175278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70.456563500408009</v>
      </c>
      <c r="CL54" s="21">
        <f>EXP(-LN(2)/25)*CL53+(1-EXP(-LN(2)/25))/(LN(2)/25)*Calculateur!CG54*Calculateur!CI54*VLOOKUP('Données projet'!$B$12,Paramètres!$A$1:$I$89,3,0)*0.475*44/12</f>
        <v>29.116411225235382</v>
      </c>
      <c r="CM54" s="21">
        <f>EXP(-LN(2)/2)*CM53+(1-EXP(-LN(2)/2))/(LN(2)/2)*CG54*CJ54*VLOOKUP('Données projet'!$B$12,Paramètres!$A$1:$I$89,3,0)*0.475*44/12</f>
        <v>7.7415948728472852</v>
      </c>
      <c r="CN54" s="22">
        <f t="shared" si="12"/>
        <v>107.31456959849068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66.313326439591506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3">
        <f>'Scénario référence'!$B$16*5+'Scénario référence'!$B$17*0+'Scénario référence'!$B$18*5</f>
        <v>1.7999999999999998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6.5999999999999988</v>
      </c>
      <c r="H55" s="67">
        <f t="shared" si="1"/>
        <v>230.26666666666665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658.18323930307633</v>
      </c>
      <c r="S55" s="59">
        <f ca="1">AVERAGE(OFFSET($R$3,0,0,'Données projet'!$E$9+1,1))-AVERAGE(OFFSET($H$3,0,0,'Données projet'!$E$9+1,1))</f>
        <v>652.18744712713965</v>
      </c>
      <c r="T55" s="59">
        <f t="shared" si="34"/>
        <v>288.65635870281199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408.01</v>
      </c>
      <c r="AG55" s="12">
        <f>VLOOKUP(A55,'Données projet'!$A$61:$I$81,9,0)</f>
        <v>14.689999999999998</v>
      </c>
      <c r="AH55" s="12">
        <f t="array" ref="AH55">INDEX(AG:AG,MIN(IF(ISNUMBER(AG55:AG251),ROW(AG55:AG251),"")))</f>
        <v>14.689999999999998</v>
      </c>
      <c r="AI55" s="13">
        <f>IF('Données projet'!$A$62&gt;35,AI54+AH55-AQ54,IF(A55&lt;'Données projet'!$A$62,$AF$205^A55,IF(A55='Données projet'!$A$62,'Données projet'!$B$62,AI54+AH55-AQ54)))</f>
        <v>408.01000000000005</v>
      </c>
      <c r="AJ55" s="13">
        <f>AI55*VLOOKUP('Données projet'!$B$10,Paramètres!$A$1:$I$89,3,0)*VLOOKUP('Données projet'!$B$10,Paramètres!$A$1:$I$89,5,0)</f>
        <v>243.98998000000003</v>
      </c>
      <c r="AK55" s="13">
        <f t="shared" si="35"/>
        <v>59.297168586253541</v>
      </c>
      <c r="AL55" s="20">
        <f t="shared" si="4"/>
        <v>528.22511712105825</v>
      </c>
      <c r="AM55" s="59">
        <f t="shared" si="5"/>
        <v>808.27515106128158</v>
      </c>
      <c r="AN55" s="59">
        <f ca="1">AVERAGE(OFFSET($AM$3,0,0,'Données projet'!$E$10+1,1))-AVERAGE(OFFSET($H$3,0,0,'Données projet'!$E$10+1,1))</f>
        <v>307.94699176410495</v>
      </c>
      <c r="AO55" s="59">
        <f t="shared" si="36"/>
        <v>314.22983137038875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75.70999999999998</v>
      </c>
      <c r="AR55" s="16">
        <f>IF(ISNA(VLOOKUP(A55,'Données projet'!$A$61:$I$81,5,0)),0%,VLOOKUP(A55,'Données projet'!$A$61:$I$81,5,0)*VLOOKUP('Données projet'!$B$10,Paramètres!$A$1:$I$89,7,0))</f>
        <v>0.27</v>
      </c>
      <c r="AS55" s="16">
        <f>IF(ISNA(VLOOKUP(A55,'Données projet'!$A$61:$I$81,6,0)),0%,VLOOKUP(A55,'Données projet'!$A$61:$I$81,6,0)*VLOOKUP('Données projet'!$B$10,Paramètres!$A$1:$I$89,7,0))</f>
        <v>9.0000000000000011E-2</v>
      </c>
      <c r="AT55" s="16">
        <f>IF(ISNA(VLOOKUP(A55,'Données projet'!$A$61:$I$81,7,0)),0%,VLOOKUP(A55,'Données projet'!$A$61:$I$81,7,0))</f>
        <v>0.2</v>
      </c>
      <c r="AU55" s="21">
        <f>EXP(-LN(2)/35)*AU54+(1-EXP(-LN(2)/35))/(LN(2)/35)*AQ55*AR55*VLOOKUP('Données projet'!$B$10,Paramètres!$A$1:$I$89,3,0)*0.475*44/12</f>
        <v>52.855216702681361</v>
      </c>
      <c r="AV55" s="21">
        <f>EXP(-LN(2)/25)*AV54+(1-EXP(-LN(2)/25))/(LN(2)/25)*Calculateur!AQ55*Calculateur!AS55*VLOOKUP('Données projet'!$B$10,Paramètres!$A$1:$I$89,3,0)*0.475*44/12</f>
        <v>21.609623541420671</v>
      </c>
      <c r="AW55" s="21">
        <f>EXP(-LN(2)/2)*AW54+(1-EXP(-LN(2)/2))/(LN(2)/2)*AQ55*AT55*VLOOKUP('Données projet'!$B$10,Paramètres!$A$1:$I$89,3,0)*0.475*44/12</f>
        <v>10.958212150605259</v>
      </c>
      <c r="AX55" s="21">
        <f t="shared" si="6"/>
        <v>85.423052394707298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16.561250000000001</v>
      </c>
      <c r="BD55" s="12">
        <f>IF('Données projet'!$A$88&gt;35,BD54+BC55-BL54,IF(A55&lt;'Données projet'!$A$88,$BA$205^A55,IF(A55='Données projet'!$A$88,'Données projet'!$B$88,BD54+BC55-BL54)))</f>
        <v>300.74250000000006</v>
      </c>
      <c r="BE55" s="13">
        <f>BD55*VLOOKUP('Données projet'!$B$11,Paramètres!$A$1:$I$89,3,0)*VLOOKUP('Données projet'!$B$11,Paramètres!$A$1:$I$89,5,0)</f>
        <v>140.74749000000003</v>
      </c>
      <c r="BF55" s="13">
        <f t="shared" si="37"/>
        <v>36.46819185149684</v>
      </c>
      <c r="BG55" s="20">
        <f t="shared" si="7"/>
        <v>308.65064589135704</v>
      </c>
      <c r="BH55" s="59">
        <f t="shared" si="8"/>
        <v>588.70067983158037</v>
      </c>
      <c r="BI55" s="59">
        <f ca="1">AVERAGE(OFFSET($BH$3,0,0,'Données projet'!$E$11+1,1))-AVERAGE(OFFSET($H$3,0,0,'Données projet'!$E$11+1,1))</f>
        <v>346.55780187946573</v>
      </c>
      <c r="BJ55" s="59">
        <f t="shared" si="38"/>
        <v>297.28652094809149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28.780218258111148</v>
      </c>
      <c r="BQ55" s="21">
        <f>EXP(-LN(2)/25)*BQ54+(1-EXP(-LN(2)/25))/(LN(2)/25)*Calculateur!BL55*Calculateur!BN55*VLOOKUP('Données projet'!$B$11,Paramètres!$A$1:$I$89,3,0)*0.475*44/12</f>
        <v>17.167874369906524</v>
      </c>
      <c r="BR55" s="21">
        <f>EXP(-LN(2)/2)*BR54+(1-EXP(-LN(2)/2))/(LN(2)/2)*BL55*BO55*VLOOKUP('Données projet'!$B$11,Paramètres!$A$1:$I$89,3,0)*0.475*44/12</f>
        <v>6.4003151982187383</v>
      </c>
      <c r="BS55" s="22">
        <f t="shared" si="9"/>
        <v>52.348407826236411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20.355714285714278</v>
      </c>
      <c r="BY55" s="12">
        <f>IF('Données projet'!$A$114&gt;35,BY54+BX55-CG54,IF(A55&lt;'Données projet'!$A$114,$BV$205^A55,IF(A55='Données projet'!$A$114,'Données projet'!$B$114,BY54+BX55-CG54)))</f>
        <v>452.60714285714306</v>
      </c>
      <c r="BZ55" s="13">
        <f>BY55*VLOOKUP('Données projet'!$B$12,Paramètres!$A$1:$I$89,3,0)*VLOOKUP('Données projet'!$B$12,Paramètres!$A$1:$I$89,5,0)</f>
        <v>253.007392857143</v>
      </c>
      <c r="CA55" s="13">
        <f t="shared" si="39"/>
        <v>61.229479905592257</v>
      </c>
      <c r="CB55" s="20">
        <f t="shared" si="10"/>
        <v>547.29588672843067</v>
      </c>
      <c r="CC55" s="59">
        <f t="shared" si="11"/>
        <v>827.34592066865412</v>
      </c>
      <c r="CD55" s="59">
        <f ca="1">AVERAGE(OFFSET($CC$3,0,0,'Données projet'!$E$12+1,1))-AVERAGE(OFFSET($H$3,0,0,'Données projet'!$E$12+1,1))</f>
        <v>394.00476121021177</v>
      </c>
      <c r="CE55" s="59">
        <f t="shared" si="40"/>
        <v>363.10016759175278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69.074953264425389</v>
      </c>
      <c r="CL55" s="21">
        <f>EXP(-LN(2)/25)*CL54+(1-EXP(-LN(2)/25))/(LN(2)/25)*Calculateur!CG55*Calculateur!CI55*VLOOKUP('Données projet'!$B$12,Paramètres!$A$1:$I$89,3,0)*0.475*44/12</f>
        <v>28.320221429115801</v>
      </c>
      <c r="CM55" s="21">
        <f>EXP(-LN(2)/2)*CM54+(1-EXP(-LN(2)/2))/(LN(2)/2)*CG55*CJ55*VLOOKUP('Données projet'!$B$12,Paramètres!$A$1:$I$89,3,0)*0.475*44/12</f>
        <v>5.474134231789324</v>
      </c>
      <c r="CN55" s="22">
        <f t="shared" si="12"/>
        <v>102.86930892533051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66.377281983697287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3">
        <f>'Scénario référence'!$B$16*5+'Scénario référence'!$B$17*0+'Scénario référence'!$B$18*5</f>
        <v>1.7999999999999998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6.5999999999999988</v>
      </c>
      <c r="H56" s="67">
        <f t="shared" si="1"/>
        <v>230.26666666666665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678.38386904357958</v>
      </c>
      <c r="S56" s="59">
        <f ca="1">AVERAGE(OFFSET($R$3,0,0,'Données projet'!$E$9+1,1))-AVERAGE(OFFSET($H$3,0,0,'Données projet'!$E$9+1,1))</f>
        <v>652.18744712713965</v>
      </c>
      <c r="T56" s="59">
        <f t="shared" si="34"/>
        <v>288.65635870281199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13.18</v>
      </c>
      <c r="AI56" s="13">
        <f>IF('Données projet'!$A$62&gt;35,AI55+AH56-AQ55,IF(A56&lt;'Données projet'!$A$62,$AF$205^A56,IF(A56='Données projet'!$A$62,'Données projet'!$B$62,AI55+AH56-AQ55)))</f>
        <v>345.48000000000008</v>
      </c>
      <c r="AJ56" s="13">
        <f>AI56*VLOOKUP('Données projet'!$B$10,Paramètres!$A$1:$I$89,3,0)*VLOOKUP('Données projet'!$B$10,Paramètres!$A$1:$I$89,5,0)</f>
        <v>206.59704000000005</v>
      </c>
      <c r="AK56" s="13">
        <f t="shared" si="35"/>
        <v>51.191247731076885</v>
      </c>
      <c r="AL56" s="20">
        <f t="shared" si="4"/>
        <v>448.98126779829232</v>
      </c>
      <c r="AM56" s="59">
        <f t="shared" si="5"/>
        <v>729.26173728597769</v>
      </c>
      <c r="AN56" s="59">
        <f ca="1">AVERAGE(OFFSET($AM$3,0,0,'Données projet'!$E$10+1,1))-AVERAGE(OFFSET($H$3,0,0,'Données projet'!$E$10+1,1))</f>
        <v>307.94699176410495</v>
      </c>
      <c r="AO56" s="59">
        <f t="shared" si="36"/>
        <v>314.22983137038875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51.818758141640679</v>
      </c>
      <c r="AV56" s="21">
        <f>EXP(-LN(2)/25)*AV55+(1-EXP(-LN(2)/25))/(LN(2)/25)*Calculateur!AQ56*Calculateur!AS56*VLOOKUP('Données projet'!$B$10,Paramètres!$A$1:$I$89,3,0)*0.475*44/12</f>
        <v>21.01870724927981</v>
      </c>
      <c r="AW56" s="21">
        <f>EXP(-LN(2)/2)*AW55+(1-EXP(-LN(2)/2))/(LN(2)/2)*AQ56*AT56*VLOOKUP('Données projet'!$B$10,Paramètres!$A$1:$I$89,3,0)*0.475*44/12</f>
        <v>7.7486261213737997</v>
      </c>
      <c r="AX56" s="21">
        <f t="shared" si="6"/>
        <v>80.586091512294288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16.561250000000001</v>
      </c>
      <c r="BD56" s="12">
        <f>IF('Données projet'!$A$88&gt;35,BD55+BC56-BL55,IF(A56&lt;'Données projet'!$A$88,$BA$205^A56,IF(A56='Données projet'!$A$88,'Données projet'!$B$88,BD55+BC56-BL55)))</f>
        <v>317.30375000000004</v>
      </c>
      <c r="BE56" s="13">
        <f>BD56*VLOOKUP('Données projet'!$B$11,Paramètres!$A$1:$I$89,3,0)*VLOOKUP('Données projet'!$B$11,Paramètres!$A$1:$I$89,5,0)</f>
        <v>148.49815500000003</v>
      </c>
      <c r="BF56" s="13">
        <f t="shared" si="37"/>
        <v>38.237086329747228</v>
      </c>
      <c r="BG56" s="20">
        <f t="shared" si="7"/>
        <v>325.23054531597643</v>
      </c>
      <c r="BH56" s="59">
        <f t="shared" si="8"/>
        <v>605.51101480366174</v>
      </c>
      <c r="BI56" s="59">
        <f ca="1">AVERAGE(OFFSET($BH$3,0,0,'Données projet'!$E$11+1,1))-AVERAGE(OFFSET($H$3,0,0,'Données projet'!$E$11+1,1))</f>
        <v>346.55780187946573</v>
      </c>
      <c r="BJ56" s="59">
        <f t="shared" si="38"/>
        <v>297.28652094809149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28.215855732269393</v>
      </c>
      <c r="BQ56" s="21">
        <f>EXP(-LN(2)/25)*BQ55+(1-EXP(-LN(2)/25))/(LN(2)/25)*Calculateur!BL56*Calculateur!BN56*VLOOKUP('Données projet'!$B$11,Paramètres!$A$1:$I$89,3,0)*0.475*44/12</f>
        <v>16.698417942442155</v>
      </c>
      <c r="BR56" s="21">
        <f>EXP(-LN(2)/2)*BR55+(1-EXP(-LN(2)/2))/(LN(2)/2)*BL56*BO56*VLOOKUP('Données projet'!$B$11,Paramètres!$A$1:$I$89,3,0)*0.475*44/12</f>
        <v>4.5257062783917918</v>
      </c>
      <c r="BS56" s="22">
        <f t="shared" si="9"/>
        <v>49.439979953103347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20.355714285714278</v>
      </c>
      <c r="BY56" s="12">
        <f>IF('Données projet'!$A$114&gt;35,BY55+BX56-CG55,IF(A56&lt;'Données projet'!$A$114,$BV$205^A56,IF(A56='Données projet'!$A$114,'Données projet'!$B$114,BY55+BX56-CG55)))</f>
        <v>472.96285714285733</v>
      </c>
      <c r="BZ56" s="13">
        <f>BY56*VLOOKUP('Données projet'!$B$12,Paramètres!$A$1:$I$89,3,0)*VLOOKUP('Données projet'!$B$12,Paramètres!$A$1:$I$89,5,0)</f>
        <v>264.38623714285728</v>
      </c>
      <c r="CA56" s="13">
        <f t="shared" si="39"/>
        <v>63.656434183712321</v>
      </c>
      <c r="CB56" s="20">
        <f t="shared" si="10"/>
        <v>571.34098589377538</v>
      </c>
      <c r="CC56" s="59">
        <f t="shared" si="11"/>
        <v>851.62145538146069</v>
      </c>
      <c r="CD56" s="59">
        <f ca="1">AVERAGE(OFFSET($CC$3,0,0,'Données projet'!$E$12+1,1))-AVERAGE(OFFSET($H$3,0,0,'Données projet'!$E$12+1,1))</f>
        <v>394.00476121021177</v>
      </c>
      <c r="CE56" s="59">
        <f t="shared" si="40"/>
        <v>363.10016759175278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67.720435562471351</v>
      </c>
      <c r="CL56" s="21">
        <f>EXP(-LN(2)/25)*CL55+(1-EXP(-LN(2)/25))/(LN(2)/25)*Calculateur!CG56*Calculateur!CI56*VLOOKUP('Données projet'!$B$12,Paramètres!$A$1:$I$89,3,0)*0.475*44/12</f>
        <v>27.54580348484091</v>
      </c>
      <c r="CM56" s="21">
        <f>EXP(-LN(2)/2)*CM55+(1-EXP(-LN(2)/2))/(LN(2)/2)*CG56*CJ56*VLOOKUP('Données projet'!$B$12,Paramètres!$A$1:$I$89,3,0)*0.475*44/12</f>
        <v>3.870797436423643</v>
      </c>
      <c r="CN56" s="22">
        <f t="shared" si="12"/>
        <v>99.137036483735912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66.440128042095992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3">
        <f>'Scénario référence'!$B$16*5+'Scénario référence'!$B$17*0+'Scénario référence'!$B$18*5</f>
        <v>1.7999999999999998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6.5999999999999988</v>
      </c>
      <c r="H57" s="67">
        <f t="shared" si="1"/>
        <v>230.26666666666665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698.55881492013168</v>
      </c>
      <c r="S57" s="59">
        <f ca="1">AVERAGE(OFFSET($R$3,0,0,'Données projet'!$E$9+1,1))-AVERAGE(OFFSET($H$3,0,0,'Données projet'!$E$9+1,1))</f>
        <v>652.18744712713965</v>
      </c>
      <c r="T57" s="59">
        <f t="shared" si="34"/>
        <v>288.65635870281199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13.18</v>
      </c>
      <c r="AI57" s="13">
        <f>IF('Données projet'!$A$62&gt;35,AI56+AH57-AQ56,IF(A57&lt;'Données projet'!$A$62,$AF$205^A57,IF(A57='Données projet'!$A$62,'Données projet'!$B$62,AI56+AH57-AQ56)))</f>
        <v>358.66000000000008</v>
      </c>
      <c r="AJ57" s="13">
        <f>AI57*VLOOKUP('Données projet'!$B$10,Paramètres!$A$1:$I$89,3,0)*VLOOKUP('Données projet'!$B$10,Paramètres!$A$1:$I$89,5,0)</f>
        <v>214.47868000000008</v>
      </c>
      <c r="AK57" s="13">
        <f t="shared" si="35"/>
        <v>52.913084692982125</v>
      </c>
      <c r="AL57" s="20">
        <f t="shared" si="4"/>
        <v>465.70732350694396</v>
      </c>
      <c r="AM57" s="59">
        <f t="shared" si="5"/>
        <v>746.21423100051948</v>
      </c>
      <c r="AN57" s="59">
        <f ca="1">AVERAGE(OFFSET($AM$3,0,0,'Données projet'!$E$10+1,1))-AVERAGE(OFFSET($H$3,0,0,'Données projet'!$E$10+1,1))</f>
        <v>307.94699176410495</v>
      </c>
      <c r="AO57" s="59">
        <f t="shared" si="36"/>
        <v>314.22983137038875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50.802623900804704</v>
      </c>
      <c r="AV57" s="21">
        <f>EXP(-LN(2)/25)*AV56+(1-EXP(-LN(2)/25))/(LN(2)/25)*Calculateur!AQ57*Calculateur!AS57*VLOOKUP('Données projet'!$B$10,Paramètres!$A$1:$I$89,3,0)*0.475*44/12</f>
        <v>20.443949594222477</v>
      </c>
      <c r="AW57" s="21">
        <f>EXP(-LN(2)/2)*AW56+(1-EXP(-LN(2)/2))/(LN(2)/2)*AQ57*AT57*VLOOKUP('Données projet'!$B$10,Paramètres!$A$1:$I$89,3,0)*0.475*44/12</f>
        <v>5.4791060753026306</v>
      </c>
      <c r="AX57" s="21">
        <f t="shared" si="6"/>
        <v>76.725679570329802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16.561250000000001</v>
      </c>
      <c r="BD57" s="12">
        <f>IF('Données projet'!$A$88&gt;35,BD56+BC57-BL56,IF(A57&lt;'Données projet'!$A$88,$BA$205^A57,IF(A57='Données projet'!$A$88,'Données projet'!$B$88,BD56+BC57-BL56)))</f>
        <v>333.86500000000001</v>
      </c>
      <c r="BE57" s="13">
        <f>BD57*VLOOKUP('Données projet'!$B$11,Paramètres!$A$1:$I$89,3,0)*VLOOKUP('Données projet'!$B$11,Paramètres!$A$1:$I$89,5,0)</f>
        <v>156.24881999999999</v>
      </c>
      <c r="BF57" s="13">
        <f t="shared" si="37"/>
        <v>39.995261606085506</v>
      </c>
      <c r="BG57" s="20">
        <f t="shared" si="7"/>
        <v>341.7917754639322</v>
      </c>
      <c r="BH57" s="59">
        <f t="shared" si="8"/>
        <v>622.29868295750771</v>
      </c>
      <c r="BI57" s="59">
        <f ca="1">AVERAGE(OFFSET($BH$3,0,0,'Données projet'!$E$11+1,1))-AVERAGE(OFFSET($H$3,0,0,'Données projet'!$E$11+1,1))</f>
        <v>346.55780187946573</v>
      </c>
      <c r="BJ57" s="59">
        <f t="shared" si="38"/>
        <v>297.28652094809149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27.662560011332243</v>
      </c>
      <c r="BQ57" s="21">
        <f>EXP(-LN(2)/25)*BQ56+(1-EXP(-LN(2)/25))/(LN(2)/25)*Calculateur!BL57*Calculateur!BN57*VLOOKUP('Données projet'!$B$11,Paramètres!$A$1:$I$89,3,0)*0.475*44/12</f>
        <v>16.24179882567444</v>
      </c>
      <c r="BR57" s="21">
        <f>EXP(-LN(2)/2)*BR56+(1-EXP(-LN(2)/2))/(LN(2)/2)*BL57*BO57*VLOOKUP('Données projet'!$B$11,Paramètres!$A$1:$I$89,3,0)*0.475*44/12</f>
        <v>3.2001575991093691</v>
      </c>
      <c r="BS57" s="22">
        <f t="shared" si="9"/>
        <v>47.10451643611605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20.355714285714278</v>
      </c>
      <c r="BY57" s="12">
        <f>IF('Données projet'!$A$114&gt;35,BY56+BX57-CG56,IF(A57&lt;'Données projet'!$A$114,$BV$205^A57,IF(A57='Données projet'!$A$114,'Données projet'!$B$114,BY56+BX57-CG56)))</f>
        <v>493.3185714285716</v>
      </c>
      <c r="BZ57" s="13">
        <f>BY57*VLOOKUP('Données projet'!$B$12,Paramètres!$A$1:$I$89,3,0)*VLOOKUP('Données projet'!$B$12,Paramètres!$A$1:$I$89,5,0)</f>
        <v>275.76508142857153</v>
      </c>
      <c r="CA57" s="13">
        <f t="shared" si="39"/>
        <v>66.071256581811042</v>
      </c>
      <c r="CB57" s="20">
        <f t="shared" si="10"/>
        <v>595.36495536808297</v>
      </c>
      <c r="CC57" s="59">
        <f t="shared" si="11"/>
        <v>875.87186286165843</v>
      </c>
      <c r="CD57" s="59">
        <f ca="1">AVERAGE(OFFSET($CC$3,0,0,'Données projet'!$E$12+1,1))-AVERAGE(OFFSET($H$3,0,0,'Données projet'!$E$12+1,1))</f>
        <v>394.00476121021177</v>
      </c>
      <c r="CE57" s="59">
        <f t="shared" si="40"/>
        <v>363.10016759175278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66.392479126478406</v>
      </c>
      <c r="CL57" s="21">
        <f>EXP(-LN(2)/25)*CL56+(1-EXP(-LN(2)/25))/(LN(2)/25)*Calculateur!CG57*Calculateur!CI57*VLOOKUP('Données projet'!$B$12,Paramètres!$A$1:$I$89,3,0)*0.475*44/12</f>
        <v>26.792562039977085</v>
      </c>
      <c r="CM57" s="21">
        <f>EXP(-LN(2)/2)*CM56+(1-EXP(-LN(2)/2))/(LN(2)/2)*CG57*CJ57*VLOOKUP('Données projet'!$B$12,Paramètres!$A$1:$I$89,3,0)*0.475*44/12</f>
        <v>2.7370671158946625</v>
      </c>
      <c r="CN57" s="22">
        <f t="shared" si="12"/>
        <v>95.922108282350152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66.501883861884224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3">
        <f>'Scénario référence'!$B$16*5+'Scénario référence'!$B$17*0+'Scénario référence'!$B$18*5</f>
        <v>1.7999999999999998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6.5999999999999988</v>
      </c>
      <c r="H58" s="67">
        <f t="shared" si="1"/>
        <v>230.26666666666665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718.70932607189502</v>
      </c>
      <c r="S58" s="59">
        <f ca="1">AVERAGE(OFFSET($R$3,0,0,'Données projet'!$E$9+1,1))-AVERAGE(OFFSET($H$3,0,0,'Données projet'!$E$9+1,1))</f>
        <v>652.18744712713965</v>
      </c>
      <c r="T58" s="59">
        <f t="shared" si="34"/>
        <v>288.65635870281199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13.18</v>
      </c>
      <c r="AI58" s="13">
        <f>IF('Données projet'!$A$62&gt;35,AI57+AH58-AQ57,IF(A58&lt;'Données projet'!$A$62,$AF$205^A58,IF(A58='Données projet'!$A$62,'Données projet'!$B$62,AI57+AH58-AQ57)))</f>
        <v>371.84000000000009</v>
      </c>
      <c r="AJ58" s="13">
        <f>AI58*VLOOKUP('Données projet'!$B$10,Paramètres!$A$1:$I$89,3,0)*VLOOKUP('Données projet'!$B$10,Paramètres!$A$1:$I$89,5,0)</f>
        <v>222.36032000000009</v>
      </c>
      <c r="AK58" s="13">
        <f t="shared" si="35"/>
        <v>54.627570556659869</v>
      </c>
      <c r="AL58" s="20">
        <f t="shared" si="4"/>
        <v>482.42057605284941</v>
      </c>
      <c r="AM58" s="59">
        <f t="shared" si="5"/>
        <v>763.1499933591524</v>
      </c>
      <c r="AN58" s="59">
        <f ca="1">AVERAGE(OFFSET($AM$3,0,0,'Données projet'!$E$10+1,1))-AVERAGE(OFFSET($H$3,0,0,'Données projet'!$E$10+1,1))</f>
        <v>307.94699176410495</v>
      </c>
      <c r="AO58" s="59">
        <f t="shared" si="36"/>
        <v>314.22983137038875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49.806415432650837</v>
      </c>
      <c r="AV58" s="21">
        <f>EXP(-LN(2)/25)*AV57+(1-EXP(-LN(2)/25))/(LN(2)/25)*Calculateur!AQ58*Calculateur!AS58*VLOOKUP('Données projet'!$B$10,Paramètres!$A$1:$I$89,3,0)*0.475*44/12</f>
        <v>19.88490871746788</v>
      </c>
      <c r="AW58" s="21">
        <f>EXP(-LN(2)/2)*AW57+(1-EXP(-LN(2)/2))/(LN(2)/2)*AQ58*AT58*VLOOKUP('Données projet'!$B$10,Paramètres!$A$1:$I$89,3,0)*0.475*44/12</f>
        <v>3.8743130606869007</v>
      </c>
      <c r="AX58" s="21">
        <f t="shared" si="6"/>
        <v>73.565637210805619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16.561250000000001</v>
      </c>
      <c r="BD58" s="12">
        <f>IF('Données projet'!$A$88&gt;35,BD57+BC58-BL57,IF(A58&lt;'Données projet'!$A$88,$BA$205^A58,IF(A58='Données projet'!$A$88,'Données projet'!$B$88,BD57+BC58-BL57)))</f>
        <v>350.42624999999998</v>
      </c>
      <c r="BE58" s="13">
        <f>BD58*VLOOKUP('Données projet'!$B$11,Paramètres!$A$1:$I$89,3,0)*VLOOKUP('Données projet'!$B$11,Paramètres!$A$1:$I$89,5,0)</f>
        <v>163.99948499999999</v>
      </c>
      <c r="BF58" s="13">
        <f t="shared" si="37"/>
        <v>41.743310082042726</v>
      </c>
      <c r="BG58" s="20">
        <f t="shared" si="7"/>
        <v>358.33536810122433</v>
      </c>
      <c r="BH58" s="59">
        <f t="shared" si="8"/>
        <v>639.06478540752732</v>
      </c>
      <c r="BI58" s="59">
        <f ca="1">AVERAGE(OFFSET($BH$3,0,0,'Données projet'!$E$11+1,1))-AVERAGE(OFFSET($H$3,0,0,'Données projet'!$E$11+1,1))</f>
        <v>346.55780187946573</v>
      </c>
      <c r="BJ58" s="59">
        <f t="shared" si="38"/>
        <v>297.28652094809149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27.120114082005603</v>
      </c>
      <c r="BQ58" s="21">
        <f>EXP(-LN(2)/25)*BQ57+(1-EXP(-LN(2)/25))/(LN(2)/25)*Calculateur!BL58*Calculateur!BN58*VLOOKUP('Données projet'!$B$11,Paramètres!$A$1:$I$89,3,0)*0.475*44/12</f>
        <v>15.797665982667294</v>
      </c>
      <c r="BR58" s="21">
        <f>EXP(-LN(2)/2)*BR57+(1-EXP(-LN(2)/2))/(LN(2)/2)*BL58*BO58*VLOOKUP('Données projet'!$B$11,Paramètres!$A$1:$I$89,3,0)*0.475*44/12</f>
        <v>2.2628531391958959</v>
      </c>
      <c r="BS58" s="22">
        <f t="shared" si="9"/>
        <v>45.180633203868794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20.355714285714278</v>
      </c>
      <c r="BY58" s="12">
        <f>IF('Données projet'!$A$114&gt;35,BY57+BX58-CG57,IF(A58&lt;'Données projet'!$A$114,$BV$205^A58,IF(A58='Données projet'!$A$114,'Données projet'!$B$114,BY57+BX58-CG57)))</f>
        <v>513.67428571428593</v>
      </c>
      <c r="BZ58" s="13">
        <f>BY58*VLOOKUP('Données projet'!$B$12,Paramètres!$A$1:$I$89,3,0)*VLOOKUP('Données projet'!$B$12,Paramètres!$A$1:$I$89,5,0)</f>
        <v>287.14392571428584</v>
      </c>
      <c r="CA58" s="13">
        <f t="shared" si="39"/>
        <v>68.474504947595136</v>
      </c>
      <c r="CB58" s="20">
        <f t="shared" si="10"/>
        <v>619.36876673610948</v>
      </c>
      <c r="CC58" s="59">
        <f t="shared" si="11"/>
        <v>900.09818404241253</v>
      </c>
      <c r="CD58" s="59">
        <f ca="1">AVERAGE(OFFSET($CC$3,0,0,'Données projet'!$E$12+1,1))-AVERAGE(OFFSET($H$3,0,0,'Données projet'!$E$12+1,1))</f>
        <v>394.00476121021177</v>
      </c>
      <c r="CE58" s="59">
        <f t="shared" si="40"/>
        <v>363.10016759175278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65.090563106221836</v>
      </c>
      <c r="CL58" s="21">
        <f>EXP(-LN(2)/25)*CL57+(1-EXP(-LN(2)/25))/(LN(2)/25)*Calculateur!CG58*Calculateur!CI58*VLOOKUP('Données projet'!$B$12,Paramètres!$A$1:$I$89,3,0)*0.475*44/12</f>
        <v>26.05991802203431</v>
      </c>
      <c r="CM58" s="21">
        <f>EXP(-LN(2)/2)*CM57+(1-EXP(-LN(2)/2))/(LN(2)/2)*CG58*CJ58*VLOOKUP('Données projet'!$B$12,Paramètres!$A$1:$I$89,3,0)*0.475*44/12</f>
        <v>1.935398718211822</v>
      </c>
      <c r="CN58" s="22">
        <f t="shared" si="12"/>
        <v>93.085879846467975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66.562568356264464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3">
        <f>'Scénario référence'!$B$16*5+'Scénario référence'!$B$17*0+'Scénario référence'!$B$18*5</f>
        <v>1.7999999999999998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6.5999999999999988</v>
      </c>
      <c r="H59" s="67">
        <f t="shared" si="1"/>
        <v>230.26666666666665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738.83653437424175</v>
      </c>
      <c r="S59" s="59">
        <f ca="1">AVERAGE(OFFSET($R$3,0,0,'Données projet'!$E$9+1,1))-AVERAGE(OFFSET($H$3,0,0,'Données projet'!$E$9+1,1))</f>
        <v>652.18744712713965</v>
      </c>
      <c r="T59" s="59">
        <f t="shared" si="34"/>
        <v>288.65635870281199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13.18</v>
      </c>
      <c r="AI59" s="13">
        <f>IF('Données projet'!$A$62&gt;35,AI58+AH59-AQ58,IF(A59&lt;'Données projet'!$A$62,$AF$205^A59,IF(A59='Données projet'!$A$62,'Données projet'!$B$62,AI58+AH59-AQ58)))</f>
        <v>385.0200000000001</v>
      </c>
      <c r="AJ59" s="13">
        <f>AI59*VLOOKUP('Données projet'!$B$10,Paramètres!$A$1:$I$89,3,0)*VLOOKUP('Données projet'!$B$10,Paramètres!$A$1:$I$89,5,0)</f>
        <v>230.24196000000006</v>
      </c>
      <c r="AK59" s="13">
        <f t="shared" si="35"/>
        <v>56.334995738213507</v>
      </c>
      <c r="AL59" s="20">
        <f t="shared" si="4"/>
        <v>499.12153124405523</v>
      </c>
      <c r="AM59" s="59">
        <f t="shared" si="5"/>
        <v>780.06959831529241</v>
      </c>
      <c r="AN59" s="59">
        <f ca="1">AVERAGE(OFFSET($AM$3,0,0,'Données projet'!$E$10+1,1))-AVERAGE(OFFSET($H$3,0,0,'Données projet'!$E$10+1,1))</f>
        <v>307.94699176410495</v>
      </c>
      <c r="AO59" s="59">
        <f t="shared" si="36"/>
        <v>314.22983137038875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48.829742004930303</v>
      </c>
      <c r="AV59" s="21">
        <f>EXP(-LN(2)/25)*AV58+(1-EXP(-LN(2)/25))/(LN(2)/25)*Calculateur!AQ59*Calculateur!AS59*VLOOKUP('Données projet'!$B$10,Paramètres!$A$1:$I$89,3,0)*0.475*44/12</f>
        <v>19.341154842886819</v>
      </c>
      <c r="AW59" s="21">
        <f>EXP(-LN(2)/2)*AW58+(1-EXP(-LN(2)/2))/(LN(2)/2)*AQ59*AT59*VLOOKUP('Données projet'!$B$10,Paramètres!$A$1:$I$89,3,0)*0.475*44/12</f>
        <v>2.7395530376513157</v>
      </c>
      <c r="AX59" s="21">
        <f t="shared" si="6"/>
        <v>70.910449885468438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16.561250000000001</v>
      </c>
      <c r="BD59" s="12">
        <f>IF('Données projet'!$A$88&gt;35,BD58+BC59-BL58,IF(A59&lt;'Données projet'!$A$88,$BA$205^A59,IF(A59='Données projet'!$A$88,'Données projet'!$B$88,BD58+BC59-BL58)))</f>
        <v>366.98749999999995</v>
      </c>
      <c r="BE59" s="13">
        <f>BD59*VLOOKUP('Données projet'!$B$11,Paramètres!$A$1:$I$89,3,0)*VLOOKUP('Données projet'!$B$11,Paramètres!$A$1:$I$89,5,0)</f>
        <v>171.75014999999996</v>
      </c>
      <c r="BF59" s="13">
        <f t="shared" si="37"/>
        <v>43.481765000846472</v>
      </c>
      <c r="BG59" s="20">
        <f t="shared" si="7"/>
        <v>374.86225195980757</v>
      </c>
      <c r="BH59" s="59">
        <f t="shared" si="8"/>
        <v>655.81031903104474</v>
      </c>
      <c r="BI59" s="59">
        <f ca="1">AVERAGE(OFFSET($BH$3,0,0,'Données projet'!$E$11+1,1))-AVERAGE(OFFSET($H$3,0,0,'Données projet'!$E$11+1,1))</f>
        <v>346.55780187946573</v>
      </c>
      <c r="BJ59" s="59">
        <f t="shared" si="38"/>
        <v>297.28652094809149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26.588305186493713</v>
      </c>
      <c r="BQ59" s="21">
        <f>EXP(-LN(2)/25)*BQ58+(1-EXP(-LN(2)/25))/(LN(2)/25)*Calculateur!BL59*Calculateur!BN59*VLOOKUP('Données projet'!$B$11,Paramètres!$A$1:$I$89,3,0)*0.475*44/12</f>
        <v>15.365677975608108</v>
      </c>
      <c r="BR59" s="21">
        <f>EXP(-LN(2)/2)*BR58+(1-EXP(-LN(2)/2))/(LN(2)/2)*BL59*BO59*VLOOKUP('Données projet'!$B$11,Paramètres!$A$1:$I$89,3,0)*0.475*44/12</f>
        <v>1.6000787995546846</v>
      </c>
      <c r="BS59" s="22">
        <f t="shared" si="9"/>
        <v>43.554061961656508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>
        <f>VLOOKUP(A59,'Données projet'!$A$113:$I$133,2,0)</f>
        <v>534.03</v>
      </c>
      <c r="BW59" s="12">
        <f>VLOOKUP(A59,'Données projet'!$A$113:$I$133,9,0)</f>
        <v>20.355714285714278</v>
      </c>
      <c r="BX59" s="12">
        <f t="array" ref="BX59">INDEX(BW:BW,MIN(IF(ISNUMBER(BW59:BW255),ROW(BW59:BW255),"")))</f>
        <v>20.355714285714278</v>
      </c>
      <c r="BY59" s="12">
        <f>IF('Données projet'!$A$114&gt;35,BY58+BX59-CG58,IF(A59&lt;'Données projet'!$A$114,$BV$205^A59,IF(A59='Données projet'!$A$114,'Données projet'!$B$114,BY58+BX59-CG58)))</f>
        <v>534.0300000000002</v>
      </c>
      <c r="BZ59" s="13">
        <f>BY59*VLOOKUP('Données projet'!$B$12,Paramètres!$A$1:$I$89,3,0)*VLOOKUP('Données projet'!$B$12,Paramètres!$A$1:$I$89,5,0)</f>
        <v>298.52277000000015</v>
      </c>
      <c r="CA59" s="13">
        <f t="shared" si="39"/>
        <v>70.866690413510668</v>
      </c>
      <c r="CB59" s="20">
        <f t="shared" si="10"/>
        <v>643.35331022019807</v>
      </c>
      <c r="CC59" s="59">
        <f t="shared" si="11"/>
        <v>924.3013772914353</v>
      </c>
      <c r="CD59" s="59">
        <f ca="1">AVERAGE(OFFSET($CC$3,0,0,'Données projet'!$E$12+1,1))-AVERAGE(OFFSET($H$3,0,0,'Données projet'!$E$12+1,1))</f>
        <v>394.00476121021177</v>
      </c>
      <c r="CE59" s="59">
        <f t="shared" si="40"/>
        <v>363.10016759175278</v>
      </c>
      <c r="CF59" s="15">
        <f>IF(ISNA(VLOOKUP(A59,'Données projet'!$A$113:$I$133,3,0)),0,VLOOKUP(A59,'Données projet'!$A$113:$I$133,3,0))</f>
        <v>6</v>
      </c>
      <c r="CG59" s="15">
        <f>IF(ISNA(VLOOKUP(A59,'Données projet'!$A$113:$I$133,4,0)),0,VLOOKUP(A59,'Données projet'!$A$113:$I$133,4,0))</f>
        <v>94.669999999999959</v>
      </c>
      <c r="CH59" s="16">
        <f>IF(ISNA(VLOOKUP(A59,'Données projet'!$A$113:$I$133,5,0)),0%,VLOOKUP(A59,'Données projet'!$A$113:$I$133,5,0)*VLOOKUP('Données projet'!$B$12,Paramètres!$A$1:$I$89,7,0))</f>
        <v>0.33</v>
      </c>
      <c r="CI59" s="16">
        <f>IF(ISNA(VLOOKUP(A59,'Données projet'!$A$113:$I$133,6,0)),0%,VLOOKUP(A59,'Données projet'!$A$113:$I$133,6,0)*VLOOKUP('Données projet'!$B$12,Paramètres!$A$1:$I$89,7,0))</f>
        <v>0.11000000000000001</v>
      </c>
      <c r="CJ59" s="16">
        <f>IF(ISNA(VLOOKUP(A59,'Données projet'!$A$113:$I$133,7,0)),0%,VLOOKUP(A59,'Données projet'!$A$113:$I$133,7,0))</f>
        <v>0.2</v>
      </c>
      <c r="CK59" s="21">
        <f>EXP(-LN(2)/35)*CK58+(1-EXP(-LN(2)/35))/(LN(2)/35)*CG59*CH59*VLOOKUP('Données projet'!$B$12,Paramètres!$A$1:$I$89,3,0)*0.475*44/12</f>
        <v>86.980999905169341</v>
      </c>
      <c r="CL59" s="21">
        <f>EXP(-LN(2)/25)*CL58+(1-EXP(-LN(2)/25))/(LN(2)/25)*Calculateur!CG59*Calculateur!CI59*VLOOKUP('Données projet'!$B$12,Paramètres!$A$1:$I$89,3,0)*0.475*44/12</f>
        <v>33.039177003482436</v>
      </c>
      <c r="CM59" s="21">
        <f>EXP(-LN(2)/2)*CM58+(1-EXP(-LN(2)/2))/(LN(2)/2)*CG59*CJ59*VLOOKUP('Données projet'!$B$12,Paramètres!$A$1:$I$89,3,0)*0.475*44/12</f>
        <v>13.352200211590977</v>
      </c>
      <c r="CN59" s="22">
        <f t="shared" si="12"/>
        <v>133.37237712024276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66.622200110337403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3">
        <f>'Scénario référence'!$B$16*5+'Scénario référence'!$B$17*0+'Scénario référence'!$B$18*5</f>
        <v>1.7999999999999998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6.5999999999999988</v>
      </c>
      <c r="H60" s="67">
        <f t="shared" si="1"/>
        <v>230.26666666666665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758.94147052992321</v>
      </c>
      <c r="S60" s="59">
        <f ca="1">AVERAGE(OFFSET($R$3,0,0,'Données projet'!$E$9+1,1))-AVERAGE(OFFSET($H$3,0,0,'Données projet'!$E$9+1,1))</f>
        <v>652.18744712713965</v>
      </c>
      <c r="T60" s="59">
        <f t="shared" si="34"/>
        <v>288.65635870281199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13.18</v>
      </c>
      <c r="AI60" s="13">
        <f>IF('Données projet'!$A$62&gt;35,AI59+AH60-AQ59,IF(A60&lt;'Données projet'!$A$62,$AF$205^A60,IF(A60='Données projet'!$A$62,'Données projet'!$B$62,AI59+AH60-AQ59)))</f>
        <v>398.2000000000001</v>
      </c>
      <c r="AJ60" s="13">
        <f>AI60*VLOOKUP('Données projet'!$B$10,Paramètres!$A$1:$I$89,3,0)*VLOOKUP('Données projet'!$B$10,Paramètres!$A$1:$I$89,5,0)</f>
        <v>238.12360000000007</v>
      </c>
      <c r="AK60" s="13">
        <f t="shared" si="35"/>
        <v>58.035629642885198</v>
      </c>
      <c r="AL60" s="20">
        <f t="shared" si="4"/>
        <v>515.81065829469196</v>
      </c>
      <c r="AM60" s="59">
        <f t="shared" si="5"/>
        <v>796.97358204626926</v>
      </c>
      <c r="AN60" s="59">
        <f ca="1">AVERAGE(OFFSET($AM$3,0,0,'Données projet'!$E$10+1,1))-AVERAGE(OFFSET($H$3,0,0,'Données projet'!$E$10+1,1))</f>
        <v>307.94699176410495</v>
      </c>
      <c r="AO60" s="59">
        <f t="shared" si="36"/>
        <v>314.22983137038875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47.872220547415395</v>
      </c>
      <c r="AV60" s="21">
        <f>EXP(-LN(2)/25)*AV59+(1-EXP(-LN(2)/25))/(LN(2)/25)*Calculateur!AQ60*Calculateur!AS60*VLOOKUP('Données projet'!$B$10,Paramètres!$A$1:$I$89,3,0)*0.475*44/12</f>
        <v>18.812269946600949</v>
      </c>
      <c r="AW60" s="21">
        <f>EXP(-LN(2)/2)*AW59+(1-EXP(-LN(2)/2))/(LN(2)/2)*AQ60*AT60*VLOOKUP('Données projet'!$B$10,Paramètres!$A$1:$I$89,3,0)*0.475*44/12</f>
        <v>1.9371565303434506</v>
      </c>
      <c r="AX60" s="21">
        <f t="shared" si="6"/>
        <v>68.621647024359788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16.561250000000001</v>
      </c>
      <c r="BD60" s="12">
        <f>IF('Données projet'!$A$88&gt;35,BD59+BC60-BL59,IF(A60&lt;'Données projet'!$A$88,$BA$205^A60,IF(A60='Données projet'!$A$88,'Données projet'!$B$88,BD59+BC60-BL59)))</f>
        <v>383.54874999999993</v>
      </c>
      <c r="BE60" s="13">
        <f>BD60*VLOOKUP('Données projet'!$B$11,Paramètres!$A$1:$I$89,3,0)*VLOOKUP('Données projet'!$B$11,Paramètres!$A$1:$I$89,5,0)</f>
        <v>179.50081499999996</v>
      </c>
      <c r="BF60" s="13">
        <f t="shared" si="37"/>
        <v>45.211108757127889</v>
      </c>
      <c r="BG60" s="20">
        <f t="shared" si="7"/>
        <v>391.37326721033105</v>
      </c>
      <c r="BH60" s="59">
        <f t="shared" si="8"/>
        <v>672.53619096190846</v>
      </c>
      <c r="BI60" s="59">
        <f ca="1">AVERAGE(OFFSET($BH$3,0,0,'Données projet'!$E$11+1,1))-AVERAGE(OFFSET($H$3,0,0,'Données projet'!$E$11+1,1))</f>
        <v>346.55780187946573</v>
      </c>
      <c r="BJ60" s="59">
        <f t="shared" si="38"/>
        <v>297.28652094809149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26.066924739051412</v>
      </c>
      <c r="BQ60" s="21">
        <f>EXP(-LN(2)/25)*BQ59+(1-EXP(-LN(2)/25))/(LN(2)/25)*Calculateur!BL60*Calculateur!BN60*VLOOKUP('Données projet'!$B$11,Paramètres!$A$1:$I$89,3,0)*0.475*44/12</f>
        <v>14.945502703319217</v>
      </c>
      <c r="BR60" s="21">
        <f>EXP(-LN(2)/2)*BR59+(1-EXP(-LN(2)/2))/(LN(2)/2)*BL60*BO60*VLOOKUP('Données projet'!$B$11,Paramètres!$A$1:$I$89,3,0)*0.475*44/12</f>
        <v>1.131426569597948</v>
      </c>
      <c r="BS60" s="22">
        <f t="shared" si="9"/>
        <v>42.143854011968578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18.617142857142849</v>
      </c>
      <c r="BY60" s="12">
        <f>IF('Données projet'!$A$114&gt;35,BY59+BX60-CG59,IF(A60&lt;'Données projet'!$A$114,$BV$205^A60,IF(A60='Données projet'!$A$114,'Données projet'!$B$114,BY59+BX60-CG59)))</f>
        <v>457.97714285714312</v>
      </c>
      <c r="BZ60" s="13">
        <f>BY60*VLOOKUP('Données projet'!$B$12,Paramètres!$A$1:$I$89,3,0)*VLOOKUP('Données projet'!$B$12,Paramètres!$A$1:$I$89,5,0)</f>
        <v>256.00922285714302</v>
      </c>
      <c r="CA60" s="13">
        <f t="shared" si="39"/>
        <v>61.870941241266237</v>
      </c>
      <c r="CB60" s="20">
        <f t="shared" si="10"/>
        <v>553.64128580472936</v>
      </c>
      <c r="CC60" s="59">
        <f t="shared" si="11"/>
        <v>834.80420955630666</v>
      </c>
      <c r="CD60" s="59">
        <f ca="1">AVERAGE(OFFSET($CC$3,0,0,'Données projet'!$E$12+1,1))-AVERAGE(OFFSET($H$3,0,0,'Données projet'!$E$12+1,1))</f>
        <v>394.00476121021177</v>
      </c>
      <c r="CE60" s="59">
        <f t="shared" si="40"/>
        <v>363.10016759175278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85.275355550200345</v>
      </c>
      <c r="CL60" s="21">
        <f>EXP(-LN(2)/25)*CL59+(1-EXP(-LN(2)/25))/(LN(2)/25)*Calculateur!CG60*Calculateur!CI60*VLOOKUP('Données projet'!$B$12,Paramètres!$A$1:$I$89,3,0)*0.475*44/12</f>
        <v>32.135718970867401</v>
      </c>
      <c r="CM60" s="21">
        <f>EXP(-LN(2)/2)*CM59+(1-EXP(-LN(2)/2))/(LN(2)/2)*CG60*CJ60*VLOOKUP('Données projet'!$B$12,Paramètres!$A$1:$I$89,3,0)*0.475*44/12</f>
        <v>9.4414313133764356</v>
      </c>
      <c r="CN60" s="22">
        <f t="shared" si="12"/>
        <v>126.85250583444419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66.680797386793813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3">
        <f>'Scénario référence'!$B$16*5+'Scénario référence'!$B$17*0+'Scénario référence'!$B$18*5</f>
        <v>1.7999999999999998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6.5999999999999988</v>
      </c>
      <c r="H61" s="67">
        <f t="shared" si="1"/>
        <v>230.26666666666665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779.02507734492815</v>
      </c>
      <c r="S61" s="59">
        <f ca="1">AVERAGE(OFFSET($R$3,0,0,'Données projet'!$E$9+1,1))-AVERAGE(OFFSET($H$3,0,0,'Données projet'!$E$9+1,1))</f>
        <v>652.18744712713965</v>
      </c>
      <c r="T61" s="59">
        <f t="shared" si="34"/>
        <v>288.65635870281199</v>
      </c>
      <c r="U61" s="15">
        <f>IF(ISNA(VLOOKUP(A61,'Données projet'!$A$35:$I$55,3,0)),0,VLOOKUP(A61,'Données projet'!$A$35:$I$55,3,0))</f>
        <v>5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13.18</v>
      </c>
      <c r="AI61" s="13">
        <f>IF('Données projet'!$A$62&gt;35,AI60+AH61-AQ60,IF(A61&lt;'Données projet'!$A$62,$AF$205^A61,IF(A61='Données projet'!$A$62,'Données projet'!$B$62,AI60+AH61-AQ60)))</f>
        <v>411.38000000000011</v>
      </c>
      <c r="AJ61" s="13">
        <f>AI61*VLOOKUP('Données projet'!$B$10,Paramètres!$A$1:$I$89,3,0)*VLOOKUP('Données projet'!$B$10,Paramètres!$A$1:$I$89,5,0)</f>
        <v>246.0052400000001</v>
      </c>
      <c r="AK61" s="13">
        <f t="shared" si="35"/>
        <v>59.729722829762714</v>
      </c>
      <c r="AL61" s="20">
        <f t="shared" si="4"/>
        <v>532.48839359517024</v>
      </c>
      <c r="AM61" s="59">
        <f t="shared" si="5"/>
        <v>813.86244674403133</v>
      </c>
      <c r="AN61" s="59">
        <f ca="1">AVERAGE(OFFSET($AM$3,0,0,'Données projet'!$E$10+1,1))-AVERAGE(OFFSET($H$3,0,0,'Données projet'!$E$10+1,1))</f>
        <v>307.94699176410495</v>
      </c>
      <c r="AO61" s="59">
        <f t="shared" si="36"/>
        <v>314.22983137038875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46.933475501651934</v>
      </c>
      <c r="AV61" s="21">
        <f>EXP(-LN(2)/25)*AV60+(1-EXP(-LN(2)/25))/(LN(2)/25)*Calculateur!AQ61*Calculateur!AS61*VLOOKUP('Données projet'!$B$10,Paramètres!$A$1:$I$89,3,0)*0.475*44/12</f>
        <v>18.297847435616866</v>
      </c>
      <c r="AW61" s="21">
        <f>EXP(-LN(2)/2)*AW60+(1-EXP(-LN(2)/2))/(LN(2)/2)*AQ61*AT61*VLOOKUP('Données projet'!$B$10,Paramètres!$A$1:$I$89,3,0)*0.475*44/12</f>
        <v>1.3697765188256581</v>
      </c>
      <c r="AX61" s="21">
        <f t="shared" si="6"/>
        <v>66.60109945609446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400.11</v>
      </c>
      <c r="BB61" s="12">
        <f>VLOOKUP(A61,'Données projet'!$A$87:$I$107,9,0)</f>
        <v>16.561250000000001</v>
      </c>
      <c r="BC61" s="12">
        <f t="array" ref="BC61">INDEX(BB:BB,MIN(IF(ISNUMBER(BB61:BB257),ROW(BB61:BB257),"")))</f>
        <v>16.561250000000001</v>
      </c>
      <c r="BD61" s="12">
        <f>IF('Données projet'!$A$88&gt;35,BD60+BC61-BL60,IF(A61&lt;'Données projet'!$A$88,$BA$205^A61,IF(A61='Données projet'!$A$88,'Données projet'!$B$88,BD60+BC61-BL60)))</f>
        <v>400.1099999999999</v>
      </c>
      <c r="BE61" s="13">
        <f>BD61*VLOOKUP('Données projet'!$B$11,Paramètres!$A$1:$I$89,3,0)*VLOOKUP('Données projet'!$B$11,Paramètres!$A$1:$I$89,5,0)</f>
        <v>187.25147999999993</v>
      </c>
      <c r="BF61" s="13">
        <f t="shared" si="37"/>
        <v>46.931779730921761</v>
      </c>
      <c r="BG61" s="20">
        <f t="shared" si="7"/>
        <v>407.8691773646886</v>
      </c>
      <c r="BH61" s="59">
        <f t="shared" si="8"/>
        <v>689.24323051354975</v>
      </c>
      <c r="BI61" s="59">
        <f ca="1">AVERAGE(OFFSET($BH$3,0,0,'Données projet'!$E$11+1,1))-AVERAGE(OFFSET($H$3,0,0,'Données projet'!$E$11+1,1))</f>
        <v>346.55780187946573</v>
      </c>
      <c r="BJ61" s="59">
        <f t="shared" si="38"/>
        <v>297.28652094809149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88.54000000000002</v>
      </c>
      <c r="BM61" s="16">
        <f>IF(ISNA(VLOOKUP(A61,'Données projet'!$A$87:$I$107,5,0)),0%,VLOOKUP(A61,'Données projet'!$A$87:$I$107,5,0)*VLOOKUP('Données projet'!$B$11,Paramètres!$A$1:$I$89,7,0))</f>
        <v>0.33</v>
      </c>
      <c r="BN61" s="16">
        <f>IF(ISNA(VLOOKUP(A61,'Données projet'!$A$87:$I$107,6,0)),0%,VLOOKUP(A61,'Données projet'!$A$87:$I$107,6,0)*VLOOKUP('Données projet'!$B$11,Paramètres!$A$1:$I$89,7,0))</f>
        <v>0.11000000000000001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43.695366611833023</v>
      </c>
      <c r="BQ61" s="21">
        <f>EXP(-LN(2)/25)*BQ60+(1-EXP(-LN(2)/25))/(LN(2)/25)*Calculateur!BL61*Calculateur!BN61*VLOOKUP('Données projet'!$B$11,Paramètres!$A$1:$I$89,3,0)*0.475*44/12</f>
        <v>20.559542431666429</v>
      </c>
      <c r="BR61" s="21">
        <f>EXP(-LN(2)/2)*BR60+(1-EXP(-LN(2)/2))/(LN(2)/2)*BL61*BO61*VLOOKUP('Données projet'!$B$11,Paramètres!$A$1:$I$89,3,0)*0.475*44/12</f>
        <v>10.183237937289515</v>
      </c>
      <c r="BS61" s="22">
        <f t="shared" si="9"/>
        <v>74.438146980788972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18.617142857142849</v>
      </c>
      <c r="BY61" s="12">
        <f>IF('Données projet'!$A$114&gt;35,BY60+BX61-CG60,IF(A61&lt;'Données projet'!$A$114,$BV$205^A61,IF(A61='Données projet'!$A$114,'Données projet'!$B$114,BY60+BX61-CG60)))</f>
        <v>476.59428571428595</v>
      </c>
      <c r="BZ61" s="13">
        <f>BY61*VLOOKUP('Données projet'!$B$12,Paramètres!$A$1:$I$89,3,0)*VLOOKUP('Données projet'!$B$12,Paramètres!$A$1:$I$89,5,0)</f>
        <v>266.41620571428587</v>
      </c>
      <c r="CA61" s="13">
        <f t="shared" si="39"/>
        <v>64.088107222101385</v>
      </c>
      <c r="CB61" s="20">
        <f t="shared" si="10"/>
        <v>575.62834503087436</v>
      </c>
      <c r="CC61" s="59">
        <f t="shared" si="11"/>
        <v>857.00239817973556</v>
      </c>
      <c r="CD61" s="59">
        <f ca="1">AVERAGE(OFFSET($CC$3,0,0,'Données projet'!$E$12+1,1))-AVERAGE(OFFSET($H$3,0,0,'Données projet'!$E$12+1,1))</f>
        <v>394.00476121021177</v>
      </c>
      <c r="CE61" s="59">
        <f t="shared" si="40"/>
        <v>363.10016759175278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83.603157840691964</v>
      </c>
      <c r="CL61" s="21">
        <f>EXP(-LN(2)/25)*CL60+(1-EXP(-LN(2)/25))/(LN(2)/25)*Calculateur!CG61*Calculateur!CI61*VLOOKUP('Données projet'!$B$12,Paramètres!$A$1:$I$89,3,0)*0.475*44/12</f>
        <v>31.25696604566502</v>
      </c>
      <c r="CM61" s="21">
        <f>EXP(-LN(2)/2)*CM60+(1-EXP(-LN(2)/2))/(LN(2)/2)*CG61*CJ61*VLOOKUP('Données projet'!$B$12,Paramètres!$A$1:$I$89,3,0)*0.475*44/12</f>
        <v>6.6761001057954896</v>
      </c>
      <c r="CN61" s="22">
        <f t="shared" si="12"/>
        <v>121.53622399215247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66.738378131507588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3">
        <f>'Scénario référence'!$B$16*5+'Scénario référence'!$B$17*0+'Scénario référence'!$B$18*5</f>
        <v>1.7999999999999998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6.5999999999999988</v>
      </c>
      <c r="H62" s="67">
        <f t="shared" si="1"/>
        <v>230.26666666666665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706.88971790194819</v>
      </c>
      <c r="S62" s="59">
        <f ca="1">AVERAGE(OFFSET($R$3,0,0,'Données projet'!$E$9+1,1))-AVERAGE(OFFSET($H$3,0,0,'Données projet'!$E$9+1,1))</f>
        <v>652.18744712713965</v>
      </c>
      <c r="T62" s="59">
        <f t="shared" si="34"/>
        <v>288.65635870281199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13.18</v>
      </c>
      <c r="AI62" s="13">
        <f>IF('Données projet'!$A$62&gt;35,AI61+AH62-AQ61,IF(A62&lt;'Données projet'!$A$62,$AF$205^A62,IF(A62='Données projet'!$A$62,'Données projet'!$B$62,AI61+AH62-AQ61)))</f>
        <v>424.56000000000012</v>
      </c>
      <c r="AJ62" s="13">
        <f>AI62*VLOOKUP('Données projet'!$B$10,Paramètres!$A$1:$I$89,3,0)*VLOOKUP('Données projet'!$B$10,Paramètres!$A$1:$I$89,5,0)</f>
        <v>253.8868800000001</v>
      </c>
      <c r="AK62" s="13">
        <f t="shared" si="35"/>
        <v>61.417508891277024</v>
      </c>
      <c r="AL62" s="20">
        <f t="shared" si="4"/>
        <v>549.15514398564108</v>
      </c>
      <c r="AM62" s="59">
        <f t="shared" si="5"/>
        <v>830.73666390875792</v>
      </c>
      <c r="AN62" s="59">
        <f ca="1">AVERAGE(OFFSET($AM$3,0,0,'Données projet'!$E$10+1,1))-AVERAGE(OFFSET($H$3,0,0,'Données projet'!$E$10+1,1))</f>
        <v>307.94699176410495</v>
      </c>
      <c r="AO62" s="59">
        <f t="shared" si="36"/>
        <v>314.22983137038875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46.013138673657956</v>
      </c>
      <c r="AV62" s="21">
        <f>EXP(-LN(2)/25)*AV61+(1-EXP(-LN(2)/25))/(LN(2)/25)*Calculateur!AQ62*Calculateur!AS62*VLOOKUP('Données projet'!$B$10,Paramètres!$A$1:$I$89,3,0)*0.475*44/12</f>
        <v>17.797491835247946</v>
      </c>
      <c r="AW62" s="21">
        <f>EXP(-LN(2)/2)*AW61+(1-EXP(-LN(2)/2))/(LN(2)/2)*AQ62*AT62*VLOOKUP('Données projet'!$B$10,Paramètres!$A$1:$I$89,3,0)*0.475*44/12</f>
        <v>0.96857826517172552</v>
      </c>
      <c r="AX62" s="21">
        <f t="shared" si="6"/>
        <v>64.779208774077631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16.078749999999999</v>
      </c>
      <c r="BD62" s="12">
        <f>IF('Données projet'!$A$88&gt;35,BD61+BC62-BL61,IF(A62&lt;'Données projet'!$A$88,$BA$205^A62,IF(A62='Données projet'!$A$88,'Données projet'!$B$88,BD61+BC62-BL61)))</f>
        <v>327.64874999999989</v>
      </c>
      <c r="BE62" s="13">
        <f>BD62*VLOOKUP('Données projet'!$B$11,Paramètres!$A$1:$I$89,3,0)*VLOOKUP('Données projet'!$B$11,Paramètres!$A$1:$I$89,5,0)</f>
        <v>153.33961499999995</v>
      </c>
      <c r="BF62" s="13">
        <f t="shared" si="37"/>
        <v>39.336549754966939</v>
      </c>
      <c r="BG62" s="20">
        <f t="shared" si="7"/>
        <v>335.57765361490061</v>
      </c>
      <c r="BH62" s="59">
        <f t="shared" si="8"/>
        <v>617.1591735380174</v>
      </c>
      <c r="BI62" s="59">
        <f ca="1">AVERAGE(OFFSET($BH$3,0,0,'Données projet'!$E$11+1,1))-AVERAGE(OFFSET($H$3,0,0,'Données projet'!$E$11+1,1))</f>
        <v>346.55780187946573</v>
      </c>
      <c r="BJ62" s="59">
        <f t="shared" si="38"/>
        <v>297.28652094809149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42.838527124116993</v>
      </c>
      <c r="BQ62" s="21">
        <f>EXP(-LN(2)/25)*BQ61+(1-EXP(-LN(2)/25))/(LN(2)/25)*Calculateur!BL62*Calculateur!BN62*VLOOKUP('Données projet'!$B$11,Paramètres!$A$1:$I$89,3,0)*0.475*44/12</f>
        <v>19.997340662693162</v>
      </c>
      <c r="BR62" s="21">
        <f>EXP(-LN(2)/2)*BR61+(1-EXP(-LN(2)/2))/(LN(2)/2)*BL62*BO62*VLOOKUP('Données projet'!$B$11,Paramètres!$A$1:$I$89,3,0)*0.475*44/12</f>
        <v>7.2006365998935271</v>
      </c>
      <c r="BS62" s="22">
        <f t="shared" si="9"/>
        <v>70.036504386703683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18.617142857142849</v>
      </c>
      <c r="BY62" s="12">
        <f>IF('Données projet'!$A$114&gt;35,BY61+BX62-CG61,IF(A62&lt;'Données projet'!$A$114,$BV$205^A62,IF(A62='Données projet'!$A$114,'Données projet'!$B$114,BY61+BX62-CG61)))</f>
        <v>495.21142857142877</v>
      </c>
      <c r="BZ62" s="13">
        <f>BY62*VLOOKUP('Données projet'!$B$12,Paramètres!$A$1:$I$89,3,0)*VLOOKUP('Données projet'!$B$12,Paramètres!$A$1:$I$89,5,0)</f>
        <v>276.82318857142872</v>
      </c>
      <c r="CA62" s="13">
        <f t="shared" si="39"/>
        <v>66.295212111853616</v>
      </c>
      <c r="CB62" s="20">
        <f t="shared" si="10"/>
        <v>597.59788119005009</v>
      </c>
      <c r="CC62" s="59">
        <f t="shared" si="11"/>
        <v>879.17940111316693</v>
      </c>
      <c r="CD62" s="59">
        <f ca="1">AVERAGE(OFFSET($CC$3,0,0,'Données projet'!$E$12+1,1))-AVERAGE(OFFSET($H$3,0,0,'Données projet'!$E$12+1,1))</f>
        <v>394.00476121021177</v>
      </c>
      <c r="CE62" s="59">
        <f t="shared" si="40"/>
        <v>363.10016759175278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81.963750908327142</v>
      </c>
      <c r="CL62" s="21">
        <f>EXP(-LN(2)/25)*CL61+(1-EXP(-LN(2)/25))/(LN(2)/25)*Calculateur!CG62*Calculateur!CI62*VLOOKUP('Données projet'!$B$12,Paramètres!$A$1:$I$89,3,0)*0.475*44/12</f>
        <v>30.402242665413905</v>
      </c>
      <c r="CM62" s="21">
        <f>EXP(-LN(2)/2)*CM61+(1-EXP(-LN(2)/2))/(LN(2)/2)*CG62*CJ62*VLOOKUP('Données projet'!$B$12,Paramètres!$A$1:$I$89,3,0)*0.475*44/12</f>
        <v>4.7207156566882187</v>
      </c>
      <c r="CN62" s="22">
        <f t="shared" si="12"/>
        <v>117.08670923042926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66.794959979031844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3">
        <f>'Scénario référence'!$B$16*5+'Scénario référence'!$B$17*0+'Scénario référence'!$B$18*5</f>
        <v>1.7999999999999998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6.5999999999999988</v>
      </c>
      <c r="H63" s="67">
        <f t="shared" si="1"/>
        <v>230.26666666666665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726.5220720904324</v>
      </c>
      <c r="S63" s="59">
        <f ca="1">AVERAGE(OFFSET($R$3,0,0,'Données projet'!$E$9+1,1))-AVERAGE(OFFSET($H$3,0,0,'Données projet'!$E$9+1,1))</f>
        <v>652.18744712713965</v>
      </c>
      <c r="T63" s="59">
        <f t="shared" si="34"/>
        <v>288.65635870281199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437.74</v>
      </c>
      <c r="AG63" s="12">
        <f>VLOOKUP(A63,'Données projet'!$A$61:$I$81,9,0)</f>
        <v>13.18</v>
      </c>
      <c r="AH63" s="12">
        <f t="array" ref="AH63">INDEX(AG:AG,MIN(IF(ISNUMBER(AG63:AG259),ROW(AG63:AG259),"")))</f>
        <v>13.18</v>
      </c>
      <c r="AI63" s="13">
        <f>IF('Données projet'!$A$62&gt;35,AI62+AH63-AQ62,IF(A63&lt;'Données projet'!$A$62,$AF$205^A63,IF(A63='Données projet'!$A$62,'Données projet'!$B$62,AI62+AH63-AQ62)))</f>
        <v>437.74000000000012</v>
      </c>
      <c r="AJ63" s="13">
        <f>AI63*VLOOKUP('Données projet'!$B$10,Paramètres!$A$1:$I$89,3,0)*VLOOKUP('Données projet'!$B$10,Paramètres!$A$1:$I$89,5,0)</f>
        <v>261.76852000000008</v>
      </c>
      <c r="AK63" s="13">
        <f t="shared" si="35"/>
        <v>63.099206092755566</v>
      </c>
      <c r="AL63" s="20">
        <f t="shared" si="4"/>
        <v>565.81128961154946</v>
      </c>
      <c r="AM63" s="59">
        <f t="shared" si="5"/>
        <v>847.59667722421466</v>
      </c>
      <c r="AN63" s="59">
        <f ca="1">AVERAGE(OFFSET($AM$3,0,0,'Données projet'!$E$10+1,1))-AVERAGE(OFFSET($H$3,0,0,'Données projet'!$E$10+1,1))</f>
        <v>307.94699176410495</v>
      </c>
      <c r="AO63" s="59">
        <f t="shared" si="36"/>
        <v>314.22983137038875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437.74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138.86910891946479</v>
      </c>
      <c r="AV63" s="21">
        <f>EXP(-LN(2)/25)*AV62+(1-EXP(-LN(2)/25))/(LN(2)/25)*Calculateur!AQ63*Calculateur!AS63*VLOOKUP('Données projet'!$B$10,Paramètres!$A$1:$I$89,3,0)*0.475*44/12</f>
        <v>48.440517763852199</v>
      </c>
      <c r="AW63" s="21">
        <f>EXP(-LN(2)/2)*AW62+(1-EXP(-LN(2)/2))/(LN(2)/2)*AQ63*AT63*VLOOKUP('Données projet'!$B$10,Paramètres!$A$1:$I$89,3,0)*0.475*44/12</f>
        <v>59.961442823353359</v>
      </c>
      <c r="AX63" s="21">
        <f t="shared" si="6"/>
        <v>247.27106950667036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16.078749999999999</v>
      </c>
      <c r="BD63" s="12">
        <f>IF('Données projet'!$A$88&gt;35,BD62+BC63-BL62,IF(A63&lt;'Données projet'!$A$88,$BA$205^A63,IF(A63='Données projet'!$A$88,'Données projet'!$B$88,BD62+BC63-BL62)))</f>
        <v>343.72749999999991</v>
      </c>
      <c r="BE63" s="13">
        <f>BD63*VLOOKUP('Données projet'!$B$11,Paramètres!$A$1:$I$89,3,0)*VLOOKUP('Données projet'!$B$11,Paramètres!$A$1:$I$89,5,0)</f>
        <v>160.86446999999995</v>
      </c>
      <c r="BF63" s="13">
        <f t="shared" si="37"/>
        <v>41.037437838357505</v>
      </c>
      <c r="BG63" s="20">
        <f t="shared" si="7"/>
        <v>351.6458228184726</v>
      </c>
      <c r="BH63" s="59">
        <f t="shared" si="8"/>
        <v>633.43121043113774</v>
      </c>
      <c r="BI63" s="59">
        <f ca="1">AVERAGE(OFFSET($BH$3,0,0,'Données projet'!$E$11+1,1))-AVERAGE(OFFSET($H$3,0,0,'Données projet'!$E$11+1,1))</f>
        <v>346.55780187946573</v>
      </c>
      <c r="BJ63" s="59">
        <f t="shared" si="38"/>
        <v>297.28652094809149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41.998489736134587</v>
      </c>
      <c r="BQ63" s="21">
        <f>EXP(-LN(2)/25)*BQ62+(1-EXP(-LN(2)/25))/(LN(2)/25)*Calculateur!BL63*Calculateur!BN63*VLOOKUP('Données projet'!$B$11,Paramètres!$A$1:$I$89,3,0)*0.475*44/12</f>
        <v>19.450512330657375</v>
      </c>
      <c r="BR63" s="21">
        <f>EXP(-LN(2)/2)*BR62+(1-EXP(-LN(2)/2))/(LN(2)/2)*BL63*BO63*VLOOKUP('Données projet'!$B$11,Paramètres!$A$1:$I$89,3,0)*0.475*44/12</f>
        <v>5.0916189686447586</v>
      </c>
      <c r="BS63" s="22">
        <f t="shared" si="9"/>
        <v>66.540621035436715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18.617142857142849</v>
      </c>
      <c r="BY63" s="12">
        <f>IF('Données projet'!$A$114&gt;35,BY62+BX63-CG62,IF(A63&lt;'Données projet'!$A$114,$BV$205^A63,IF(A63='Données projet'!$A$114,'Données projet'!$B$114,BY62+BX63-CG62)))</f>
        <v>513.82857142857165</v>
      </c>
      <c r="BZ63" s="13">
        <f>BY63*VLOOKUP('Données projet'!$B$12,Paramètres!$A$1:$I$89,3,0)*VLOOKUP('Données projet'!$B$12,Paramètres!$A$1:$I$89,5,0)</f>
        <v>287.23017142857157</v>
      </c>
      <c r="CA63" s="13">
        <f t="shared" si="39"/>
        <v>68.492677457199264</v>
      </c>
      <c r="CB63" s="20">
        <f t="shared" si="10"/>
        <v>619.55062847605086</v>
      </c>
      <c r="CC63" s="59">
        <f t="shared" si="11"/>
        <v>901.33601608871606</v>
      </c>
      <c r="CD63" s="59">
        <f ca="1">AVERAGE(OFFSET($CC$3,0,0,'Données projet'!$E$12+1,1))-AVERAGE(OFFSET($H$3,0,0,'Données projet'!$E$12+1,1))</f>
        <v>394.00476121021177</v>
      </c>
      <c r="CE63" s="59">
        <f t="shared" si="40"/>
        <v>363.10016759175278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80.356491745966508</v>
      </c>
      <c r="CL63" s="21">
        <f>EXP(-LN(2)/25)*CL62+(1-EXP(-LN(2)/25))/(LN(2)/25)*Calculateur!CG63*Calculateur!CI63*VLOOKUP('Données projet'!$B$12,Paramètres!$A$1:$I$89,3,0)*0.475*44/12</f>
        <v>29.570891740943704</v>
      </c>
      <c r="CM63" s="21">
        <f>EXP(-LN(2)/2)*CM62+(1-EXP(-LN(2)/2))/(LN(2)/2)*CG63*CJ63*VLOOKUP('Données projet'!$B$12,Paramètres!$A$1:$I$89,3,0)*0.475*44/12</f>
        <v>3.3380500528977457</v>
      </c>
      <c r="CN63" s="22">
        <f t="shared" si="12"/>
        <v>113.26543353980796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66.850560257999604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3">
        <f>'Scénario référence'!$B$16*5+'Scénario référence'!$B$17*0+'Scénario référence'!$B$18*5</f>
        <v>1.7999999999999998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6.5999999999999988</v>
      </c>
      <c r="H64" s="67">
        <f t="shared" si="1"/>
        <v>230.26666666666665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746.13271777083719</v>
      </c>
      <c r="S64" s="59">
        <f ca="1">AVERAGE(OFFSET($R$3,0,0,'Données projet'!$E$9+1,1))-AVERAGE(OFFSET($H$3,0,0,'Données projet'!$E$9+1,1))</f>
        <v>652.18744712713965</v>
      </c>
      <c r="T64" s="59">
        <f t="shared" si="34"/>
        <v>288.65635870281199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281.9857186535819</v>
      </c>
      <c r="AN64" s="59">
        <f ca="1">AVERAGE(OFFSET($AM$3,0,0,'Données projet'!$E$10+1,1))-AVERAGE(OFFSET($H$3,0,0,'Données projet'!$E$10+1,1))</f>
        <v>307.94699176410495</v>
      </c>
      <c r="AO64" s="59">
        <f t="shared" si="36"/>
        <v>314.22983137038875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136.14597039534692</v>
      </c>
      <c r="AV64" s="21">
        <f>EXP(-LN(2)/25)*AV63+(1-EXP(-LN(2)/25))/(LN(2)/25)*Calculateur!AQ64*Calculateur!AS64*VLOOKUP('Données projet'!$B$10,Paramètres!$A$1:$I$89,3,0)*0.475*44/12</f>
        <v>47.115909258223546</v>
      </c>
      <c r="AW64" s="21">
        <f>EXP(-LN(2)/2)*AW63+(1-EXP(-LN(2)/2))/(LN(2)/2)*AQ64*AT64*VLOOKUP('Données projet'!$B$10,Paramètres!$A$1:$I$89,3,0)*0.475*44/12</f>
        <v>42.399142830122607</v>
      </c>
      <c r="AX64" s="21">
        <f t="shared" si="6"/>
        <v>225.66102248369307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16.078749999999999</v>
      </c>
      <c r="BD64" s="12">
        <f>IF('Données projet'!$A$88&gt;35,BD63+BC64-BL63,IF(A64&lt;'Données projet'!$A$88,$BA$205^A64,IF(A64='Données projet'!$A$88,'Données projet'!$B$88,BD63+BC64-BL63)))</f>
        <v>359.80624999999992</v>
      </c>
      <c r="BE64" s="13">
        <f>BD64*VLOOKUP('Données projet'!$B$11,Paramètres!$A$1:$I$89,3,0)*VLOOKUP('Données projet'!$B$11,Paramètres!$A$1:$I$89,5,0)</f>
        <v>168.38932499999996</v>
      </c>
      <c r="BF64" s="13">
        <f t="shared" si="37"/>
        <v>42.729086342883477</v>
      </c>
      <c r="BG64" s="20">
        <f t="shared" si="7"/>
        <v>367.69789975552197</v>
      </c>
      <c r="BH64" s="59">
        <f t="shared" si="8"/>
        <v>649.68361840910188</v>
      </c>
      <c r="BI64" s="59">
        <f ca="1">AVERAGE(OFFSET($BH$3,0,0,'Données projet'!$E$11+1,1))-AVERAGE(OFFSET($H$3,0,0,'Données projet'!$E$11+1,1))</f>
        <v>346.55780187946573</v>
      </c>
      <c r="BJ64" s="59">
        <f t="shared" si="38"/>
        <v>297.28652094809149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41.174924968958301</v>
      </c>
      <c r="BQ64" s="21">
        <f>EXP(-LN(2)/25)*BQ63+(1-EXP(-LN(2)/25))/(LN(2)/25)*Calculateur!BL64*Calculateur!BN64*VLOOKUP('Données projet'!$B$11,Paramètres!$A$1:$I$89,3,0)*0.475*44/12</f>
        <v>18.91863704811756</v>
      </c>
      <c r="BR64" s="21">
        <f>EXP(-LN(2)/2)*BR63+(1-EXP(-LN(2)/2))/(LN(2)/2)*BL64*BO64*VLOOKUP('Données projet'!$B$11,Paramètres!$A$1:$I$89,3,0)*0.475*44/12</f>
        <v>3.6003182999467644</v>
      </c>
      <c r="BS64" s="22">
        <f t="shared" si="9"/>
        <v>63.693880317022625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18.617142857142849</v>
      </c>
      <c r="BY64" s="12">
        <f>IF('Données projet'!$A$114&gt;35,BY63+BX64-CG63,IF(A64&lt;'Données projet'!$A$114,$BV$205^A64,IF(A64='Données projet'!$A$114,'Données projet'!$B$114,BY63+BX64-CG63)))</f>
        <v>532.44571428571453</v>
      </c>
      <c r="BZ64" s="13">
        <f>BY64*VLOOKUP('Données projet'!$B$12,Paramètres!$A$1:$I$89,3,0)*VLOOKUP('Données projet'!$B$12,Paramètres!$A$1:$I$89,5,0)</f>
        <v>297.63715428571442</v>
      </c>
      <c r="CA64" s="13">
        <f t="shared" si="39"/>
        <v>70.680892526366577</v>
      </c>
      <c r="CB64" s="20">
        <f t="shared" si="10"/>
        <v>641.48726486437431</v>
      </c>
      <c r="CC64" s="59">
        <f t="shared" si="11"/>
        <v>923.47298351795416</v>
      </c>
      <c r="CD64" s="59">
        <f ca="1">AVERAGE(OFFSET($CC$3,0,0,'Données projet'!$E$12+1,1))-AVERAGE(OFFSET($H$3,0,0,'Données projet'!$E$12+1,1))</f>
        <v>394.00476121021177</v>
      </c>
      <c r="CE64" s="59">
        <f t="shared" si="40"/>
        <v>363.10016759175278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78.780749955448471</v>
      </c>
      <c r="CL64" s="21">
        <f>EXP(-LN(2)/25)*CL63+(1-EXP(-LN(2)/25))/(LN(2)/25)*Calculateur!CG64*Calculateur!CI64*VLOOKUP('Données projet'!$B$12,Paramètres!$A$1:$I$89,3,0)*0.475*44/12</f>
        <v>28.762274151221987</v>
      </c>
      <c r="CM64" s="21">
        <f>EXP(-LN(2)/2)*CM63+(1-EXP(-LN(2)/2))/(LN(2)/2)*CG64*CJ64*VLOOKUP('Données projet'!$B$12,Paramètres!$A$1:$I$89,3,0)*0.475*44/12</f>
        <v>2.3603578283441098</v>
      </c>
      <c r="CN64" s="22">
        <f t="shared" si="12"/>
        <v>109.90338193501456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66.905195996430876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3">
        <f>'Scénario référence'!$B$16*5+'Scénario référence'!$B$17*0+'Scénario référence'!$B$18*5</f>
        <v>1.7999999999999998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6.5999999999999988</v>
      </c>
      <c r="H65" s="67">
        <f t="shared" si="1"/>
        <v>230.26666666666665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765.72258268480903</v>
      </c>
      <c r="S65" s="59">
        <f ca="1">AVERAGE(OFFSET($R$3,0,0,'Données projet'!$E$9+1,1))-AVERAGE(OFFSET($H$3,0,0,'Données projet'!$E$9+1,1))</f>
        <v>652.18744712713965</v>
      </c>
      <c r="T65" s="59">
        <f t="shared" si="34"/>
        <v>288.65635870281199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282.18257439880983</v>
      </c>
      <c r="AN65" s="59">
        <f ca="1">AVERAGE(OFFSET($AM$3,0,0,'Données projet'!$E$10+1,1))-AVERAGE(OFFSET($H$3,0,0,'Données projet'!$E$10+1,1))</f>
        <v>307.94699176410495</v>
      </c>
      <c r="AO65" s="59">
        <f t="shared" si="36"/>
        <v>314.22983137038875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133.47623095673652</v>
      </c>
      <c r="AV65" s="21">
        <f>EXP(-LN(2)/25)*AV64+(1-EXP(-LN(2)/25))/(LN(2)/25)*Calculateur!AQ65*Calculateur!AS65*VLOOKUP('Données projet'!$B$10,Paramètres!$A$1:$I$89,3,0)*0.475*44/12</f>
        <v>45.827522241839439</v>
      </c>
      <c r="AW65" s="21">
        <f>EXP(-LN(2)/2)*AW64+(1-EXP(-LN(2)/2))/(LN(2)/2)*AQ65*AT65*VLOOKUP('Données projet'!$B$10,Paramètres!$A$1:$I$89,3,0)*0.475*44/12</f>
        <v>29.980721411676683</v>
      </c>
      <c r="AX65" s="21">
        <f t="shared" si="6"/>
        <v>209.28447461025263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16.078749999999999</v>
      </c>
      <c r="BD65" s="12">
        <f>IF('Données projet'!$A$88&gt;35,BD64+BC65-BL64,IF(A65&lt;'Données projet'!$A$88,$BA$205^A65,IF(A65='Données projet'!$A$88,'Données projet'!$B$88,BD64+BC65-BL64)))</f>
        <v>375.88499999999993</v>
      </c>
      <c r="BE65" s="13">
        <f>BD65*VLOOKUP('Données projet'!$B$11,Paramètres!$A$1:$I$89,3,0)*VLOOKUP('Données projet'!$B$11,Paramètres!$A$1:$I$89,5,0)</f>
        <v>175.91417999999999</v>
      </c>
      <c r="BF65" s="13">
        <f t="shared" si="37"/>
        <v>44.411955336426431</v>
      </c>
      <c r="BG65" s="20">
        <f t="shared" si="7"/>
        <v>383.73468571094264</v>
      </c>
      <c r="BH65" s="59">
        <f t="shared" si="8"/>
        <v>665.91726010975049</v>
      </c>
      <c r="BI65" s="59">
        <f ca="1">AVERAGE(OFFSET($BH$3,0,0,'Données projet'!$E$11+1,1))-AVERAGE(OFFSET($H$3,0,0,'Données projet'!$E$11+1,1))</f>
        <v>346.55780187946573</v>
      </c>
      <c r="BJ65" s="59">
        <f t="shared" si="38"/>
        <v>297.28652094809149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40.367509804541434</v>
      </c>
      <c r="BQ65" s="21">
        <f>EXP(-LN(2)/25)*BQ64+(1-EXP(-LN(2)/25))/(LN(2)/25)*Calculateur!BL65*Calculateur!BN65*VLOOKUP('Données projet'!$B$11,Paramètres!$A$1:$I$89,3,0)*0.475*44/12</f>
        <v>18.401305923148904</v>
      </c>
      <c r="BR65" s="21">
        <f>EXP(-LN(2)/2)*BR64+(1-EXP(-LN(2)/2))/(LN(2)/2)*BL65*BO65*VLOOKUP('Données projet'!$B$11,Paramètres!$A$1:$I$89,3,0)*0.475*44/12</f>
        <v>2.5458094843223797</v>
      </c>
      <c r="BS65" s="22">
        <f t="shared" si="9"/>
        <v>61.314625212012714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18.617142857142849</v>
      </c>
      <c r="BY65" s="12">
        <f>IF('Données projet'!$A$114&gt;35,BY64+BX65-CG64,IF(A65&lt;'Données projet'!$A$114,$BV$205^A65,IF(A65='Données projet'!$A$114,'Données projet'!$B$114,BY64+BX65-CG64)))</f>
        <v>551.06285714285741</v>
      </c>
      <c r="BZ65" s="13">
        <f>BY65*VLOOKUP('Données projet'!$B$12,Paramètres!$A$1:$I$89,3,0)*VLOOKUP('Données projet'!$B$12,Paramètres!$A$1:$I$89,5,0)</f>
        <v>308.04413714285727</v>
      </c>
      <c r="CA65" s="13">
        <f t="shared" si="39"/>
        <v>72.860217822174434</v>
      </c>
      <c r="CB65" s="20">
        <f t="shared" si="10"/>
        <v>663.40841823076346</v>
      </c>
      <c r="CC65" s="59">
        <f t="shared" si="11"/>
        <v>945.59099262957125</v>
      </c>
      <c r="CD65" s="59">
        <f ca="1">AVERAGE(OFFSET($CC$3,0,0,'Données projet'!$E$12+1,1))-AVERAGE(OFFSET($H$3,0,0,'Données projet'!$E$12+1,1))</f>
        <v>394.00476121021177</v>
      </c>
      <c r="CE65" s="59">
        <f t="shared" si="40"/>
        <v>363.10016759175278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77.235907500334903</v>
      </c>
      <c r="CL65" s="21">
        <f>EXP(-LN(2)/25)*CL64+(1-EXP(-LN(2)/25))/(LN(2)/25)*Calculateur!CG65*Calculateur!CI65*VLOOKUP('Données projet'!$B$12,Paramètres!$A$1:$I$89,3,0)*0.475*44/12</f>
        <v>27.975768252014561</v>
      </c>
      <c r="CM65" s="21">
        <f>EXP(-LN(2)/2)*CM64+(1-EXP(-LN(2)/2))/(LN(2)/2)*CG65*CJ65*VLOOKUP('Données projet'!$B$12,Paramètres!$A$1:$I$89,3,0)*0.475*44/12</f>
        <v>1.6690250264488731</v>
      </c>
      <c r="CN65" s="22">
        <f t="shared" si="12"/>
        <v>106.88070077879834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66.958883926947593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3">
        <f>'Scénario référence'!$B$16*5+'Scénario référence'!$B$17*0+'Scénario référence'!$B$18*5</f>
        <v>1.7999999999999998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6.5999999999999988</v>
      </c>
      <c r="H66" s="67">
        <f t="shared" si="1"/>
        <v>230.26666666666665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785.29251838951313</v>
      </c>
      <c r="S66" s="59">
        <f ca="1">AVERAGE(OFFSET($R$3,0,0,'Données projet'!$E$9+1,1))-AVERAGE(OFFSET($H$3,0,0,'Données projet'!$E$9+1,1))</f>
        <v>652.18744712713965</v>
      </c>
      <c r="T66" s="59">
        <f t="shared" si="34"/>
        <v>288.65635870281199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282.37601513696148</v>
      </c>
      <c r="AN66" s="59">
        <f ca="1">AVERAGE(OFFSET($AM$3,0,0,'Données projet'!$E$10+1,1))-AVERAGE(OFFSET($H$3,0,0,'Données projet'!$E$10+1,1))</f>
        <v>307.94699176410495</v>
      </c>
      <c r="AO66" s="59">
        <f t="shared" si="36"/>
        <v>314.22983137038875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130.85884348013698</v>
      </c>
      <c r="AV66" s="21">
        <f>EXP(-LN(2)/25)*AV65+(1-EXP(-LN(2)/25))/(LN(2)/25)*Calculateur!AQ66*Calculateur!AS66*VLOOKUP('Données projet'!$B$10,Paramètres!$A$1:$I$89,3,0)*0.475*44/12</f>
        <v>44.574366236171684</v>
      </c>
      <c r="AW66" s="21">
        <f>EXP(-LN(2)/2)*AW65+(1-EXP(-LN(2)/2))/(LN(2)/2)*AQ66*AT66*VLOOKUP('Données projet'!$B$10,Paramètres!$A$1:$I$89,3,0)*0.475*44/12</f>
        <v>21.199571415061307</v>
      </c>
      <c r="AX66" s="21">
        <f t="shared" si="6"/>
        <v>196.63278113137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16.078749999999999</v>
      </c>
      <c r="BD66" s="12">
        <f>IF('Données projet'!$A$88&gt;35,BD65+BC66-BL65,IF(A66&lt;'Données projet'!$A$88,$BA$205^A66,IF(A66='Données projet'!$A$88,'Données projet'!$B$88,BD65+BC66-BL65)))</f>
        <v>391.96374999999995</v>
      </c>
      <c r="BE66" s="13">
        <f>BD66*VLOOKUP('Données projet'!$B$11,Paramètres!$A$1:$I$89,3,0)*VLOOKUP('Données projet'!$B$11,Paramètres!$A$1:$I$89,5,0)</f>
        <v>183.43903499999999</v>
      </c>
      <c r="BF66" s="13">
        <f t="shared" si="37"/>
        <v>46.08646330124531</v>
      </c>
      <c r="BG66" s="20">
        <f t="shared" si="7"/>
        <v>399.75690954133552</v>
      </c>
      <c r="BH66" s="59">
        <f t="shared" si="8"/>
        <v>682.13292467829501</v>
      </c>
      <c r="BI66" s="59">
        <f ca="1">AVERAGE(OFFSET($BH$3,0,0,'Données projet'!$E$11+1,1))-AVERAGE(OFFSET($H$3,0,0,'Données projet'!$E$11+1,1))</f>
        <v>346.55780187946573</v>
      </c>
      <c r="BJ66" s="59">
        <f t="shared" si="38"/>
        <v>297.28652094809149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39.575927559024159</v>
      </c>
      <c r="BQ66" s="21">
        <f>EXP(-LN(2)/25)*BQ65+(1-EXP(-LN(2)/25))/(LN(2)/25)*Calculateur!BL66*Calculateur!BN66*VLOOKUP('Données projet'!$B$11,Paramètres!$A$1:$I$89,3,0)*0.475*44/12</f>
        <v>17.898121244997775</v>
      </c>
      <c r="BR66" s="21">
        <f>EXP(-LN(2)/2)*BR65+(1-EXP(-LN(2)/2))/(LN(2)/2)*BL66*BO66*VLOOKUP('Données projet'!$B$11,Paramètres!$A$1:$I$89,3,0)*0.475*44/12</f>
        <v>1.8001591499733824</v>
      </c>
      <c r="BS66" s="22">
        <f t="shared" si="9"/>
        <v>59.274207953995315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569.67999999999995</v>
      </c>
      <c r="BW66" s="12">
        <f>VLOOKUP(A66,'Données projet'!$A$113:$I$133,9,0)</f>
        <v>18.617142857142849</v>
      </c>
      <c r="BX66" s="12">
        <f t="array" ref="BX66">INDEX(BW:BW,MIN(IF(ISNUMBER(BW66:BW262),ROW(BW66:BW262),"")))</f>
        <v>18.617142857142849</v>
      </c>
      <c r="BY66" s="12">
        <f>IF('Données projet'!$A$114&gt;35,BY65+BX66-CG65,IF(A66&lt;'Données projet'!$A$114,$BV$205^A66,IF(A66='Données projet'!$A$114,'Données projet'!$B$114,BY65+BX66-CG65)))</f>
        <v>569.68000000000029</v>
      </c>
      <c r="BZ66" s="13">
        <f>BY66*VLOOKUP('Données projet'!$B$12,Paramètres!$A$1:$I$89,3,0)*VLOOKUP('Données projet'!$B$12,Paramètres!$A$1:$I$89,5,0)</f>
        <v>318.45112000000017</v>
      </c>
      <c r="CA66" s="13">
        <f t="shared" si="39"/>
        <v>75.030988106995281</v>
      </c>
      <c r="CB66" s="20">
        <f t="shared" si="10"/>
        <v>685.31467161968374</v>
      </c>
      <c r="CC66" s="59">
        <f t="shared" si="11"/>
        <v>967.69068675664323</v>
      </c>
      <c r="CD66" s="59">
        <f ca="1">AVERAGE(OFFSET($CC$3,0,0,'Données projet'!$E$12+1,1))-AVERAGE(OFFSET($H$3,0,0,'Données projet'!$E$12+1,1))</f>
        <v>394.00476121021177</v>
      </c>
      <c r="CE66" s="59">
        <f t="shared" si="40"/>
        <v>363.10016759175278</v>
      </c>
      <c r="CF66" s="15">
        <f>IF(ISNA(VLOOKUP(A66,'Données projet'!$A$113:$I$133,3,0)),0,VLOOKUP(A66,'Données projet'!$A$113:$I$133,3,0))</f>
        <v>7</v>
      </c>
      <c r="CG66" s="15">
        <f>IF(ISNA(VLOOKUP(A66,'Données projet'!$A$113:$I$133,4,0)),0,VLOOKUP(A66,'Données projet'!$A$113:$I$133,4,0))</f>
        <v>99.599999999999966</v>
      </c>
      <c r="CH66" s="16">
        <f>IF(ISNA(VLOOKUP(A66,'Données projet'!$A$113:$I$133,5,0)),0%,VLOOKUP(A66,'Données projet'!$A$113:$I$133,5,0)*VLOOKUP('Données projet'!$B$12,Paramètres!$A$1:$I$89,7,0))</f>
        <v>0.33</v>
      </c>
      <c r="CI66" s="16">
        <f>IF(ISNA(VLOOKUP(A66,'Données projet'!$A$113:$I$133,6,0)),0%,VLOOKUP(A66,'Données projet'!$A$113:$I$133,6,0)*VLOOKUP('Données projet'!$B$12,Paramètres!$A$1:$I$89,7,0))</f>
        <v>0.11000000000000001</v>
      </c>
      <c r="CJ66" s="16">
        <f>IF(ISNA(VLOOKUP(A66,'Données projet'!$A$113:$I$133,7,0)),0%,VLOOKUP(A66,'Données projet'!$A$113:$I$133,7,0))</f>
        <v>0.2</v>
      </c>
      <c r="CK66" s="21">
        <f>EXP(-LN(2)/35)*CK65+(1-EXP(-LN(2)/35))/(LN(2)/35)*CG66*CH66*VLOOKUP('Données projet'!$B$12,Paramètres!$A$1:$I$89,3,0)*0.475*44/12</f>
        <v>100.09460843496048</v>
      </c>
      <c r="CL66" s="21">
        <f>EXP(-LN(2)/25)*CL65+(1-EXP(-LN(2)/25))/(LN(2)/25)*Calculateur!CG66*Calculateur!CI66*VLOOKUP('Données projet'!$B$12,Paramètres!$A$1:$I$89,3,0)*0.475*44/12</f>
        <v>35.303197131108604</v>
      </c>
      <c r="CM66" s="21">
        <f>EXP(-LN(2)/2)*CM65+(1-EXP(-LN(2)/2))/(LN(2)/2)*CG66*CJ66*VLOOKUP('Données projet'!$B$12,Paramètres!$A$1:$I$89,3,0)*0.475*44/12</f>
        <v>13.787902572172555</v>
      </c>
      <c r="CN66" s="22">
        <f t="shared" si="12"/>
        <v>149.18570813824164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67.011640491898049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3">
        <f>'Scénario référence'!$B$16*5+'Scénario référence'!$B$17*0+'Scénario référence'!$B$18*5</f>
        <v>1.7999999999999998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6.5999999999999988</v>
      </c>
      <c r="H67" s="67">
        <f t="shared" si="1"/>
        <v>230.26666666666665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804.8433094916976</v>
      </c>
      <c r="S67" s="59">
        <f ca="1">AVERAGE(OFFSET($R$3,0,0,'Données projet'!$E$9+1,1))-AVERAGE(OFFSET($H$3,0,0,'Données projet'!$E$9+1,1))</f>
        <v>652.18744712713965</v>
      </c>
      <c r="T67" s="59">
        <f t="shared" si="34"/>
        <v>288.65635870281199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282.56610011077504</v>
      </c>
      <c r="AN67" s="59">
        <f ca="1">AVERAGE(OFFSET($AM$3,0,0,'Données projet'!$E$10+1,1))-AVERAGE(OFFSET($H$3,0,0,'Données projet'!$E$10+1,1))</f>
        <v>307.94699176410495</v>
      </c>
      <c r="AO67" s="59">
        <f t="shared" si="36"/>
        <v>314.22983137038875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128.29278137550483</v>
      </c>
      <c r="AV67" s="21">
        <f>EXP(-LN(2)/25)*AV66+(1-EXP(-LN(2)/25))/(LN(2)/25)*Calculateur!AQ67*Calculateur!AS67*VLOOKUP('Données projet'!$B$10,Paramètres!$A$1:$I$89,3,0)*0.475*44/12</f>
        <v>43.355477847379525</v>
      </c>
      <c r="AW67" s="21">
        <f>EXP(-LN(2)/2)*AW66+(1-EXP(-LN(2)/2))/(LN(2)/2)*AQ67*AT67*VLOOKUP('Données projet'!$B$10,Paramètres!$A$1:$I$89,3,0)*0.475*44/12</f>
        <v>14.990360705838345</v>
      </c>
      <c r="AX67" s="21">
        <f t="shared" si="6"/>
        <v>186.6386199287227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16.078749999999999</v>
      </c>
      <c r="BD67" s="12">
        <f>IF('Données projet'!$A$88&gt;35,BD66+BC67-BL66,IF(A67&lt;'Données projet'!$A$88,$BA$205^A67,IF(A67='Données projet'!$A$88,'Données projet'!$B$88,BD66+BC67-BL66)))</f>
        <v>408.04249999999996</v>
      </c>
      <c r="BE67" s="13">
        <f>BD67*VLOOKUP('Données projet'!$B$11,Paramètres!$A$1:$I$89,3,0)*VLOOKUP('Données projet'!$B$11,Paramètres!$A$1:$I$89,5,0)</f>
        <v>190.96388999999999</v>
      </c>
      <c r="BF67" s="13">
        <f t="shared" si="37"/>
        <v>47.75299244368879</v>
      </c>
      <c r="BG67" s="20">
        <f t="shared" si="7"/>
        <v>415.76523692275788</v>
      </c>
      <c r="BH67" s="59">
        <f t="shared" si="8"/>
        <v>698.33133703353087</v>
      </c>
      <c r="BI67" s="59">
        <f ca="1">AVERAGE(OFFSET($BH$3,0,0,'Données projet'!$E$11+1,1))-AVERAGE(OFFSET($H$3,0,0,'Données projet'!$E$11+1,1))</f>
        <v>346.55780187946573</v>
      </c>
      <c r="BJ67" s="59">
        <f t="shared" si="38"/>
        <v>297.28652094809149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38.799867758523988</v>
      </c>
      <c r="BQ67" s="21">
        <f>EXP(-LN(2)/25)*BQ66+(1-EXP(-LN(2)/25))/(LN(2)/25)*Calculateur!BL67*Calculateur!BN67*VLOOKUP('Données projet'!$B$11,Paramètres!$A$1:$I$89,3,0)*0.475*44/12</f>
        <v>17.408696178332022</v>
      </c>
      <c r="BR67" s="21">
        <f>EXP(-LN(2)/2)*BR66+(1-EXP(-LN(2)/2))/(LN(2)/2)*BL67*BO67*VLOOKUP('Données projet'!$B$11,Paramètres!$A$1:$I$89,3,0)*0.475*44/12</f>
        <v>1.2729047421611901</v>
      </c>
      <c r="BS67" s="22">
        <f t="shared" si="9"/>
        <v>57.481468679017198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16.682857142857149</v>
      </c>
      <c r="BY67" s="12">
        <f>IF('Données projet'!$A$114&gt;35,BY66+BX67-CG66,IF(A67&lt;'Données projet'!$A$114,$BV$205^A67,IF(A67='Données projet'!$A$114,'Données projet'!$B$114,BY66+BX67-CG66)))</f>
        <v>486.76285714285751</v>
      </c>
      <c r="BZ67" s="13">
        <f>BY67*VLOOKUP('Données projet'!$B$12,Paramètres!$A$1:$I$89,3,0)*VLOOKUP('Données projet'!$B$12,Paramètres!$A$1:$I$89,5,0)</f>
        <v>272.10043714285734</v>
      </c>
      <c r="CA67" s="13">
        <f t="shared" si="39"/>
        <v>65.294833817604186</v>
      </c>
      <c r="CB67" s="20">
        <f t="shared" si="10"/>
        <v>587.63009692280377</v>
      </c>
      <c r="CC67" s="59">
        <f t="shared" si="11"/>
        <v>870.19619703357682</v>
      </c>
      <c r="CD67" s="59">
        <f ca="1">AVERAGE(OFFSET($CC$3,0,0,'Données projet'!$E$12+1,1))-AVERAGE(OFFSET($H$3,0,0,'Données projet'!$E$12+1,1))</f>
        <v>394.00476121021177</v>
      </c>
      <c r="CE67" s="59">
        <f t="shared" si="40"/>
        <v>363.10016759175278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98.131814215233689</v>
      </c>
      <c r="CL67" s="21">
        <f>EXP(-LN(2)/25)*CL66+(1-EXP(-LN(2)/25))/(LN(2)/25)*Calculateur!CG67*Calculateur!CI67*VLOOKUP('Données projet'!$B$12,Paramètres!$A$1:$I$89,3,0)*0.475*44/12</f>
        <v>34.337829349043986</v>
      </c>
      <c r="CM67" s="21">
        <f>EXP(-LN(2)/2)*CM66+(1-EXP(-LN(2)/2))/(LN(2)/2)*CG67*CJ67*VLOOKUP('Données projet'!$B$12,Paramètres!$A$1:$I$89,3,0)*0.475*44/12</f>
        <v>9.749519407122655</v>
      </c>
      <c r="CN67" s="22">
        <f t="shared" si="12"/>
        <v>142.21916297140032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67.063481848392655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3">
        <f>'Scénario référence'!$B$16*5+'Scénario référence'!$B$17*0+'Scénario référence'!$B$18*5</f>
        <v>1.7999999999999998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6.5999999999999988</v>
      </c>
      <c r="H68" s="67">
        <f t="shared" ref="H68:H131" si="56">(B68+E68+F68)*44/12+(C68+D68)*0.475*44/12</f>
        <v>230.26666666666665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824.37568144434363</v>
      </c>
      <c r="S68" s="59">
        <f ca="1">AVERAGE(OFFSET($R$3,0,0,'Données projet'!$E$9+1,1))-AVERAGE(OFFSET($H$3,0,0,'Données projet'!$E$9+1,1))</f>
        <v>652.18744712713965</v>
      </c>
      <c r="T68" s="59">
        <f t="shared" si="34"/>
        <v>288.65635870281199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282.75288753525922</v>
      </c>
      <c r="AN68" s="59">
        <f ca="1">AVERAGE(OFFSET($AM$3,0,0,'Données projet'!$E$10+1,1))-AVERAGE(OFFSET($H$3,0,0,'Données projet'!$E$10+1,1))</f>
        <v>307.94699176410495</v>
      </c>
      <c r="AO68" s="59">
        <f t="shared" si="36"/>
        <v>314.22983137038875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125.77703818360119</v>
      </c>
      <c r="AV68" s="21">
        <f>EXP(-LN(2)/25)*AV67+(1-EXP(-LN(2)/25))/(LN(2)/25)*Calculateur!AQ68*Calculateur!AS68*VLOOKUP('Données projet'!$B$10,Paramètres!$A$1:$I$89,3,0)*0.475*44/12</f>
        <v>42.169920025677442</v>
      </c>
      <c r="AW68" s="21">
        <f>EXP(-LN(2)/2)*AW67+(1-EXP(-LN(2)/2))/(LN(2)/2)*AQ68*AT68*VLOOKUP('Données projet'!$B$10,Paramètres!$A$1:$I$89,3,0)*0.475*44/12</f>
        <v>10.599785707530655</v>
      </c>
      <c r="AX68" s="21">
        <f t="shared" ref="AX68:AX131" si="60">SUM(AU68:AW68)</f>
        <v>178.54674391680931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16.078749999999999</v>
      </c>
      <c r="BD68" s="12">
        <f>IF('Données projet'!$A$88&gt;35,BD67+BC68-BL67,IF(A68&lt;'Données projet'!$A$88,$BA$205^A68,IF(A68='Données projet'!$A$88,'Données projet'!$B$88,BD67+BC68-BL67)))</f>
        <v>424.12124999999997</v>
      </c>
      <c r="BE68" s="13">
        <f>BD68*VLOOKUP('Données projet'!$B$11,Paramètres!$A$1:$I$89,3,0)*VLOOKUP('Données projet'!$B$11,Paramètres!$A$1:$I$89,5,0)</f>
        <v>198.48874499999997</v>
      </c>
      <c r="BF68" s="13">
        <f t="shared" si="37"/>
        <v>49.411893143448467</v>
      </c>
      <c r="BG68" s="20">
        <f t="shared" ref="BG68:BG131" si="61">(BE68+BF68)*0.475*44/12</f>
        <v>431.7602780998393</v>
      </c>
      <c r="BH68" s="59">
        <f t="shared" ref="BH68:BH131" si="62">BG68+(AY68+AZ68)*44/12</f>
        <v>714.51316563509658</v>
      </c>
      <c r="BI68" s="59">
        <f ca="1">AVERAGE(OFFSET($BH$3,0,0,'Données projet'!$E$11+1,1))-AVERAGE(OFFSET($H$3,0,0,'Données projet'!$E$11+1,1))</f>
        <v>346.55780187946573</v>
      </c>
      <c r="BJ68" s="59">
        <f t="shared" si="38"/>
        <v>297.28652094809149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38.039026017361884</v>
      </c>
      <c r="BQ68" s="21">
        <f>EXP(-LN(2)/25)*BQ67+(1-EXP(-LN(2)/25))/(LN(2)/25)*Calculateur!BL68*Calculateur!BN68*VLOOKUP('Données projet'!$B$11,Paramètres!$A$1:$I$89,3,0)*0.475*44/12</f>
        <v>16.932654465851989</v>
      </c>
      <c r="BR68" s="21">
        <f>EXP(-LN(2)/2)*BR67+(1-EXP(-LN(2)/2))/(LN(2)/2)*BL68*BO68*VLOOKUP('Données projet'!$B$11,Paramètres!$A$1:$I$89,3,0)*0.475*44/12</f>
        <v>0.90007957498669144</v>
      </c>
      <c r="BS68" s="22">
        <f t="shared" ref="BS68:BS131" si="63">SUM(BP68:BR68)</f>
        <v>55.871760058200564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16.682857142857149</v>
      </c>
      <c r="BY68" s="12">
        <f>IF('Données projet'!$A$114&gt;35,BY67+BX68-CG67,IF(A68&lt;'Données projet'!$A$114,$BV$205^A68,IF(A68='Données projet'!$A$114,'Données projet'!$B$114,BY67+BX68-CG67)))</f>
        <v>503.44571428571464</v>
      </c>
      <c r="BZ68" s="13">
        <f>BY68*VLOOKUP('Données projet'!$B$12,Paramètres!$A$1:$I$89,3,0)*VLOOKUP('Données projet'!$B$12,Paramètres!$A$1:$I$89,5,0)</f>
        <v>281.42615428571452</v>
      </c>
      <c r="CA68" s="13">
        <f t="shared" si="39"/>
        <v>67.268307105467983</v>
      </c>
      <c r="CB68" s="20">
        <f t="shared" ref="CB68:CB131" si="64">(BZ68+CA68)*0.475*44/12</f>
        <v>607.30952025630938</v>
      </c>
      <c r="CC68" s="59">
        <f t="shared" ref="CC68:CC131" si="65">CB68+(BT68+BU68)*44/12</f>
        <v>890.06240779156656</v>
      </c>
      <c r="CD68" s="59">
        <f ca="1">AVERAGE(OFFSET($CC$3,0,0,'Données projet'!$E$12+1,1))-AVERAGE(OFFSET($H$3,0,0,'Données projet'!$E$12+1,1))</f>
        <v>394.00476121021177</v>
      </c>
      <c r="CE68" s="59">
        <f t="shared" si="40"/>
        <v>363.10016759175278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96.207509192969482</v>
      </c>
      <c r="CL68" s="21">
        <f>EXP(-LN(2)/25)*CL67+(1-EXP(-LN(2)/25))/(LN(2)/25)*Calculateur!CG68*Calculateur!CI68*VLOOKUP('Données projet'!$B$12,Paramètres!$A$1:$I$89,3,0)*0.475*44/12</f>
        <v>33.398859599746416</v>
      </c>
      <c r="CM68" s="21">
        <f>EXP(-LN(2)/2)*CM67+(1-EXP(-LN(2)/2))/(LN(2)/2)*CG68*CJ68*VLOOKUP('Données projet'!$B$12,Paramètres!$A$1:$I$89,3,0)*0.475*44/12</f>
        <v>6.8939512860862786</v>
      </c>
      <c r="CN68" s="22">
        <f t="shared" ref="CN68:CN131" si="66">SUM(CK68:CM68)</f>
        <v>136.50032007880219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67.114423873251965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3">
        <f>'Scénario référence'!$B$16*5+'Scénario référence'!$B$17*0+'Scénario référence'!$B$18*5</f>
        <v>1.7999999999999998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6.5999999999999988</v>
      </c>
      <c r="H69" s="67">
        <f t="shared" si="56"/>
        <v>230.26666666666665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843.89030717434412</v>
      </c>
      <c r="S69" s="59">
        <f ca="1">AVERAGE(OFFSET($R$3,0,0,'Données projet'!$E$9+1,1))-AVERAGE(OFFSET($H$3,0,0,'Données projet'!$E$9+1,1))</f>
        <v>652.18744712713965</v>
      </c>
      <c r="T69" s="59">
        <f t="shared" ref="T69:T132" si="88">$T$3</f>
        <v>288.65635870281199</v>
      </c>
      <c r="U69" s="15">
        <f>IF(ISNA(VLOOKUP(A69,'Données projet'!$A$35:$I$55,3,0)),0,VLOOKUP(A69,'Données projet'!$A$35:$I$55,3,0))</f>
        <v>6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282.93643461552267</v>
      </c>
      <c r="AN69" s="59">
        <f ca="1">AVERAGE(OFFSET($AM$3,0,0,'Données projet'!$E$10+1,1))-AVERAGE(OFFSET($H$3,0,0,'Données projet'!$E$10+1,1))</f>
        <v>307.94699176410495</v>
      </c>
      <c r="AO69" s="59">
        <f t="shared" ref="AO69:AO132" si="90">$AO$3</f>
        <v>314.22983137038875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123.31062718123894</v>
      </c>
      <c r="AV69" s="21">
        <f>EXP(-LN(2)/25)*AV68+(1-EXP(-LN(2)/25))/(LN(2)/25)*Calculateur!AQ69*Calculateur!AS69*VLOOKUP('Données projet'!$B$10,Paramètres!$A$1:$I$89,3,0)*0.475*44/12</f>
        <v>41.016781344955575</v>
      </c>
      <c r="AW69" s="21">
        <f>EXP(-LN(2)/2)*AW68+(1-EXP(-LN(2)/2))/(LN(2)/2)*AQ69*AT69*VLOOKUP('Données projet'!$B$10,Paramètres!$A$1:$I$89,3,0)*0.475*44/12</f>
        <v>7.4951803529191734</v>
      </c>
      <c r="AX69" s="21">
        <f t="shared" si="60"/>
        <v>171.82258887911368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440.2</v>
      </c>
      <c r="BB69" s="12">
        <f>VLOOKUP(A69,'Données projet'!$A$87:$I$107,9,0)</f>
        <v>16.078749999999999</v>
      </c>
      <c r="BC69" s="12">
        <f t="array" ref="BC69">INDEX(BB:BB,MIN(IF(ISNUMBER(BB69:BB265),ROW(BB69:BB265),"")))</f>
        <v>16.078749999999999</v>
      </c>
      <c r="BD69" s="12">
        <f>IF('Données projet'!$A$88&gt;35,BD68+BC69-BL68,IF(A69&lt;'Données projet'!$A$88,$BA$205^A69,IF(A69='Données projet'!$A$88,'Données projet'!$B$88,BD68+BC69-BL68)))</f>
        <v>440.2</v>
      </c>
      <c r="BE69" s="13">
        <f>BD69*VLOOKUP('Données projet'!$B$11,Paramètres!$A$1:$I$89,3,0)*VLOOKUP('Données projet'!$B$11,Paramètres!$A$1:$I$89,5,0)</f>
        <v>206.01359999999997</v>
      </c>
      <c r="BF69" s="13">
        <f t="shared" ref="BF69:BF132" si="91">EXP(-1.0587+0.8836*LN(BE69)+0.284)</f>
        <v>51.063487709141434</v>
      </c>
      <c r="BG69" s="20">
        <f t="shared" si="61"/>
        <v>447.74259442675452</v>
      </c>
      <c r="BH69" s="59">
        <f t="shared" si="62"/>
        <v>730.67902904227526</v>
      </c>
      <c r="BI69" s="59">
        <f ca="1">AVERAGE(OFFSET($BH$3,0,0,'Données projet'!$E$11+1,1))-AVERAGE(OFFSET($H$3,0,0,'Données projet'!$E$11+1,1))</f>
        <v>346.55780187946573</v>
      </c>
      <c r="BJ69" s="59">
        <f t="shared" ref="BJ69:BJ132" si="92">$BJ$3</f>
        <v>297.28652094809149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88.899999999999977</v>
      </c>
      <c r="BM69" s="16">
        <f>IF(ISNA(VLOOKUP(A69,'Données projet'!$A$87:$I$107,5,0)),0%,VLOOKUP(A69,'Données projet'!$A$87:$I$107,5,0)*VLOOKUP('Données projet'!$B$11,Paramètres!$A$1:$I$89,7,0))</f>
        <v>0.33</v>
      </c>
      <c r="BN69" s="16">
        <f>IF(ISNA(VLOOKUP(A69,'Données projet'!$A$87:$I$107,6,0)),0%,VLOOKUP(A69,'Données projet'!$A$87:$I$107,6,0)*VLOOKUP('Données projet'!$B$11,Paramètres!$A$1:$I$89,7,0))</f>
        <v>0.11000000000000001</v>
      </c>
      <c r="BO69" s="16">
        <f>IF(ISNA(VLOOKUP(A69,'Données projet'!$A$87:$I$107,7,0)),0%,VLOOKUP(A69,'Données projet'!$A$87:$I$107,7,0))</f>
        <v>0.2</v>
      </c>
      <c r="BP69" s="21">
        <f>EXP(-LN(2)/35)*BP68+(1-EXP(-LN(2)/35))/(LN(2)/35)*BL69*BM69*VLOOKUP('Données projet'!$B$11,Paramètres!$A$1:$I$89,3,0)*0.475*44/12</f>
        <v>55.506457147555871</v>
      </c>
      <c r="BQ69" s="21">
        <f>EXP(-LN(2)/25)*BQ68+(1-EXP(-LN(2)/25))/(LN(2)/25)*Calculateur!BL69*Calculateur!BN69*VLOOKUP('Données projet'!$B$11,Paramètres!$A$1:$I$89,3,0)*0.475*44/12</f>
        <v>22.516843578162263</v>
      </c>
      <c r="BR69" s="21">
        <f>EXP(-LN(2)/2)*BR68+(1-EXP(-LN(2)/2))/(LN(2)/2)*BL69*BO69*VLOOKUP('Données projet'!$B$11,Paramètres!$A$1:$I$89,3,0)*0.475*44/12</f>
        <v>10.057802608090215</v>
      </c>
      <c r="BS69" s="22">
        <f t="shared" si="63"/>
        <v>88.081103333808343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16.682857142857149</v>
      </c>
      <c r="BY69" s="12">
        <f>IF('Données projet'!$A$114&gt;35,BY68+BX69-CG68,IF(A69&lt;'Données projet'!$A$114,$BV$205^A69,IF(A69='Données projet'!$A$114,'Données projet'!$B$114,BY68+BX69-CG68)))</f>
        <v>520.12857142857183</v>
      </c>
      <c r="BZ69" s="13">
        <f>BY69*VLOOKUP('Données projet'!$B$12,Paramètres!$A$1:$I$89,3,0)*VLOOKUP('Données projet'!$B$12,Paramètres!$A$1:$I$89,5,0)</f>
        <v>290.75187142857169</v>
      </c>
      <c r="CA69" s="13">
        <f t="shared" ref="CA69:CA132" si="93">EXP(-1.0587+0.8836*LN(BZ69)+0.284)</f>
        <v>69.23418152913365</v>
      </c>
      <c r="CB69" s="20">
        <f t="shared" si="64"/>
        <v>626.97570890133682</v>
      </c>
      <c r="CC69" s="59">
        <f t="shared" si="65"/>
        <v>909.91214351685744</v>
      </c>
      <c r="CD69" s="59">
        <f ca="1">AVERAGE(OFFSET($CC$3,0,0,'Données projet'!$E$12+1,1))-AVERAGE(OFFSET($H$3,0,0,'Données projet'!$E$12+1,1))</f>
        <v>394.00476121021177</v>
      </c>
      <c r="CE69" s="59">
        <f t="shared" ref="CE69:CE132" si="94">$CE$3</f>
        <v>363.10016759175278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94.320938618481705</v>
      </c>
      <c r="CL69" s="21">
        <f>EXP(-LN(2)/25)*CL68+(1-EXP(-LN(2)/25))/(LN(2)/25)*Calculateur!CG69*Calculateur!CI69*VLOOKUP('Données projet'!$B$12,Paramètres!$A$1:$I$89,3,0)*0.475*44/12</f>
        <v>32.485566027621658</v>
      </c>
      <c r="CM69" s="21">
        <f>EXP(-LN(2)/2)*CM68+(1-EXP(-LN(2)/2))/(LN(2)/2)*CG69*CJ69*VLOOKUP('Données projet'!$B$12,Paramètres!$A$1:$I$89,3,0)*0.475*44/12</f>
        <v>4.8747597035613284</v>
      </c>
      <c r="CN69" s="22">
        <f t="shared" si="66"/>
        <v>131.6812643496647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67.164482167869281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3">
        <f>'Scénario référence'!$B$16*5+'Scénario référence'!$B$17*0+'Scénario référence'!$B$18*5</f>
        <v>1.7999999999999998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6.5999999999999988</v>
      </c>
      <c r="H70" s="67">
        <f t="shared" si="56"/>
        <v>230.26666666666665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759.91217639238482</v>
      </c>
      <c r="S70" s="59">
        <f ca="1">AVERAGE(OFFSET($R$3,0,0,'Données projet'!$E$9+1,1))-AVERAGE(OFFSET($H$3,0,0,'Données projet'!$E$9+1,1))</f>
        <v>652.18744712713965</v>
      </c>
      <c r="T70" s="59">
        <f t="shared" si="88"/>
        <v>288.65635870281199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283.11679756429339</v>
      </c>
      <c r="AN70" s="59">
        <f ca="1">AVERAGE(OFFSET($AM$3,0,0,'Données projet'!$E$10+1,1))-AVERAGE(OFFSET($H$3,0,0,'Données projet'!$E$10+1,1))</f>
        <v>307.94699176410495</v>
      </c>
      <c r="AO70" s="59">
        <f t="shared" si="90"/>
        <v>314.22983137038875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120.89258099427086</v>
      </c>
      <c r="AV70" s="21">
        <f>EXP(-LN(2)/25)*AV69+(1-EXP(-LN(2)/25))/(LN(2)/25)*Calculateur!AQ70*Calculateur!AS70*VLOOKUP('Données projet'!$B$10,Paramètres!$A$1:$I$89,3,0)*0.475*44/12</f>
        <v>39.895175302098977</v>
      </c>
      <c r="AW70" s="21">
        <f>EXP(-LN(2)/2)*AW69+(1-EXP(-LN(2)/2))/(LN(2)/2)*AQ70*AT70*VLOOKUP('Données projet'!$B$10,Paramètres!$A$1:$I$89,3,0)*0.475*44/12</f>
        <v>5.2998928537653285</v>
      </c>
      <c r="AX70" s="21">
        <f t="shared" si="60"/>
        <v>166.08764915013515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15.341111111111111</v>
      </c>
      <c r="BD70" s="12">
        <f>IF('Données projet'!$A$88&gt;35,BD69+BC70-BL69,IF(A70&lt;'Données projet'!$A$88,$BA$205^A70,IF(A70='Données projet'!$A$88,'Données projet'!$B$88,BD69+BC70-BL69)))</f>
        <v>366.64111111111112</v>
      </c>
      <c r="BE70" s="13">
        <f>BD70*VLOOKUP('Données projet'!$B$11,Paramètres!$A$1:$I$89,3,0)*VLOOKUP('Données projet'!$B$11,Paramètres!$A$1:$I$89,5,0)</f>
        <v>171.58804000000001</v>
      </c>
      <c r="BF70" s="13">
        <f t="shared" si="91"/>
        <v>43.445499020867565</v>
      </c>
      <c r="BG70" s="20">
        <f t="shared" si="61"/>
        <v>374.51674712801105</v>
      </c>
      <c r="BH70" s="59">
        <f t="shared" si="62"/>
        <v>657.63354469230239</v>
      </c>
      <c r="BI70" s="59">
        <f ca="1">AVERAGE(OFFSET($BH$3,0,0,'Données projet'!$E$11+1,1))-AVERAGE(OFFSET($H$3,0,0,'Données projet'!$E$11+1,1))</f>
        <v>346.55780187946573</v>
      </c>
      <c r="BJ70" s="59">
        <f t="shared" si="92"/>
        <v>297.28652094809149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54.4180093784882</v>
      </c>
      <c r="BQ70" s="21">
        <f>EXP(-LN(2)/25)*BQ69+(1-EXP(-LN(2)/25))/(LN(2)/25)*Calculateur!BL70*Calculateur!BN70*VLOOKUP('Données projet'!$B$11,Paramètres!$A$1:$I$89,3,0)*0.475*44/12</f>
        <v>21.901119306408074</v>
      </c>
      <c r="BR70" s="21">
        <f>EXP(-LN(2)/2)*BR69+(1-EXP(-LN(2)/2))/(LN(2)/2)*BL70*BO70*VLOOKUP('Données projet'!$B$11,Paramètres!$A$1:$I$89,3,0)*0.475*44/12</f>
        <v>7.111940428016335</v>
      </c>
      <c r="BS70" s="22">
        <f t="shared" si="63"/>
        <v>83.43106911291261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16.682857142857149</v>
      </c>
      <c r="BY70" s="12">
        <f>IF('Données projet'!$A$114&gt;35,BY69+BX70-CG69,IF(A70&lt;'Données projet'!$A$114,$BV$205^A70,IF(A70='Données projet'!$A$114,'Données projet'!$B$114,BY69+BX70-CG69)))</f>
        <v>536.81142857142902</v>
      </c>
      <c r="BZ70" s="13">
        <f>BY70*VLOOKUP('Données projet'!$B$12,Paramètres!$A$1:$I$89,3,0)*VLOOKUP('Données projet'!$B$12,Paramètres!$A$1:$I$89,5,0)</f>
        <v>300.07758857142881</v>
      </c>
      <c r="CA70" s="13">
        <f t="shared" si="93"/>
        <v>71.19272877566128</v>
      </c>
      <c r="CB70" s="20">
        <f t="shared" si="64"/>
        <v>646.62913604618188</v>
      </c>
      <c r="CC70" s="59">
        <f t="shared" si="65"/>
        <v>929.74593361047323</v>
      </c>
      <c r="CD70" s="59">
        <f ca="1">AVERAGE(OFFSET($CC$3,0,0,'Données projet'!$E$12+1,1))-AVERAGE(OFFSET($H$3,0,0,'Données projet'!$E$12+1,1))</f>
        <v>394.00476121021177</v>
      </c>
      <c r="CE70" s="59">
        <f t="shared" si="94"/>
        <v>363.10016759175278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92.471362542265211</v>
      </c>
      <c r="CL70" s="21">
        <f>EXP(-LN(2)/25)*CL69+(1-EXP(-LN(2)/25))/(LN(2)/25)*Calculateur!CG70*Calculateur!CI70*VLOOKUP('Données projet'!$B$12,Paramètres!$A$1:$I$89,3,0)*0.475*44/12</f>
        <v>31.597246516254675</v>
      </c>
      <c r="CM70" s="21">
        <f>EXP(-LN(2)/2)*CM69+(1-EXP(-LN(2)/2))/(LN(2)/2)*CG70*CJ70*VLOOKUP('Données projet'!$B$12,Paramètres!$A$1:$I$89,3,0)*0.475*44/12</f>
        <v>3.4469756430431397</v>
      </c>
      <c r="CN70" s="22">
        <f t="shared" si="66"/>
        <v>127.51558470156303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67.213672062988564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3">
        <f>'Scénario référence'!$B$16*5+'Scénario référence'!$B$17*0+'Scénario référence'!$B$18*5</f>
        <v>1.7999999999999998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6.5999999999999988</v>
      </c>
      <c r="H71" s="67">
        <f t="shared" si="56"/>
        <v>230.26666666666665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778.75515143355142</v>
      </c>
      <c r="S71" s="59">
        <f ca="1">AVERAGE(OFFSET($R$3,0,0,'Données projet'!$E$9+1,1))-AVERAGE(OFFSET($H$3,0,0,'Données projet'!$E$9+1,1))</f>
        <v>652.18744712713965</v>
      </c>
      <c r="T71" s="59">
        <f t="shared" si="88"/>
        <v>288.65635870281199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283.2940316191341</v>
      </c>
      <c r="AN71" s="59">
        <f ca="1">AVERAGE(OFFSET($AM$3,0,0,'Données projet'!$E$10+1,1))-AVERAGE(OFFSET($H$3,0,0,'Données projet'!$E$10+1,1))</f>
        <v>307.94699176410495</v>
      </c>
      <c r="AO71" s="59">
        <f t="shared" si="90"/>
        <v>314.22983137038875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118.52195121816666</v>
      </c>
      <c r="AV71" s="21">
        <f>EXP(-LN(2)/25)*AV70+(1-EXP(-LN(2)/25))/(LN(2)/25)*Calculateur!AQ71*Calculateur!AS71*VLOOKUP('Données projet'!$B$10,Paramètres!$A$1:$I$89,3,0)*0.475*44/12</f>
        <v>38.804239635466992</v>
      </c>
      <c r="AW71" s="21">
        <f>EXP(-LN(2)/2)*AW70+(1-EXP(-LN(2)/2))/(LN(2)/2)*AQ71*AT71*VLOOKUP('Données projet'!$B$10,Paramètres!$A$1:$I$89,3,0)*0.475*44/12</f>
        <v>3.7475901764595871</v>
      </c>
      <c r="AX71" s="21">
        <f t="shared" si="60"/>
        <v>161.07378103009324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15.341111111111111</v>
      </c>
      <c r="BD71" s="12">
        <f>IF('Données projet'!$A$88&gt;35,BD70+BC71-BL70,IF(A71&lt;'Données projet'!$A$88,$BA$205^A71,IF(A71='Données projet'!$A$88,'Données projet'!$B$88,BD70+BC71-BL70)))</f>
        <v>381.98222222222222</v>
      </c>
      <c r="BE71" s="13">
        <f>BD71*VLOOKUP('Données projet'!$B$11,Paramètres!$A$1:$I$89,3,0)*VLOOKUP('Données projet'!$B$11,Paramètres!$A$1:$I$89,5,0)</f>
        <v>178.76768000000001</v>
      </c>
      <c r="BF71" s="13">
        <f t="shared" si="91"/>
        <v>45.04790814890876</v>
      </c>
      <c r="BG71" s="20">
        <f t="shared" si="61"/>
        <v>389.81214935934941</v>
      </c>
      <c r="BH71" s="59">
        <f t="shared" si="62"/>
        <v>673.10618097848146</v>
      </c>
      <c r="BI71" s="59">
        <f ca="1">AVERAGE(OFFSET($BH$3,0,0,'Données projet'!$E$11+1,1))-AVERAGE(OFFSET($H$3,0,0,'Données projet'!$E$11+1,1))</f>
        <v>346.55780187946573</v>
      </c>
      <c r="BJ71" s="59">
        <f t="shared" si="92"/>
        <v>297.28652094809149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53.350905406284362</v>
      </c>
      <c r="BQ71" s="21">
        <f>EXP(-LN(2)/25)*BQ70+(1-EXP(-LN(2)/25))/(LN(2)/25)*Calculateur!BL71*Calculateur!BN71*VLOOKUP('Données projet'!$B$11,Paramètres!$A$1:$I$89,3,0)*0.475*44/12</f>
        <v>21.302232047244537</v>
      </c>
      <c r="BR71" s="21">
        <f>EXP(-LN(2)/2)*BR70+(1-EXP(-LN(2)/2))/(LN(2)/2)*BL71*BO71*VLOOKUP('Données projet'!$B$11,Paramètres!$A$1:$I$89,3,0)*0.475*44/12</f>
        <v>5.0289013040451085</v>
      </c>
      <c r="BS71" s="22">
        <f t="shared" si="63"/>
        <v>79.682038757574006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16.682857142857149</v>
      </c>
      <c r="BY71" s="12">
        <f>IF('Données projet'!$A$114&gt;35,BY70+BX71-CG70,IF(A71&lt;'Données projet'!$A$114,$BV$205^A71,IF(A71='Données projet'!$A$114,'Données projet'!$B$114,BY70+BX71-CG70)))</f>
        <v>553.49428571428621</v>
      </c>
      <c r="BZ71" s="13">
        <f>BY71*VLOOKUP('Données projet'!$B$12,Paramètres!$A$1:$I$89,3,0)*VLOOKUP('Données projet'!$B$12,Paramètres!$A$1:$I$89,5,0)</f>
        <v>309.40330571428598</v>
      </c>
      <c r="CA71" s="13">
        <f t="shared" si="93"/>
        <v>73.144202686055834</v>
      </c>
      <c r="CB71" s="20">
        <f t="shared" si="64"/>
        <v>666.27024379726197</v>
      </c>
      <c r="CC71" s="59">
        <f t="shared" si="65"/>
        <v>949.56427541639414</v>
      </c>
      <c r="CD71" s="59">
        <f ca="1">AVERAGE(OFFSET($CC$3,0,0,'Données projet'!$E$12+1,1))-AVERAGE(OFFSET($H$3,0,0,'Données projet'!$E$12+1,1))</f>
        <v>394.00476121021177</v>
      </c>
      <c r="CE71" s="59">
        <f t="shared" si="94"/>
        <v>363.10016759175278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90.658055524773317</v>
      </c>
      <c r="CL71" s="21">
        <f>EXP(-LN(2)/25)*CL70+(1-EXP(-LN(2)/25))/(LN(2)/25)*Calculateur!CG71*Calculateur!CI71*VLOOKUP('Données projet'!$B$12,Paramètres!$A$1:$I$89,3,0)*0.475*44/12</f>
        <v>30.733218148640713</v>
      </c>
      <c r="CM71" s="21">
        <f>EXP(-LN(2)/2)*CM70+(1-EXP(-LN(2)/2))/(LN(2)/2)*CG71*CJ71*VLOOKUP('Données projet'!$B$12,Paramètres!$A$1:$I$89,3,0)*0.475*44/12</f>
        <v>2.4373798517806646</v>
      </c>
      <c r="CN71" s="22">
        <f t="shared" si="66"/>
        <v>123.8286535251947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67.262008623399666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3">
        <f>'Scénario référence'!$B$16*5+'Scénario référence'!$B$17*0+'Scénario référence'!$B$18*5</f>
        <v>1.7999999999999998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6.5999999999999988</v>
      </c>
      <c r="H72" s="67">
        <f t="shared" si="56"/>
        <v>230.26666666666665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797.58015728524515</v>
      </c>
      <c r="S72" s="59">
        <f ca="1">AVERAGE(OFFSET($R$3,0,0,'Données projet'!$E$9+1,1))-AVERAGE(OFFSET($H$3,0,0,'Données projet'!$E$9+1,1))</f>
        <v>652.18744712713965</v>
      </c>
      <c r="T72" s="59">
        <f t="shared" si="88"/>
        <v>288.65635870281199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283.46819105935924</v>
      </c>
      <c r="AN72" s="59">
        <f ca="1">AVERAGE(OFFSET($AM$3,0,0,'Données projet'!$E$10+1,1))-AVERAGE(OFFSET($H$3,0,0,'Données projet'!$E$10+1,1))</f>
        <v>307.94699176410495</v>
      </c>
      <c r="AO72" s="59">
        <f t="shared" si="90"/>
        <v>314.22983137038875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116.19780804603049</v>
      </c>
      <c r="AV72" s="21">
        <f>EXP(-LN(2)/25)*AV71+(1-EXP(-LN(2)/25))/(LN(2)/25)*Calculateur!AQ72*Calculateur!AS72*VLOOKUP('Données projet'!$B$10,Paramètres!$A$1:$I$89,3,0)*0.475*44/12</f>
        <v>37.743135662008875</v>
      </c>
      <c r="AW72" s="21">
        <f>EXP(-LN(2)/2)*AW71+(1-EXP(-LN(2)/2))/(LN(2)/2)*AQ72*AT72*VLOOKUP('Données projet'!$B$10,Paramètres!$A$1:$I$89,3,0)*0.475*44/12</f>
        <v>2.6499464268826647</v>
      </c>
      <c r="AX72" s="21">
        <f t="shared" si="60"/>
        <v>156.59089013492203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15.341111111111111</v>
      </c>
      <c r="BD72" s="12">
        <f>IF('Données projet'!$A$88&gt;35,BD71+BC72-BL71,IF(A72&lt;'Données projet'!$A$88,$BA$205^A72,IF(A72='Données projet'!$A$88,'Données projet'!$B$88,BD71+BC72-BL71)))</f>
        <v>397.32333333333332</v>
      </c>
      <c r="BE72" s="13">
        <f>BD72*VLOOKUP('Données projet'!$B$11,Paramètres!$A$1:$I$89,3,0)*VLOOKUP('Données projet'!$B$11,Paramètres!$A$1:$I$89,5,0)</f>
        <v>185.94731999999999</v>
      </c>
      <c r="BF72" s="13">
        <f t="shared" si="91"/>
        <v>46.642841632371386</v>
      </c>
      <c r="BG72" s="20">
        <f t="shared" si="61"/>
        <v>405.09453150971348</v>
      </c>
      <c r="BH72" s="59">
        <f t="shared" si="62"/>
        <v>688.56272256907073</v>
      </c>
      <c r="BI72" s="59">
        <f ca="1">AVERAGE(OFFSET($BH$3,0,0,'Données projet'!$E$11+1,1))-AVERAGE(OFFSET($H$3,0,0,'Données projet'!$E$11+1,1))</f>
        <v>346.55780187946573</v>
      </c>
      <c r="BJ72" s="59">
        <f t="shared" si="92"/>
        <v>297.28652094809149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52.304726692106286</v>
      </c>
      <c r="BQ72" s="21">
        <f>EXP(-LN(2)/25)*BQ71+(1-EXP(-LN(2)/25))/(LN(2)/25)*Calculateur!BL72*Calculateur!BN72*VLOOKUP('Données projet'!$B$11,Paramètres!$A$1:$I$89,3,0)*0.475*44/12</f>
        <v>20.719721391676938</v>
      </c>
      <c r="BR72" s="21">
        <f>EXP(-LN(2)/2)*BR71+(1-EXP(-LN(2)/2))/(LN(2)/2)*BL72*BO72*VLOOKUP('Données projet'!$B$11,Paramètres!$A$1:$I$89,3,0)*0.475*44/12</f>
        <v>3.5559702140081684</v>
      </c>
      <c r="BS72" s="22">
        <f t="shared" si="63"/>
        <v>76.580418297791397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16.682857142857149</v>
      </c>
      <c r="BY72" s="12">
        <f>IF('Données projet'!$A$114&gt;35,BY71+BX72-CG71,IF(A72&lt;'Données projet'!$A$114,$BV$205^A72,IF(A72='Données projet'!$A$114,'Données projet'!$B$114,BY71+BX72-CG71)))</f>
        <v>570.17714285714339</v>
      </c>
      <c r="BZ72" s="13">
        <f>BY72*VLOOKUP('Données projet'!$B$12,Paramètres!$A$1:$I$89,3,0)*VLOOKUP('Données projet'!$B$12,Paramètres!$A$1:$I$89,5,0)</f>
        <v>318.72902285714315</v>
      </c>
      <c r="CA72" s="13">
        <f t="shared" si="93"/>
        <v>75.088840929664514</v>
      </c>
      <c r="CB72" s="20">
        <f t="shared" si="64"/>
        <v>685.89944609535667</v>
      </c>
      <c r="CC72" s="59">
        <f t="shared" si="65"/>
        <v>969.36763715471398</v>
      </c>
      <c r="CD72" s="59">
        <f ca="1">AVERAGE(OFFSET($CC$3,0,0,'Données projet'!$E$12+1,1))-AVERAGE(OFFSET($H$3,0,0,'Données projet'!$E$12+1,1))</f>
        <v>394.00476121021177</v>
      </c>
      <c r="CE72" s="59">
        <f t="shared" si="94"/>
        <v>363.10016759175278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88.880306351886361</v>
      </c>
      <c r="CL72" s="21">
        <f>EXP(-LN(2)/25)*CL71+(1-EXP(-LN(2)/25))/(LN(2)/25)*Calculateur!CG72*Calculateur!CI72*VLOOKUP('Données projet'!$B$12,Paramètres!$A$1:$I$89,3,0)*0.475*44/12</f>
        <v>29.892816682176431</v>
      </c>
      <c r="CM72" s="21">
        <f>EXP(-LN(2)/2)*CM71+(1-EXP(-LN(2)/2))/(LN(2)/2)*CG72*CJ72*VLOOKUP('Données projet'!$B$12,Paramètres!$A$1:$I$89,3,0)*0.475*44/12</f>
        <v>1.7234878215215701</v>
      </c>
      <c r="CN72" s="22">
        <f t="shared" si="66"/>
        <v>120.49661085558436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67.309506652551988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3">
        <f>'Scénario référence'!$B$16*5+'Scénario référence'!$B$17*0+'Scénario référence'!$B$18*5</f>
        <v>1.7999999999999998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6.5999999999999988</v>
      </c>
      <c r="H73" s="67">
        <f t="shared" si="56"/>
        <v>230.26666666666665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816.38786332607106</v>
      </c>
      <c r="S73" s="59">
        <f ca="1">AVERAGE(OFFSET($R$3,0,0,'Données projet'!$E$9+1,1))-AVERAGE(OFFSET($H$3,0,0,'Données projet'!$E$9+1,1))</f>
        <v>652.18744712713965</v>
      </c>
      <c r="T73" s="59">
        <f t="shared" si="88"/>
        <v>288.65635870281199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283.63932922265872</v>
      </c>
      <c r="AN73" s="59">
        <f ca="1">AVERAGE(OFFSET($AM$3,0,0,'Données projet'!$E$10+1,1))-AVERAGE(OFFSET($H$3,0,0,'Données projet'!$E$10+1,1))</f>
        <v>307.94699176410495</v>
      </c>
      <c r="AO73" s="59">
        <f t="shared" si="90"/>
        <v>314.22983137038875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113.91923990391254</v>
      </c>
      <c r="AV73" s="21">
        <f>EXP(-LN(2)/25)*AV72+(1-EXP(-LN(2)/25))/(LN(2)/25)*Calculateur!AQ73*Calculateur!AS73*VLOOKUP('Données projet'!$B$10,Paramètres!$A$1:$I$89,3,0)*0.475*44/12</f>
        <v>36.711047632506002</v>
      </c>
      <c r="AW73" s="21">
        <f>EXP(-LN(2)/2)*AW72+(1-EXP(-LN(2)/2))/(LN(2)/2)*AQ73*AT73*VLOOKUP('Données projet'!$B$10,Paramètres!$A$1:$I$89,3,0)*0.475*44/12</f>
        <v>1.873795088229794</v>
      </c>
      <c r="AX73" s="21">
        <f t="shared" si="60"/>
        <v>152.50408262464833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15.341111111111111</v>
      </c>
      <c r="BD73" s="12">
        <f>IF('Données projet'!$A$88&gt;35,BD72+BC73-BL72,IF(A73&lt;'Données projet'!$A$88,$BA$205^A73,IF(A73='Données projet'!$A$88,'Données projet'!$B$88,BD72+BC73-BL72)))</f>
        <v>412.66444444444443</v>
      </c>
      <c r="BE73" s="13">
        <f>BD73*VLOOKUP('Données projet'!$B$11,Paramètres!$A$1:$I$89,3,0)*VLOOKUP('Données projet'!$B$11,Paramètres!$A$1:$I$89,5,0)</f>
        <v>193.12695999999997</v>
      </c>
      <c r="BF73" s="13">
        <f t="shared" si="91"/>
        <v>48.230621152290105</v>
      </c>
      <c r="BG73" s="20">
        <f t="shared" si="61"/>
        <v>420.36445384023858</v>
      </c>
      <c r="BH73" s="59">
        <f t="shared" si="62"/>
        <v>704.00378306289531</v>
      </c>
      <c r="BI73" s="59">
        <f ca="1">AVERAGE(OFFSET($BH$3,0,0,'Données projet'!$E$11+1,1))-AVERAGE(OFFSET($H$3,0,0,'Données projet'!$E$11+1,1))</f>
        <v>346.55780187946573</v>
      </c>
      <c r="BJ73" s="59">
        <f t="shared" si="92"/>
        <v>297.28652094809149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51.279062904407233</v>
      </c>
      <c r="BQ73" s="21">
        <f>EXP(-LN(2)/25)*BQ72+(1-EXP(-LN(2)/25))/(LN(2)/25)*Calculateur!BL73*Calculateur!BN73*VLOOKUP('Données projet'!$B$11,Paramètres!$A$1:$I$89,3,0)*0.475*44/12</f>
        <v>20.15313952061874</v>
      </c>
      <c r="BR73" s="21">
        <f>EXP(-LN(2)/2)*BR72+(1-EXP(-LN(2)/2))/(LN(2)/2)*BL73*BO73*VLOOKUP('Données projet'!$B$11,Paramètres!$A$1:$I$89,3,0)*0.475*44/12</f>
        <v>2.5144506520225547</v>
      </c>
      <c r="BS73" s="22">
        <f t="shared" si="63"/>
        <v>73.946653077048538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586.86</v>
      </c>
      <c r="BW73" s="12">
        <f>VLOOKUP(A73,'Données projet'!$A$113:$I$133,9,0)</f>
        <v>16.682857142857149</v>
      </c>
      <c r="BX73" s="12">
        <f t="array" ref="BX73">INDEX(BW:BW,MIN(IF(ISNUMBER(BW73:BW269),ROW(BW73:BW269),"")))</f>
        <v>16.682857142857149</v>
      </c>
      <c r="BY73" s="12">
        <f>IF('Données projet'!$A$114&gt;35,BY72+BX73-CG72,IF(A73&lt;'Données projet'!$A$114,$BV$205^A73,IF(A73='Données projet'!$A$114,'Données projet'!$B$114,BY72+BX73-CG72)))</f>
        <v>586.86000000000058</v>
      </c>
      <c r="BZ73" s="13">
        <f>BY73*VLOOKUP('Données projet'!$B$12,Paramètres!$A$1:$I$89,3,0)*VLOOKUP('Données projet'!$B$12,Paramètres!$A$1:$I$89,5,0)</f>
        <v>328.05474000000032</v>
      </c>
      <c r="CA73" s="13">
        <f t="shared" si="93"/>
        <v>77.026866477102189</v>
      </c>
      <c r="CB73" s="20">
        <f t="shared" si="64"/>
        <v>705.51713128095355</v>
      </c>
      <c r="CC73" s="59">
        <f t="shared" si="65"/>
        <v>989.15646050361033</v>
      </c>
      <c r="CD73" s="59">
        <f ca="1">AVERAGE(OFFSET($CC$3,0,0,'Données projet'!$E$12+1,1))-AVERAGE(OFFSET($H$3,0,0,'Données projet'!$E$12+1,1))</f>
        <v>394.00476121021177</v>
      </c>
      <c r="CE73" s="59">
        <f t="shared" si="94"/>
        <v>363.10016759175278</v>
      </c>
      <c r="CF73" s="15">
        <f>IF(ISNA(VLOOKUP(A73,'Données projet'!$A$113:$I$133,3,0)),0,VLOOKUP(A73,'Données projet'!$A$113:$I$133,3,0))</f>
        <v>8</v>
      </c>
      <c r="CG73" s="15">
        <f>IF(ISNA(VLOOKUP(A73,'Données projet'!$A$113:$I$133,4,0)),0,VLOOKUP(A73,'Données projet'!$A$113:$I$133,4,0))</f>
        <v>586.86</v>
      </c>
      <c r="CH73" s="16">
        <f>IF(ISNA(VLOOKUP(A73,'Données projet'!$A$113:$I$133,5,0)),0%,VLOOKUP(A73,'Données projet'!$A$113:$I$133,5,0)*VLOOKUP('Données projet'!$B$12,Paramètres!$A$1:$I$89,7,0))</f>
        <v>0.33</v>
      </c>
      <c r="CI73" s="16">
        <f>IF(ISNA(VLOOKUP(A73,'Données projet'!$A$113:$I$133,6,0)),0%,VLOOKUP(A73,'Données projet'!$A$113:$I$133,6,0)*VLOOKUP('Données projet'!$B$12,Paramètres!$A$1:$I$89,7,0))</f>
        <v>0.11000000000000001</v>
      </c>
      <c r="CJ73" s="16">
        <f>IF(ISNA(VLOOKUP(A73,'Données projet'!$A$113:$I$133,7,0)),0%,VLOOKUP(A73,'Données projet'!$A$113:$I$133,7,0))</f>
        <v>0.2</v>
      </c>
      <c r="CK73" s="21">
        <f>EXP(-LN(2)/35)*CK72+(1-EXP(-LN(2)/35))/(LN(2)/35)*CG73*CH73*VLOOKUP('Données projet'!$B$12,Paramètres!$A$1:$I$89,3,0)*0.475*44/12</f>
        <v>230.74871773837151</v>
      </c>
      <c r="CL73" s="21">
        <f>EXP(-LN(2)/25)*CL72+(1-EXP(-LN(2)/25))/(LN(2)/25)*Calculateur!CG73*Calculateur!CI73*VLOOKUP('Données projet'!$B$12,Paramètres!$A$1:$I$89,3,0)*0.475*44/12</f>
        <v>76.757345229402674</v>
      </c>
      <c r="CM73" s="21">
        <f>EXP(-LN(2)/2)*CM72+(1-EXP(-LN(2)/2))/(LN(2)/2)*CG73*CJ73*VLOOKUP('Données projet'!$B$12,Paramètres!$A$1:$I$89,3,0)*0.475*44/12</f>
        <v>75.505524322819824</v>
      </c>
      <c r="CN73" s="22">
        <f t="shared" si="66"/>
        <v>383.01158729059404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67.356180697088206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3">
        <f>'Scénario référence'!$B$16*5+'Scénario référence'!$B$17*0+'Scénario référence'!$B$18*5</f>
        <v>1.7999999999999998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6.5999999999999988</v>
      </c>
      <c r="H74" s="67">
        <f t="shared" si="56"/>
        <v>230.26666666666665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835.17889142315505</v>
      </c>
      <c r="S74" s="59">
        <f ca="1">AVERAGE(OFFSET($R$3,0,0,'Données projet'!$E$9+1,1))-AVERAGE(OFFSET($H$3,0,0,'Données projet'!$E$9+1,1))</f>
        <v>652.18744712713965</v>
      </c>
      <c r="T74" s="59">
        <f t="shared" si="88"/>
        <v>288.65635870281199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283.80749852143259</v>
      </c>
      <c r="AN74" s="59">
        <f ca="1">AVERAGE(OFFSET($AM$3,0,0,'Données projet'!$E$10+1,1))-AVERAGE(OFFSET($H$3,0,0,'Données projet'!$E$10+1,1))</f>
        <v>307.94699176410495</v>
      </c>
      <c r="AO74" s="59">
        <f t="shared" si="90"/>
        <v>314.22983137038875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111.6853530932722</v>
      </c>
      <c r="AV74" s="21">
        <f>EXP(-LN(2)/25)*AV73+(1-EXP(-LN(2)/25))/(LN(2)/25)*Calculateur!AQ74*Calculateur!AS74*VLOOKUP('Données projet'!$B$10,Paramètres!$A$1:$I$89,3,0)*0.475*44/12</f>
        <v>35.707182104445032</v>
      </c>
      <c r="AW74" s="21">
        <f>EXP(-LN(2)/2)*AW73+(1-EXP(-LN(2)/2))/(LN(2)/2)*AQ74*AT74*VLOOKUP('Données projet'!$B$10,Paramètres!$A$1:$I$89,3,0)*0.475*44/12</f>
        <v>1.3249732134413326</v>
      </c>
      <c r="AX74" s="21">
        <f t="shared" si="60"/>
        <v>148.71750841115855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15.341111111111111</v>
      </c>
      <c r="BD74" s="12">
        <f>IF('Données projet'!$A$88&gt;35,BD73+BC74-BL73,IF(A74&lt;'Données projet'!$A$88,$BA$205^A74,IF(A74='Données projet'!$A$88,'Données projet'!$B$88,BD73+BC74-BL73)))</f>
        <v>428.00555555555553</v>
      </c>
      <c r="BE74" s="13">
        <f>BD74*VLOOKUP('Données projet'!$B$11,Paramètres!$A$1:$I$89,3,0)*VLOOKUP('Données projet'!$B$11,Paramètres!$A$1:$I$89,5,0)</f>
        <v>200.3066</v>
      </c>
      <c r="BF74" s="13">
        <f t="shared" si="91"/>
        <v>49.811543117142179</v>
      </c>
      <c r="BG74" s="20">
        <f t="shared" si="61"/>
        <v>435.6224325956893</v>
      </c>
      <c r="BH74" s="59">
        <f t="shared" si="62"/>
        <v>719.42993111711985</v>
      </c>
      <c r="BI74" s="59">
        <f ca="1">AVERAGE(OFFSET($BH$3,0,0,'Données projet'!$E$11+1,1))-AVERAGE(OFFSET($H$3,0,0,'Données projet'!$E$11+1,1))</f>
        <v>346.55780187946573</v>
      </c>
      <c r="BJ74" s="59">
        <f t="shared" si="92"/>
        <v>297.28652094809149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50.27351175799182</v>
      </c>
      <c r="BQ74" s="21">
        <f>EXP(-LN(2)/25)*BQ73+(1-EXP(-LN(2)/25))/(LN(2)/25)*Calculateur!BL74*Calculateur!BN74*VLOOKUP('Données projet'!$B$11,Paramètres!$A$1:$I$89,3,0)*0.475*44/12</f>
        <v>19.602050860619876</v>
      </c>
      <c r="BR74" s="21">
        <f>EXP(-LN(2)/2)*BR73+(1-EXP(-LN(2)/2))/(LN(2)/2)*BL74*BO74*VLOOKUP('Données projet'!$B$11,Paramètres!$A$1:$I$89,3,0)*0.475*44/12</f>
        <v>1.7779851070040844</v>
      </c>
      <c r="BS74" s="22">
        <f t="shared" si="63"/>
        <v>71.65354772561578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5.6843418860808015E-13</v>
      </c>
      <c r="BZ74" s="13">
        <f>BY74*VLOOKUP('Données projet'!$B$12,Paramètres!$A$1:$I$89,3,0)*VLOOKUP('Données projet'!$B$12,Paramètres!$A$1:$I$89,5,0)</f>
        <v>3.177547114319168E-13</v>
      </c>
      <c r="CA74" s="13">
        <f t="shared" si="93"/>
        <v>4.1725404435445377E-12</v>
      </c>
      <c r="CB74" s="20">
        <f t="shared" si="64"/>
        <v>7.820597394917325E-12</v>
      </c>
      <c r="CC74" s="59">
        <f t="shared" si="65"/>
        <v>283.80749852143845</v>
      </c>
      <c r="CD74" s="59">
        <f ca="1">AVERAGE(OFFSET($CC$3,0,0,'Données projet'!$E$12+1,1))-AVERAGE(OFFSET($H$3,0,0,'Données projet'!$E$12+1,1))</f>
        <v>394.00476121021177</v>
      </c>
      <c r="CE74" s="59">
        <f t="shared" si="94"/>
        <v>363.10016759175278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226.22387612634267</v>
      </c>
      <c r="CL74" s="21">
        <f>EXP(-LN(2)/25)*CL73+(1-EXP(-LN(2)/25))/(LN(2)/25)*Calculateur!CG74*Calculateur!CI74*VLOOKUP('Données projet'!$B$12,Paramètres!$A$1:$I$89,3,0)*0.475*44/12</f>
        <v>74.658411587611297</v>
      </c>
      <c r="CM74" s="21">
        <f>EXP(-LN(2)/2)*CM73+(1-EXP(-LN(2)/2))/(LN(2)/2)*CG74*CJ74*VLOOKUP('Données projet'!$B$12,Paramètres!$A$1:$I$89,3,0)*0.475*44/12</f>
        <v>53.390468265711704</v>
      </c>
      <c r="CN74" s="22">
        <f t="shared" si="66"/>
        <v>354.2727559796657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67.402045051299254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3">
        <f>'Scénario référence'!$B$16*5+'Scénario référence'!$B$17*0+'Scénario référence'!$B$18*5</f>
        <v>1.7999999999999998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6.5999999999999988</v>
      </c>
      <c r="H75" s="67">
        <f t="shared" si="56"/>
        <v>230.26666666666665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853.95382095769367</v>
      </c>
      <c r="S75" s="59">
        <f ca="1">AVERAGE(OFFSET($R$3,0,0,'Données projet'!$E$9+1,1))-AVERAGE(OFFSET($H$3,0,0,'Données projet'!$E$9+1,1))</f>
        <v>652.18744712713965</v>
      </c>
      <c r="T75" s="59">
        <f t="shared" si="88"/>
        <v>288.65635870281199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283.97275045884288</v>
      </c>
      <c r="AN75" s="59">
        <f ca="1">AVERAGE(OFFSET($AM$3,0,0,'Données projet'!$E$10+1,1))-AVERAGE(OFFSET($H$3,0,0,'Données projet'!$E$10+1,1))</f>
        <v>307.94699176410495</v>
      </c>
      <c r="AO75" s="59">
        <f t="shared" si="90"/>
        <v>314.22983137038875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109.4952714404521</v>
      </c>
      <c r="AV75" s="21">
        <f>EXP(-LN(2)/25)*AV74+(1-EXP(-LN(2)/25))/(LN(2)/25)*Calculateur!AQ75*Calculateur!AS75*VLOOKUP('Données projet'!$B$10,Paramètres!$A$1:$I$89,3,0)*0.475*44/12</f>
        <v>34.730767332039882</v>
      </c>
      <c r="AW75" s="21">
        <f>EXP(-LN(2)/2)*AW74+(1-EXP(-LN(2)/2))/(LN(2)/2)*AQ75*AT75*VLOOKUP('Données projet'!$B$10,Paramètres!$A$1:$I$89,3,0)*0.475*44/12</f>
        <v>0.93689754411489712</v>
      </c>
      <c r="AX75" s="21">
        <f t="shared" si="60"/>
        <v>145.16293631660687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15.341111111111111</v>
      </c>
      <c r="BD75" s="12">
        <f>IF('Données projet'!$A$88&gt;35,BD74+BC75-BL74,IF(A75&lt;'Données projet'!$A$88,$BA$205^A75,IF(A75='Données projet'!$A$88,'Données projet'!$B$88,BD74+BC75-BL74)))</f>
        <v>443.34666666666664</v>
      </c>
      <c r="BE75" s="13">
        <f>BD75*VLOOKUP('Données projet'!$B$11,Paramètres!$A$1:$I$89,3,0)*VLOOKUP('Données projet'!$B$11,Paramètres!$A$1:$I$89,5,0)</f>
        <v>207.48623999999998</v>
      </c>
      <c r="BF75" s="13">
        <f t="shared" si="91"/>
        <v>51.385881482437711</v>
      </c>
      <c r="BG75" s="20">
        <f t="shared" si="61"/>
        <v>450.86894491524566</v>
      </c>
      <c r="BH75" s="59">
        <f t="shared" si="62"/>
        <v>734.84169537408661</v>
      </c>
      <c r="BI75" s="59">
        <f ca="1">AVERAGE(OFFSET($BH$3,0,0,'Données projet'!$E$11+1,1))-AVERAGE(OFFSET($H$3,0,0,'Données projet'!$E$11+1,1))</f>
        <v>346.55780187946573</v>
      </c>
      <c r="BJ75" s="59">
        <f t="shared" si="92"/>
        <v>297.28652094809149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49.28767885623197</v>
      </c>
      <c r="BQ75" s="21">
        <f>EXP(-LN(2)/25)*BQ74+(1-EXP(-LN(2)/25))/(LN(2)/25)*Calculateur!BL75*Calculateur!BN75*VLOOKUP('Données projet'!$B$11,Paramètres!$A$1:$I$89,3,0)*0.475*44/12</f>
        <v>19.066031749009174</v>
      </c>
      <c r="BR75" s="21">
        <f>EXP(-LN(2)/2)*BR74+(1-EXP(-LN(2)/2))/(LN(2)/2)*BL75*BO75*VLOOKUP('Données projet'!$B$11,Paramètres!$A$1:$I$89,3,0)*0.475*44/12</f>
        <v>1.2572253260112776</v>
      </c>
      <c r="BS75" s="22">
        <f t="shared" si="63"/>
        <v>69.610935931252428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5.6843418860808015E-13</v>
      </c>
      <c r="BZ75" s="13">
        <f>BY75*VLOOKUP('Données projet'!$B$12,Paramètres!$A$1:$I$89,3,0)*VLOOKUP('Données projet'!$B$12,Paramètres!$A$1:$I$89,5,0)</f>
        <v>3.177547114319168E-13</v>
      </c>
      <c r="CA75" s="13">
        <f t="shared" si="93"/>
        <v>4.1725404435445377E-12</v>
      </c>
      <c r="CB75" s="20">
        <f t="shared" si="64"/>
        <v>7.820597394917325E-12</v>
      </c>
      <c r="CC75" s="59">
        <f t="shared" si="65"/>
        <v>283.97275045884874</v>
      </c>
      <c r="CD75" s="59">
        <f ca="1">AVERAGE(OFFSET($CC$3,0,0,'Données projet'!$E$12+1,1))-AVERAGE(OFFSET($H$3,0,0,'Données projet'!$E$12+1,1))</f>
        <v>394.00476121021177</v>
      </c>
      <c r="CE75" s="59">
        <f t="shared" si="94"/>
        <v>363.10016759175278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221.78776389844484</v>
      </c>
      <c r="CL75" s="21">
        <f>EXP(-LN(2)/25)*CL74+(1-EXP(-LN(2)/25))/(LN(2)/25)*Calculateur!CG75*Calculateur!CI75*VLOOKUP('Données projet'!$B$12,Paramètres!$A$1:$I$89,3,0)*0.475*44/12</f>
        <v>72.61687339663284</v>
      </c>
      <c r="CM75" s="21">
        <f>EXP(-LN(2)/2)*CM74+(1-EXP(-LN(2)/2))/(LN(2)/2)*CG75*CJ75*VLOOKUP('Données projet'!$B$12,Paramètres!$A$1:$I$89,3,0)*0.475*44/12</f>
        <v>37.752762161409919</v>
      </c>
      <c r="CN75" s="22">
        <f t="shared" si="66"/>
        <v>332.15739945648761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67.447113761502067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3">
        <f>'Scénario référence'!$B$16*5+'Scénario référence'!$B$17*0+'Scénario référence'!$B$18*5</f>
        <v>1.7999999999999998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6.5999999999999988</v>
      </c>
      <c r="H76" s="67">
        <f t="shared" si="56"/>
        <v>230.26666666666665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872.71319316230461</v>
      </c>
      <c r="S76" s="59">
        <f ca="1">AVERAGE(OFFSET($R$3,0,0,'Données projet'!$E$9+1,1))-AVERAGE(OFFSET($H$3,0,0,'Données projet'!$E$9+1,1))</f>
        <v>652.18744712713965</v>
      </c>
      <c r="T76" s="59">
        <f t="shared" si="88"/>
        <v>288.65635870281199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284.13513564458719</v>
      </c>
      <c r="AN76" s="59">
        <f ca="1">AVERAGE(OFFSET($AM$3,0,0,'Données projet'!$E$10+1,1))-AVERAGE(OFFSET($H$3,0,0,'Données projet'!$E$10+1,1))</f>
        <v>307.94699176410495</v>
      </c>
      <c r="AO76" s="59">
        <f t="shared" si="90"/>
        <v>314.22983137038875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107.34813595302589</v>
      </c>
      <c r="AV76" s="21">
        <f>EXP(-LN(2)/25)*AV75+(1-EXP(-LN(2)/25))/(LN(2)/25)*Calculateur!AQ76*Calculateur!AS76*VLOOKUP('Données projet'!$B$10,Paramètres!$A$1:$I$89,3,0)*0.475*44/12</f>
        <v>33.781052672933576</v>
      </c>
      <c r="AW76" s="21">
        <f>EXP(-LN(2)/2)*AW75+(1-EXP(-LN(2)/2))/(LN(2)/2)*AQ76*AT76*VLOOKUP('Données projet'!$B$10,Paramètres!$A$1:$I$89,3,0)*0.475*44/12</f>
        <v>0.66248660672066639</v>
      </c>
      <c r="AX76" s="21">
        <f t="shared" si="60"/>
        <v>141.79167523268015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15.341111111111111</v>
      </c>
      <c r="BD76" s="12">
        <f>IF('Données projet'!$A$88&gt;35,BD75+BC76-BL75,IF(A76&lt;'Données projet'!$A$88,$BA$205^A76,IF(A76='Données projet'!$A$88,'Données projet'!$B$88,BD75+BC76-BL75)))</f>
        <v>458.68777777777774</v>
      </c>
      <c r="BE76" s="13">
        <f>BD76*VLOOKUP('Données projet'!$B$11,Paramètres!$A$1:$I$89,3,0)*VLOOKUP('Données projet'!$B$11,Paramètres!$A$1:$I$89,5,0)</f>
        <v>214.66587999999996</v>
      </c>
      <c r="BF76" s="13">
        <f t="shared" si="91"/>
        <v>52.953890169081092</v>
      </c>
      <c r="BG76" s="20">
        <f t="shared" si="61"/>
        <v>466.10443304448285</v>
      </c>
      <c r="BH76" s="59">
        <f t="shared" si="62"/>
        <v>750.23956868906805</v>
      </c>
      <c r="BI76" s="59">
        <f ca="1">AVERAGE(OFFSET($BH$3,0,0,'Données projet'!$E$11+1,1))-AVERAGE(OFFSET($H$3,0,0,'Données projet'!$E$11+1,1))</f>
        <v>346.55780187946573</v>
      </c>
      <c r="BJ76" s="59">
        <f t="shared" si="92"/>
        <v>297.28652094809149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48.321177536376936</v>
      </c>
      <c r="BQ76" s="21">
        <f>EXP(-LN(2)/25)*BQ75+(1-EXP(-LN(2)/25))/(LN(2)/25)*Calculateur!BL76*Calculateur!BN76*VLOOKUP('Données projet'!$B$11,Paramètres!$A$1:$I$89,3,0)*0.475*44/12</f>
        <v>18.544670108193483</v>
      </c>
      <c r="BR76" s="21">
        <f>EXP(-LN(2)/2)*BR75+(1-EXP(-LN(2)/2))/(LN(2)/2)*BL76*BO76*VLOOKUP('Données projet'!$B$11,Paramètres!$A$1:$I$89,3,0)*0.475*44/12</f>
        <v>0.88899255350204243</v>
      </c>
      <c r="BS76" s="22">
        <f t="shared" si="63"/>
        <v>67.754840198072458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5.6843418860808015E-13</v>
      </c>
      <c r="BZ76" s="13">
        <f>BY76*VLOOKUP('Données projet'!$B$12,Paramètres!$A$1:$I$89,3,0)*VLOOKUP('Données projet'!$B$12,Paramètres!$A$1:$I$89,5,0)</f>
        <v>3.177547114319168E-13</v>
      </c>
      <c r="CA76" s="13">
        <f t="shared" si="93"/>
        <v>4.1725404435445377E-12</v>
      </c>
      <c r="CB76" s="20">
        <f t="shared" si="64"/>
        <v>7.820597394917325E-12</v>
      </c>
      <c r="CC76" s="59">
        <f t="shared" si="65"/>
        <v>284.13513564459305</v>
      </c>
      <c r="CD76" s="59">
        <f ca="1">AVERAGE(OFFSET($CC$3,0,0,'Données projet'!$E$12+1,1))-AVERAGE(OFFSET($H$3,0,0,'Données projet'!$E$12+1,1))</f>
        <v>394.00476121021177</v>
      </c>
      <c r="CE76" s="59">
        <f t="shared" si="94"/>
        <v>363.10016759175278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217.4386411255748</v>
      </c>
      <c r="CL76" s="21">
        <f>EXP(-LN(2)/25)*CL75+(1-EXP(-LN(2)/25))/(LN(2)/25)*Calculateur!CG76*Calculateur!CI76*VLOOKUP('Données projet'!$B$12,Paramètres!$A$1:$I$89,3,0)*0.475*44/12</f>
        <v>70.631161174846511</v>
      </c>
      <c r="CM76" s="21">
        <f>EXP(-LN(2)/2)*CM75+(1-EXP(-LN(2)/2))/(LN(2)/2)*CG76*CJ76*VLOOKUP('Données projet'!$B$12,Paramètres!$A$1:$I$89,3,0)*0.475*44/12</f>
        <v>26.695234132855855</v>
      </c>
      <c r="CN76" s="22">
        <f t="shared" si="66"/>
        <v>314.76503643327715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67.491400630341417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3">
        <f>'Scénario référence'!$B$16*5+'Scénario référence'!$B$17*0+'Scénario référence'!$B$18*5</f>
        <v>1.7999999999999998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6.5999999999999988</v>
      </c>
      <c r="H77" s="67">
        <f t="shared" si="56"/>
        <v>230.26666666666665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891.45751488382643</v>
      </c>
      <c r="S77" s="59">
        <f ca="1">AVERAGE(OFFSET($R$3,0,0,'Données projet'!$E$9+1,1))-AVERAGE(OFFSET($H$3,0,0,'Données projet'!$E$9+1,1))</f>
        <v>652.18744712713965</v>
      </c>
      <c r="T77" s="59">
        <f t="shared" si="88"/>
        <v>288.65635870281199</v>
      </c>
      <c r="U77" s="15">
        <f>IF(ISNA(VLOOKUP(A77,'Données projet'!$A$35:$I$55,3,0)),0,VLOOKUP(A77,'Données projet'!$A$35:$I$55,3,0))</f>
        <v>7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284.29470381039766</v>
      </c>
      <c r="AN77" s="59">
        <f ca="1">AVERAGE(OFFSET($AM$3,0,0,'Données projet'!$E$10+1,1))-AVERAGE(OFFSET($H$3,0,0,'Données projet'!$E$10+1,1))</f>
        <v>307.94699176410495</v>
      </c>
      <c r="AO77" s="59">
        <f t="shared" si="90"/>
        <v>314.22983137038875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105.24310448288477</v>
      </c>
      <c r="AV77" s="21">
        <f>EXP(-LN(2)/25)*AV76+(1-EXP(-LN(2)/25))/(LN(2)/25)*Calculateur!AQ77*Calculateur!AS77*VLOOKUP('Données projet'!$B$10,Paramètres!$A$1:$I$89,3,0)*0.475*44/12</f>
        <v>32.857308011123855</v>
      </c>
      <c r="AW77" s="21">
        <f>EXP(-LN(2)/2)*AW76+(1-EXP(-LN(2)/2))/(LN(2)/2)*AQ77*AT77*VLOOKUP('Données projet'!$B$10,Paramètres!$A$1:$I$89,3,0)*0.475*44/12</f>
        <v>0.46844877205744867</v>
      </c>
      <c r="AX77" s="21">
        <f t="shared" si="60"/>
        <v>138.56886126606608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15.341111111111111</v>
      </c>
      <c r="BD77" s="12">
        <f>IF('Données projet'!$A$88&gt;35,BD76+BC77-BL76,IF(A77&lt;'Données projet'!$A$88,$BA$205^A77,IF(A77='Données projet'!$A$88,'Données projet'!$B$88,BD76+BC77-BL76)))</f>
        <v>474.02888888888884</v>
      </c>
      <c r="BE77" s="13">
        <f>BD77*VLOOKUP('Données projet'!$B$11,Paramètres!$A$1:$I$89,3,0)*VLOOKUP('Données projet'!$B$11,Paramètres!$A$1:$I$89,5,0)</f>
        <v>221.84551999999999</v>
      </c>
      <c r="BF77" s="13">
        <f t="shared" si="91"/>
        <v>54.515805149108424</v>
      </c>
      <c r="BG77" s="20">
        <f t="shared" si="61"/>
        <v>481.32930796803049</v>
      </c>
      <c r="BH77" s="59">
        <f t="shared" si="62"/>
        <v>765.62401177842617</v>
      </c>
      <c r="BI77" s="59">
        <f ca="1">AVERAGE(OFFSET($BH$3,0,0,'Données projet'!$E$11+1,1))-AVERAGE(OFFSET($H$3,0,0,'Données projet'!$E$11+1,1))</f>
        <v>346.55780187946573</v>
      </c>
      <c r="BJ77" s="59">
        <f t="shared" si="92"/>
        <v>297.28652094809149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47.373628717896665</v>
      </c>
      <c r="BQ77" s="21">
        <f>EXP(-LN(2)/25)*BQ76+(1-EXP(-LN(2)/25))/(LN(2)/25)*Calculateur!BL77*Calculateur!BN77*VLOOKUP('Données projet'!$B$11,Paramètres!$A$1:$I$89,3,0)*0.475*44/12</f>
        <v>18.037565128863115</v>
      </c>
      <c r="BR77" s="21">
        <f>EXP(-LN(2)/2)*BR76+(1-EXP(-LN(2)/2))/(LN(2)/2)*BL77*BO77*VLOOKUP('Données projet'!$B$11,Paramètres!$A$1:$I$89,3,0)*0.475*44/12</f>
        <v>0.62861266300563889</v>
      </c>
      <c r="BS77" s="22">
        <f t="shared" si="63"/>
        <v>66.039806509765413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5.6843418860808015E-13</v>
      </c>
      <c r="BZ77" s="13">
        <f>BY77*VLOOKUP('Données projet'!$B$12,Paramètres!$A$1:$I$89,3,0)*VLOOKUP('Données projet'!$B$12,Paramètres!$A$1:$I$89,5,0)</f>
        <v>3.177547114319168E-13</v>
      </c>
      <c r="CA77" s="13">
        <f t="shared" si="93"/>
        <v>4.1725404435445377E-12</v>
      </c>
      <c r="CB77" s="20">
        <f t="shared" si="64"/>
        <v>7.820597394917325E-12</v>
      </c>
      <c r="CC77" s="59">
        <f t="shared" si="65"/>
        <v>284.29470381040352</v>
      </c>
      <c r="CD77" s="59">
        <f ca="1">AVERAGE(OFFSET($CC$3,0,0,'Données projet'!$E$12+1,1))-AVERAGE(OFFSET($H$3,0,0,'Données projet'!$E$12+1,1))</f>
        <v>394.00476121021177</v>
      </c>
      <c r="CE77" s="59">
        <f t="shared" si="94"/>
        <v>363.10016759175278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213.17480199757779</v>
      </c>
      <c r="CL77" s="21">
        <f>EXP(-LN(2)/25)*CL76+(1-EXP(-LN(2)/25))/(LN(2)/25)*Calculateur!CG77*Calculateur!CI77*VLOOKUP('Données projet'!$B$12,Paramètres!$A$1:$I$89,3,0)*0.475*44/12</f>
        <v>68.699748358188998</v>
      </c>
      <c r="CM77" s="21">
        <f>EXP(-LN(2)/2)*CM76+(1-EXP(-LN(2)/2))/(LN(2)/2)*CG77*CJ77*VLOOKUP('Données projet'!$B$12,Paramètres!$A$1:$I$89,3,0)*0.475*44/12</f>
        <v>18.876381080704963</v>
      </c>
      <c r="CN77" s="22">
        <f t="shared" si="66"/>
        <v>300.75093143647177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67.534919221016992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3">
        <f>'Scénario référence'!$B$16*5+'Scénario référence'!$B$17*0+'Scénario référence'!$B$18*5</f>
        <v>1.7999999999999998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6.5999999999999988</v>
      </c>
      <c r="H78" s="67">
        <f t="shared" si="56"/>
        <v>230.26666666666665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811.72946050260839</v>
      </c>
      <c r="S78" s="59">
        <f ca="1">AVERAGE(OFFSET($R$3,0,0,'Données projet'!$E$9+1,1))-AVERAGE(OFFSET($H$3,0,0,'Données projet'!$E$9+1,1))</f>
        <v>652.18744712713965</v>
      </c>
      <c r="T78" s="59">
        <f t="shared" si="88"/>
        <v>288.65635870281199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284.45150382527231</v>
      </c>
      <c r="AN78" s="59">
        <f ca="1">AVERAGE(OFFSET($AM$3,0,0,'Données projet'!$E$10+1,1))-AVERAGE(OFFSET($H$3,0,0,'Données projet'!$E$10+1,1))</f>
        <v>307.94699176410495</v>
      </c>
      <c r="AO78" s="59">
        <f t="shared" si="90"/>
        <v>314.22983137038875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103.17935139593071</v>
      </c>
      <c r="AV78" s="21">
        <f>EXP(-LN(2)/25)*AV77+(1-EXP(-LN(2)/25))/(LN(2)/25)*Calculateur!AQ78*Calculateur!AS78*VLOOKUP('Données projet'!$B$10,Paramètres!$A$1:$I$89,3,0)*0.475*44/12</f>
        <v>31.958823195668941</v>
      </c>
      <c r="AW78" s="21">
        <f>EXP(-LN(2)/2)*AW77+(1-EXP(-LN(2)/2))/(LN(2)/2)*AQ78*AT78*VLOOKUP('Données projet'!$B$10,Paramètres!$A$1:$I$89,3,0)*0.475*44/12</f>
        <v>0.33124330336033325</v>
      </c>
      <c r="AX78" s="21">
        <f t="shared" si="60"/>
        <v>135.46941789495997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489.37</v>
      </c>
      <c r="BB78" s="12">
        <f>VLOOKUP(A78,'Données projet'!$A$87:$I$107,9,0)</f>
        <v>15.341111111111111</v>
      </c>
      <c r="BC78" s="12">
        <f t="array" ref="BC78">INDEX(BB:BB,MIN(IF(ISNUMBER(BB78:BB274),ROW(BB78:BB274),"")))</f>
        <v>15.341111111111111</v>
      </c>
      <c r="BD78" s="12">
        <f>IF('Données projet'!$A$88&gt;35,BD77+BC78-BL77,IF(A78&lt;'Données projet'!$A$88,$BA$205^A78,IF(A78='Données projet'!$A$88,'Données projet'!$B$88,BD77+BC78-BL77)))</f>
        <v>489.36999999999995</v>
      </c>
      <c r="BE78" s="13">
        <f>BD78*VLOOKUP('Données projet'!$B$11,Paramètres!$A$1:$I$89,3,0)*VLOOKUP('Données projet'!$B$11,Paramètres!$A$1:$I$89,5,0)</f>
        <v>229.02515999999997</v>
      </c>
      <c r="BF78" s="13">
        <f t="shared" si="91"/>
        <v>56.071846253835986</v>
      </c>
      <c r="BG78" s="20">
        <f t="shared" si="61"/>
        <v>496.54395255876426</v>
      </c>
      <c r="BH78" s="59">
        <f t="shared" si="62"/>
        <v>780.99545638403458</v>
      </c>
      <c r="BI78" s="59">
        <f ca="1">AVERAGE(OFFSET($BH$3,0,0,'Données projet'!$E$11+1,1))-AVERAGE(OFFSET($H$3,0,0,'Données projet'!$E$11+1,1))</f>
        <v>346.55780187946573</v>
      </c>
      <c r="BJ78" s="59">
        <f t="shared" si="92"/>
        <v>297.28652094809149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89.149999999999977</v>
      </c>
      <c r="BM78" s="16">
        <f>IF(ISNA(VLOOKUP(A78,'Données projet'!$A$87:$I$107,5,0)),0%,VLOOKUP(A78,'Données projet'!$A$87:$I$107,5,0)*VLOOKUP('Données projet'!$B$11,Paramètres!$A$1:$I$89,7,0))</f>
        <v>0.33</v>
      </c>
      <c r="BN78" s="16">
        <f>IF(ISNA(VLOOKUP(A78,'Données projet'!$A$87:$I$107,6,0)),0%,VLOOKUP(A78,'Données projet'!$A$87:$I$107,6,0)*VLOOKUP('Données projet'!$B$11,Paramètres!$A$1:$I$89,7,0))</f>
        <v>0.11000000000000001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64.709232636303142</v>
      </c>
      <c r="BQ78" s="21">
        <f>EXP(-LN(2)/25)*BQ77+(1-EXP(-LN(2)/25))/(LN(2)/25)*Calculateur!BL78*Calculateur!BN78*VLOOKUP('Données projet'!$B$11,Paramètres!$A$1:$I$89,3,0)*0.475*44/12</f>
        <v>23.608546063078414</v>
      </c>
      <c r="BR78" s="21">
        <f>EXP(-LN(2)/2)*BR77+(1-EXP(-LN(2)/2))/(LN(2)/2)*BL78*BO78*VLOOKUP('Données projet'!$B$11,Paramètres!$A$1:$I$89,3,0)*0.475*44/12</f>
        <v>9.8923407495227611</v>
      </c>
      <c r="BS78" s="22">
        <f t="shared" si="63"/>
        <v>98.210119448904322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5.6843418860808015E-13</v>
      </c>
      <c r="BZ78" s="13">
        <f>BY78*VLOOKUP('Données projet'!$B$12,Paramètres!$A$1:$I$89,3,0)*VLOOKUP('Données projet'!$B$12,Paramètres!$A$1:$I$89,5,0)</f>
        <v>3.177547114319168E-13</v>
      </c>
      <c r="CA78" s="13">
        <f t="shared" si="93"/>
        <v>4.1725404435445377E-12</v>
      </c>
      <c r="CB78" s="20">
        <f t="shared" si="64"/>
        <v>7.820597394917325E-12</v>
      </c>
      <c r="CC78" s="59">
        <f t="shared" si="65"/>
        <v>284.45150382527817</v>
      </c>
      <c r="CD78" s="59">
        <f ca="1">AVERAGE(OFFSET($CC$3,0,0,'Données projet'!$E$12+1,1))-AVERAGE(OFFSET($H$3,0,0,'Données projet'!$E$12+1,1))</f>
        <v>394.00476121021177</v>
      </c>
      <c r="CE78" s="59">
        <f t="shared" si="94"/>
        <v>363.10016759175278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208.99457415419573</v>
      </c>
      <c r="CL78" s="21">
        <f>EXP(-LN(2)/25)*CL77+(1-EXP(-LN(2)/25))/(LN(2)/25)*Calculateur!CG78*Calculateur!CI78*VLOOKUP('Données projet'!$B$12,Paramètres!$A$1:$I$89,3,0)*0.475*44/12</f>
        <v>66.821150126571567</v>
      </c>
      <c r="CM78" s="21">
        <f>EXP(-LN(2)/2)*CM77+(1-EXP(-LN(2)/2))/(LN(2)/2)*CG78*CJ78*VLOOKUP('Données projet'!$B$12,Paramètres!$A$1:$I$89,3,0)*0.475*44/12</f>
        <v>13.347617066427931</v>
      </c>
      <c r="CN78" s="22">
        <f t="shared" si="66"/>
        <v>289.16334134719523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67.577682861437353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3">
        <f>'Scénario référence'!$B$16*5+'Scénario référence'!$B$17*0+'Scénario référence'!$B$18*5</f>
        <v>1.7999999999999998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6.5999999999999988</v>
      </c>
      <c r="H79" s="67">
        <f t="shared" si="56"/>
        <v>230.26666666666665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830.15312399357754</v>
      </c>
      <c r="S79" s="59">
        <f ca="1">AVERAGE(OFFSET($R$3,0,0,'Données projet'!$E$9+1,1))-AVERAGE(OFFSET($H$3,0,0,'Données projet'!$E$9+1,1))</f>
        <v>652.18744712713965</v>
      </c>
      <c r="T79" s="59">
        <f t="shared" si="88"/>
        <v>288.65635870281199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284.60558371044112</v>
      </c>
      <c r="AN79" s="59">
        <f ca="1">AVERAGE(OFFSET($AM$3,0,0,'Données projet'!$E$10+1,1))-AVERAGE(OFFSET($H$3,0,0,'Données projet'!$E$10+1,1))</f>
        <v>307.94699176410495</v>
      </c>
      <c r="AO79" s="59">
        <f t="shared" si="90"/>
        <v>314.22983137038875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101.15606724824673</v>
      </c>
      <c r="AV79" s="21">
        <f>EXP(-LN(2)/25)*AV78+(1-EXP(-LN(2)/25))/(LN(2)/25)*Calculateur!AQ79*Calculateur!AS79*VLOOKUP('Données projet'!$B$10,Paramètres!$A$1:$I$89,3,0)*0.475*44/12</f>
        <v>31.084907494741906</v>
      </c>
      <c r="AW79" s="21">
        <f>EXP(-LN(2)/2)*AW78+(1-EXP(-LN(2)/2))/(LN(2)/2)*AQ79*AT79*VLOOKUP('Données projet'!$B$10,Paramètres!$A$1:$I$89,3,0)*0.475*44/12</f>
        <v>0.23422438602872436</v>
      </c>
      <c r="AX79" s="21">
        <f t="shared" si="60"/>
        <v>132.47519912901737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14.483750000000001</v>
      </c>
      <c r="BD79" s="12">
        <f>IF('Données projet'!$A$88&gt;35,BD78+BC79-BL78,IF(A79&lt;'Données projet'!$A$88,$BA$205^A79,IF(A79='Données projet'!$A$88,'Données projet'!$B$88,BD78+BC79-BL78)))</f>
        <v>414.70374999999996</v>
      </c>
      <c r="BE79" s="13">
        <f>BD79*VLOOKUP('Données projet'!$B$11,Paramètres!$A$1:$I$89,3,0)*VLOOKUP('Données projet'!$B$11,Paramètres!$A$1:$I$89,5,0)</f>
        <v>194.08135499999997</v>
      </c>
      <c r="BF79" s="13">
        <f t="shared" si="91"/>
        <v>48.44116333257324</v>
      </c>
      <c r="BG79" s="20">
        <f t="shared" si="61"/>
        <v>422.39338609589839</v>
      </c>
      <c r="BH79" s="59">
        <f t="shared" si="62"/>
        <v>706.99896980633753</v>
      </c>
      <c r="BI79" s="59">
        <f ca="1">AVERAGE(OFFSET($BH$3,0,0,'Données projet'!$E$11+1,1))-AVERAGE(OFFSET($H$3,0,0,'Données projet'!$E$11+1,1))</f>
        <v>346.55780187946573</v>
      </c>
      <c r="BJ79" s="59">
        <f t="shared" si="92"/>
        <v>297.28652094809149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63.44032405303993</v>
      </c>
      <c r="BQ79" s="21">
        <f>EXP(-LN(2)/25)*BQ78+(1-EXP(-LN(2)/25))/(LN(2)/25)*Calculateur!BL79*Calculateur!BN79*VLOOKUP('Données projet'!$B$11,Paramètres!$A$1:$I$89,3,0)*0.475*44/12</f>
        <v>22.962969129464057</v>
      </c>
      <c r="BR79" s="21">
        <f>EXP(-LN(2)/2)*BR78+(1-EXP(-LN(2)/2))/(LN(2)/2)*BL79*BO79*VLOOKUP('Données projet'!$B$11,Paramètres!$A$1:$I$89,3,0)*0.475*44/12</f>
        <v>6.994941225795559</v>
      </c>
      <c r="BS79" s="22">
        <f t="shared" si="63"/>
        <v>93.398234408299544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5.6843418860808015E-13</v>
      </c>
      <c r="BZ79" s="13">
        <f>BY79*VLOOKUP('Données projet'!$B$12,Paramètres!$A$1:$I$89,3,0)*VLOOKUP('Données projet'!$B$12,Paramètres!$A$1:$I$89,5,0)</f>
        <v>3.177547114319168E-13</v>
      </c>
      <c r="CA79" s="13">
        <f t="shared" si="93"/>
        <v>4.1725404435445377E-12</v>
      </c>
      <c r="CB79" s="20">
        <f t="shared" si="64"/>
        <v>7.820597394917325E-12</v>
      </c>
      <c r="CC79" s="59">
        <f t="shared" si="65"/>
        <v>284.60558371044698</v>
      </c>
      <c r="CD79" s="59">
        <f ca="1">AVERAGE(OFFSET($CC$3,0,0,'Données projet'!$E$12+1,1))-AVERAGE(OFFSET($H$3,0,0,'Données projet'!$E$12+1,1))</f>
        <v>394.00476121021177</v>
      </c>
      <c r="CE79" s="59">
        <f t="shared" si="94"/>
        <v>363.10016759175278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204.89631802913516</v>
      </c>
      <c r="CL79" s="21">
        <f>EXP(-LN(2)/25)*CL78+(1-EXP(-LN(2)/25))/(LN(2)/25)*Calculateur!CG79*Calculateur!CI79*VLOOKUP('Données projet'!$B$12,Paramètres!$A$1:$I$89,3,0)*0.475*44/12</f>
        <v>64.993922262388907</v>
      </c>
      <c r="CM79" s="21">
        <f>EXP(-LN(2)/2)*CM78+(1-EXP(-LN(2)/2))/(LN(2)/2)*CG79*CJ79*VLOOKUP('Données projet'!$B$12,Paramètres!$A$1:$I$89,3,0)*0.475*44/12</f>
        <v>9.4381905403524833</v>
      </c>
      <c r="CN79" s="22">
        <f t="shared" si="66"/>
        <v>279.32843083187652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67.619704648301592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3">
        <f>'Scénario référence'!$B$16*5+'Scénario référence'!$B$17*0+'Scénario référence'!$B$18*5</f>
        <v>1.7999999999999998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6.5999999999999988</v>
      </c>
      <c r="H80" s="67">
        <f t="shared" si="56"/>
        <v>230.26666666666665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848.56127958029731</v>
      </c>
      <c r="S80" s="59">
        <f ca="1">AVERAGE(OFFSET($R$3,0,0,'Données projet'!$E$9+1,1))-AVERAGE(OFFSET($H$3,0,0,'Données projet'!$E$9+1,1))</f>
        <v>652.18744712713965</v>
      </c>
      <c r="T80" s="59">
        <f t="shared" si="88"/>
        <v>288.65635870281199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284.75699065407338</v>
      </c>
      <c r="AN80" s="59">
        <f ca="1">AVERAGE(OFFSET($AM$3,0,0,'Données projet'!$E$10+1,1))-AVERAGE(OFFSET($H$3,0,0,'Données projet'!$E$10+1,1))</f>
        <v>307.94699176410495</v>
      </c>
      <c r="AO80" s="59">
        <f t="shared" si="90"/>
        <v>314.22983137038875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99.17245846861735</v>
      </c>
      <c r="AV80" s="21">
        <f>EXP(-LN(2)/25)*AV79+(1-EXP(-LN(2)/25))/(LN(2)/25)*Calculateur!AQ80*Calculateur!AS80*VLOOKUP('Données projet'!$B$10,Paramètres!$A$1:$I$89,3,0)*0.475*44/12</f>
        <v>30.234889064613949</v>
      </c>
      <c r="AW80" s="21">
        <f>EXP(-LN(2)/2)*AW79+(1-EXP(-LN(2)/2))/(LN(2)/2)*AQ80*AT80*VLOOKUP('Données projet'!$B$10,Paramètres!$A$1:$I$89,3,0)*0.475*44/12</f>
        <v>0.16562165168016665</v>
      </c>
      <c r="AX80" s="21">
        <f t="shared" si="60"/>
        <v>129.57296918491147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14.483750000000001</v>
      </c>
      <c r="BD80" s="12">
        <f>IF('Données projet'!$A$88&gt;35,BD79+BC80-BL79,IF(A80&lt;'Données projet'!$A$88,$BA$205^A80,IF(A80='Données projet'!$A$88,'Données projet'!$B$88,BD79+BC80-BL79)))</f>
        <v>429.18749999999994</v>
      </c>
      <c r="BE80" s="13">
        <f>BD80*VLOOKUP('Données projet'!$B$11,Paramètres!$A$1:$I$89,3,0)*VLOOKUP('Données projet'!$B$11,Paramètres!$A$1:$I$89,5,0)</f>
        <v>200.85974999999996</v>
      </c>
      <c r="BF80" s="13">
        <f t="shared" si="91"/>
        <v>49.93306755665192</v>
      </c>
      <c r="BG80" s="20">
        <f t="shared" si="61"/>
        <v>436.79749057783533</v>
      </c>
      <c r="BH80" s="59">
        <f t="shared" si="62"/>
        <v>721.55448123190672</v>
      </c>
      <c r="BI80" s="59">
        <f ca="1">AVERAGE(OFFSET($BH$3,0,0,'Données projet'!$E$11+1,1))-AVERAGE(OFFSET($H$3,0,0,'Données projet'!$E$11+1,1))</f>
        <v>346.55780187946573</v>
      </c>
      <c r="BJ80" s="59">
        <f t="shared" si="92"/>
        <v>297.28652094809149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62.196297993136696</v>
      </c>
      <c r="BQ80" s="21">
        <f>EXP(-LN(2)/25)*BQ79+(1-EXP(-LN(2)/25))/(LN(2)/25)*Calculateur!BL80*Calculateur!BN80*VLOOKUP('Données projet'!$B$11,Paramètres!$A$1:$I$89,3,0)*0.475*44/12</f>
        <v>22.335045531048799</v>
      </c>
      <c r="BR80" s="21">
        <f>EXP(-LN(2)/2)*BR79+(1-EXP(-LN(2)/2))/(LN(2)/2)*BL80*BO80*VLOOKUP('Données projet'!$B$11,Paramètres!$A$1:$I$89,3,0)*0.475*44/12</f>
        <v>4.9461703747613814</v>
      </c>
      <c r="BS80" s="22">
        <f t="shared" si="63"/>
        <v>89.477513898946881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5.6843418860808015E-13</v>
      </c>
      <c r="BZ80" s="13">
        <f>BY80*VLOOKUP('Données projet'!$B$12,Paramètres!$A$1:$I$89,3,0)*VLOOKUP('Données projet'!$B$12,Paramètres!$A$1:$I$89,5,0)</f>
        <v>3.177547114319168E-13</v>
      </c>
      <c r="CA80" s="13">
        <f t="shared" si="93"/>
        <v>4.1725404435445377E-12</v>
      </c>
      <c r="CB80" s="20">
        <f t="shared" si="64"/>
        <v>7.820597394917325E-12</v>
      </c>
      <c r="CC80" s="59">
        <f t="shared" si="65"/>
        <v>284.75699065407923</v>
      </c>
      <c r="CD80" s="59">
        <f ca="1">AVERAGE(OFFSET($CC$3,0,0,'Données projet'!$E$12+1,1))-AVERAGE(OFFSET($H$3,0,0,'Données projet'!$E$12+1,1))</f>
        <v>394.00476121021177</v>
      </c>
      <c r="CE80" s="59">
        <f t="shared" si="94"/>
        <v>363.10016759175278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200.87842620699763</v>
      </c>
      <c r="CL80" s="21">
        <f>EXP(-LN(2)/25)*CL79+(1-EXP(-LN(2)/25))/(LN(2)/25)*Calculateur!CG80*Calculateur!CI80*VLOOKUP('Données projet'!$B$12,Paramètres!$A$1:$I$89,3,0)*0.475*44/12</f>
        <v>63.216660040242054</v>
      </c>
      <c r="CM80" s="21">
        <f>EXP(-LN(2)/2)*CM79+(1-EXP(-LN(2)/2))/(LN(2)/2)*CG80*CJ80*VLOOKUP('Données projet'!$B$12,Paramètres!$A$1:$I$89,3,0)*0.475*44/12</f>
        <v>6.6738085332139665</v>
      </c>
      <c r="CN80" s="22">
        <f t="shared" si="66"/>
        <v>270.76889478045365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67.660997451110376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3">
        <f>'Scénario référence'!$B$16*5+'Scénario référence'!$B$17*0+'Scénario référence'!$B$18*5</f>
        <v>1.7999999999999998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6.5999999999999988</v>
      </c>
      <c r="H81" s="67">
        <f t="shared" si="56"/>
        <v>230.26666666666665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866.95444745942996</v>
      </c>
      <c r="S81" s="59">
        <f ca="1">AVERAGE(OFFSET($R$3,0,0,'Données projet'!$E$9+1,1))-AVERAGE(OFFSET($H$3,0,0,'Données projet'!$E$9+1,1))</f>
        <v>652.18744712713965</v>
      </c>
      <c r="T81" s="59">
        <f t="shared" si="88"/>
        <v>288.65635870281199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284.90577102572877</v>
      </c>
      <c r="AN81" s="59">
        <f ca="1">AVERAGE(OFFSET($AM$3,0,0,'Données projet'!$E$10+1,1))-AVERAGE(OFFSET($H$3,0,0,'Données projet'!$E$10+1,1))</f>
        <v>307.94699176410495</v>
      </c>
      <c r="AO81" s="59">
        <f t="shared" si="90"/>
        <v>314.22983137038875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97.227747047274619</v>
      </c>
      <c r="AV81" s="21">
        <f>EXP(-LN(2)/25)*AV80+(1-EXP(-LN(2)/25))/(LN(2)/25)*Calculateur!AQ81*Calculateur!AS81*VLOOKUP('Données projet'!$B$10,Paramètres!$A$1:$I$89,3,0)*0.475*44/12</f>
        <v>29.408114433158367</v>
      </c>
      <c r="AW81" s="21">
        <f>EXP(-LN(2)/2)*AW80+(1-EXP(-LN(2)/2))/(LN(2)/2)*AQ81*AT81*VLOOKUP('Données projet'!$B$10,Paramètres!$A$1:$I$89,3,0)*0.475*44/12</f>
        <v>0.1171121930143622</v>
      </c>
      <c r="AX81" s="21">
        <f t="shared" si="60"/>
        <v>126.75297367344736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14.483750000000001</v>
      </c>
      <c r="BD81" s="12">
        <f>IF('Données projet'!$A$88&gt;35,BD80+BC81-BL80,IF(A81&lt;'Données projet'!$A$88,$BA$205^A81,IF(A81='Données projet'!$A$88,'Données projet'!$B$88,BD80+BC81-BL80)))</f>
        <v>443.67124999999993</v>
      </c>
      <c r="BE81" s="13">
        <f>BD81*VLOOKUP('Données projet'!$B$11,Paramètres!$A$1:$I$89,3,0)*VLOOKUP('Données projet'!$B$11,Paramètres!$A$1:$I$89,5,0)</f>
        <v>207.63814499999998</v>
      </c>
      <c r="BF81" s="13">
        <f t="shared" si="91"/>
        <v>51.41912169452538</v>
      </c>
      <c r="BG81" s="20">
        <f t="shared" si="61"/>
        <v>451.19140615963164</v>
      </c>
      <c r="BH81" s="59">
        <f t="shared" si="62"/>
        <v>736.09717718535842</v>
      </c>
      <c r="BI81" s="59">
        <f ca="1">AVERAGE(OFFSET($BH$3,0,0,'Données projet'!$E$11+1,1))-AVERAGE(OFFSET($H$3,0,0,'Données projet'!$E$11+1,1))</f>
        <v>346.55780187946573</v>
      </c>
      <c r="BJ81" s="59">
        <f t="shared" si="92"/>
        <v>297.28652094809149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60.97666652548719</v>
      </c>
      <c r="BQ81" s="21">
        <f>EXP(-LN(2)/25)*BQ80+(1-EXP(-LN(2)/25))/(LN(2)/25)*Calculateur!BL81*Calculateur!BN81*VLOOKUP('Données projet'!$B$11,Paramètres!$A$1:$I$89,3,0)*0.475*44/12</f>
        <v>21.724292536453273</v>
      </c>
      <c r="BR81" s="21">
        <f>EXP(-LN(2)/2)*BR80+(1-EXP(-LN(2)/2))/(LN(2)/2)*BL81*BO81*VLOOKUP('Données projet'!$B$11,Paramètres!$A$1:$I$89,3,0)*0.475*44/12</f>
        <v>3.4974706128977799</v>
      </c>
      <c r="BS81" s="22">
        <f t="shared" si="63"/>
        <v>86.198429674838252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5.6843418860808015E-13</v>
      </c>
      <c r="BZ81" s="13">
        <f>BY81*VLOOKUP('Données projet'!$B$12,Paramètres!$A$1:$I$89,3,0)*VLOOKUP('Données projet'!$B$12,Paramètres!$A$1:$I$89,5,0)</f>
        <v>3.177547114319168E-13</v>
      </c>
      <c r="CA81" s="13">
        <f t="shared" si="93"/>
        <v>4.1725404435445377E-12</v>
      </c>
      <c r="CB81" s="20">
        <f t="shared" si="64"/>
        <v>7.820597394917325E-12</v>
      </c>
      <c r="CC81" s="59">
        <f t="shared" si="65"/>
        <v>284.90577102573462</v>
      </c>
      <c r="CD81" s="59">
        <f ca="1">AVERAGE(OFFSET($CC$3,0,0,'Données projet'!$E$12+1,1))-AVERAGE(OFFSET($H$3,0,0,'Données projet'!$E$12+1,1))</f>
        <v>394.00476121021177</v>
      </c>
      <c r="CE81" s="59">
        <f t="shared" si="94"/>
        <v>363.10016759175278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196.93932279282018</v>
      </c>
      <c r="CL81" s="21">
        <f>EXP(-LN(2)/25)*CL80+(1-EXP(-LN(2)/25))/(LN(2)/25)*Calculateur!CG81*Calculateur!CI81*VLOOKUP('Données projet'!$B$12,Paramètres!$A$1:$I$89,3,0)*0.475*44/12</f>
        <v>61.487997147021964</v>
      </c>
      <c r="CM81" s="21">
        <f>EXP(-LN(2)/2)*CM80+(1-EXP(-LN(2)/2))/(LN(2)/2)*CG81*CJ81*VLOOKUP('Données projet'!$B$12,Paramètres!$A$1:$I$89,3,0)*0.475*44/12</f>
        <v>4.7190952701762425</v>
      </c>
      <c r="CN81" s="22">
        <f t="shared" si="66"/>
        <v>263.1464152100184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67.701573916107307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3">
        <f>'Scénario référence'!$B$16*5+'Scénario référence'!$B$17*0+'Scénario référence'!$B$18*5</f>
        <v>1.7999999999999998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6.5999999999999988</v>
      </c>
      <c r="H82" s="67">
        <f t="shared" si="56"/>
        <v>230.26666666666665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885.33311491886138</v>
      </c>
      <c r="S82" s="59">
        <f ca="1">AVERAGE(OFFSET($R$3,0,0,'Données projet'!$E$9+1,1))-AVERAGE(OFFSET($H$3,0,0,'Données projet'!$E$9+1,1))</f>
        <v>652.18744712713965</v>
      </c>
      <c r="T82" s="59">
        <f t="shared" si="88"/>
        <v>288.65635870281199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285.05197039055906</v>
      </c>
      <c r="AN82" s="59">
        <f ca="1">AVERAGE(OFFSET($AM$3,0,0,'Données projet'!$E$10+1,1))-AVERAGE(OFFSET($H$3,0,0,'Données projet'!$E$10+1,1))</f>
        <v>307.94699176410495</v>
      </c>
      <c r="AO82" s="59">
        <f t="shared" si="90"/>
        <v>314.22983137038875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95.321170230747569</v>
      </c>
      <c r="AV82" s="21">
        <f>EXP(-LN(2)/25)*AV81+(1-EXP(-LN(2)/25))/(LN(2)/25)*Calculateur!AQ82*Calculateur!AS82*VLOOKUP('Données projet'!$B$10,Paramètres!$A$1:$I$89,3,0)*0.475*44/12</f>
        <v>28.603947997478127</v>
      </c>
      <c r="AW82" s="21">
        <f>EXP(-LN(2)/2)*AW81+(1-EXP(-LN(2)/2))/(LN(2)/2)*AQ82*AT82*VLOOKUP('Données projet'!$B$10,Paramètres!$A$1:$I$89,3,0)*0.475*44/12</f>
        <v>8.2810825840083341E-2</v>
      </c>
      <c r="AX82" s="21">
        <f t="shared" si="60"/>
        <v>124.00792905406578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14.483750000000001</v>
      </c>
      <c r="BD82" s="12">
        <f>IF('Données projet'!$A$88&gt;35,BD81+BC82-BL81,IF(A82&lt;'Données projet'!$A$88,$BA$205^A82,IF(A82='Données projet'!$A$88,'Données projet'!$B$88,BD81+BC82-BL81)))</f>
        <v>458.15499999999992</v>
      </c>
      <c r="BE82" s="13">
        <f>BD82*VLOOKUP('Données projet'!$B$11,Paramètres!$A$1:$I$89,3,0)*VLOOKUP('Données projet'!$B$11,Paramètres!$A$1:$I$89,5,0)</f>
        <v>214.41653999999997</v>
      </c>
      <c r="BF82" s="13">
        <f t="shared" si="91"/>
        <v>52.89953862557789</v>
      </c>
      <c r="BG82" s="20">
        <f t="shared" si="61"/>
        <v>465.57550360621468</v>
      </c>
      <c r="BH82" s="59">
        <f t="shared" si="62"/>
        <v>750.62747399677176</v>
      </c>
      <c r="BI82" s="59">
        <f ca="1">AVERAGE(OFFSET($BH$3,0,0,'Données projet'!$E$11+1,1))-AVERAGE(OFFSET($H$3,0,0,'Données projet'!$E$11+1,1))</f>
        <v>346.55780187946573</v>
      </c>
      <c r="BJ82" s="59">
        <f t="shared" si="92"/>
        <v>297.28652094809149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59.780951287016549</v>
      </c>
      <c r="BQ82" s="21">
        <f>EXP(-LN(2)/25)*BQ81+(1-EXP(-LN(2)/25))/(LN(2)/25)*Calculateur!BL82*Calculateur!BN82*VLOOKUP('Données projet'!$B$11,Paramètres!$A$1:$I$89,3,0)*0.475*44/12</f>
        <v>21.130240614613065</v>
      </c>
      <c r="BR82" s="21">
        <f>EXP(-LN(2)/2)*BR81+(1-EXP(-LN(2)/2))/(LN(2)/2)*BL82*BO82*VLOOKUP('Données projet'!$B$11,Paramètres!$A$1:$I$89,3,0)*0.475*44/12</f>
        <v>2.4730851873806907</v>
      </c>
      <c r="BS82" s="22">
        <f t="shared" si="63"/>
        <v>83.384277089010311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5.6843418860808015E-13</v>
      </c>
      <c r="BZ82" s="13">
        <f>BY82*VLOOKUP('Données projet'!$B$12,Paramètres!$A$1:$I$89,3,0)*VLOOKUP('Données projet'!$B$12,Paramètres!$A$1:$I$89,5,0)</f>
        <v>3.177547114319168E-13</v>
      </c>
      <c r="CA82" s="13">
        <f t="shared" si="93"/>
        <v>4.1725404435445377E-12</v>
      </c>
      <c r="CB82" s="20">
        <f t="shared" si="64"/>
        <v>7.820597394917325E-12</v>
      </c>
      <c r="CC82" s="59">
        <f t="shared" si="65"/>
        <v>285.05197039056492</v>
      </c>
      <c r="CD82" s="59">
        <f ca="1">AVERAGE(OFFSET($CC$3,0,0,'Données projet'!$E$12+1,1))-AVERAGE(OFFSET($H$3,0,0,'Données projet'!$E$12+1,1))</f>
        <v>394.00476121021177</v>
      </c>
      <c r="CE82" s="59">
        <f t="shared" si="94"/>
        <v>363.10016759175278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193.0774627939789</v>
      </c>
      <c r="CL82" s="21">
        <f>EXP(-LN(2)/25)*CL81+(1-EXP(-LN(2)/25))/(LN(2)/25)*Calculateur!CG82*Calculateur!CI82*VLOOKUP('Données projet'!$B$12,Paramètres!$A$1:$I$89,3,0)*0.475*44/12</f>
        <v>59.806604631523413</v>
      </c>
      <c r="CM82" s="21">
        <f>EXP(-LN(2)/2)*CM81+(1-EXP(-LN(2)/2))/(LN(2)/2)*CG82*CJ82*VLOOKUP('Données projet'!$B$12,Paramètres!$A$1:$I$89,3,0)*0.475*44/12</f>
        <v>3.3369042666069841</v>
      </c>
      <c r="CN82" s="22">
        <f t="shared" si="66"/>
        <v>256.22097169210929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67.741446470151928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3">
        <f>'Scénario référence'!$B$16*5+'Scénario référence'!$B$17*0+'Scénario référence'!$B$18*5</f>
        <v>1.7999999999999998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6.5999999999999988</v>
      </c>
      <c r="H83" s="67">
        <f t="shared" si="56"/>
        <v>230.26666666666665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903.69773945581119</v>
      </c>
      <c r="S83" s="59">
        <f ca="1">AVERAGE(OFFSET($R$3,0,0,'Données projet'!$E$9+1,1))-AVERAGE(OFFSET($H$3,0,0,'Données projet'!$E$9+1,1))</f>
        <v>652.18744712713965</v>
      </c>
      <c r="T83" s="59">
        <f t="shared" si="88"/>
        <v>288.65635870281199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285.1956335232623</v>
      </c>
      <c r="AN83" s="59">
        <f ca="1">AVERAGE(OFFSET($AM$3,0,0,'Données projet'!$E$10+1,1))-AVERAGE(OFFSET($H$3,0,0,'Données projet'!$E$10+1,1))</f>
        <v>307.94699176410495</v>
      </c>
      <c r="AO83" s="59">
        <f t="shared" si="90"/>
        <v>314.22983137038875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93.451980222695582</v>
      </c>
      <c r="AV83" s="21">
        <f>EXP(-LN(2)/25)*AV82+(1-EXP(-LN(2)/25))/(LN(2)/25)*Calculateur!AQ83*Calculateur!AS83*VLOOKUP('Données projet'!$B$10,Paramètres!$A$1:$I$89,3,0)*0.475*44/12</f>
        <v>27.821771535270837</v>
      </c>
      <c r="AW83" s="21">
        <f>EXP(-LN(2)/2)*AW82+(1-EXP(-LN(2)/2))/(LN(2)/2)*AQ83*AT83*VLOOKUP('Données projet'!$B$10,Paramètres!$A$1:$I$89,3,0)*0.475*44/12</f>
        <v>5.8556096507181112E-2</v>
      </c>
      <c r="AX83" s="21">
        <f t="shared" si="60"/>
        <v>121.3323078544736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14.483750000000001</v>
      </c>
      <c r="BD83" s="12">
        <f>IF('Données projet'!$A$88&gt;35,BD82+BC83-BL82,IF(A83&lt;'Données projet'!$A$88,$BA$205^A83,IF(A83='Données projet'!$A$88,'Données projet'!$B$88,BD82+BC83-BL82)))</f>
        <v>472.6387499999999</v>
      </c>
      <c r="BE83" s="13">
        <f>BD83*VLOOKUP('Données projet'!$B$11,Paramètres!$A$1:$I$89,3,0)*VLOOKUP('Données projet'!$B$11,Paramètres!$A$1:$I$89,5,0)</f>
        <v>221.19493499999996</v>
      </c>
      <c r="BF83" s="13">
        <f t="shared" si="91"/>
        <v>54.37451700522584</v>
      </c>
      <c r="BG83" s="20">
        <f t="shared" si="61"/>
        <v>479.95012890910158</v>
      </c>
      <c r="BH83" s="59">
        <f t="shared" si="62"/>
        <v>765.14576243236183</v>
      </c>
      <c r="BI83" s="59">
        <f ca="1">AVERAGE(OFFSET($BH$3,0,0,'Données projet'!$E$11+1,1))-AVERAGE(OFFSET($H$3,0,0,'Données projet'!$E$11+1,1))</f>
        <v>346.55780187946573</v>
      </c>
      <c r="BJ83" s="59">
        <f t="shared" si="92"/>
        <v>297.28652094809149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58.608683295058036</v>
      </c>
      <c r="BQ83" s="21">
        <f>EXP(-LN(2)/25)*BQ82+(1-EXP(-LN(2)/25))/(LN(2)/25)*Calculateur!BL83*Calculateur!BN83*VLOOKUP('Données projet'!$B$11,Paramètres!$A$1:$I$89,3,0)*0.475*44/12</f>
        <v>20.552433073815411</v>
      </c>
      <c r="BR83" s="21">
        <f>EXP(-LN(2)/2)*BR82+(1-EXP(-LN(2)/2))/(LN(2)/2)*BL83*BO83*VLOOKUP('Données projet'!$B$11,Paramètres!$A$1:$I$89,3,0)*0.475*44/12</f>
        <v>1.74873530644889</v>
      </c>
      <c r="BS83" s="22">
        <f t="shared" si="63"/>
        <v>80.909851675322344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5.6843418860808015E-13</v>
      </c>
      <c r="BZ83" s="13">
        <f>BY83*VLOOKUP('Données projet'!$B$12,Paramètres!$A$1:$I$89,3,0)*VLOOKUP('Données projet'!$B$12,Paramètres!$A$1:$I$89,5,0)</f>
        <v>3.177547114319168E-13</v>
      </c>
      <c r="CA83" s="13">
        <f t="shared" si="93"/>
        <v>4.1725404435445377E-12</v>
      </c>
      <c r="CB83" s="20">
        <f t="shared" si="64"/>
        <v>7.820597394917325E-12</v>
      </c>
      <c r="CC83" s="59">
        <f t="shared" si="65"/>
        <v>285.19563352326816</v>
      </c>
      <c r="CD83" s="59">
        <f ca="1">AVERAGE(OFFSET($CC$3,0,0,'Données projet'!$E$12+1,1))-AVERAGE(OFFSET($H$3,0,0,'Données projet'!$E$12+1,1))</f>
        <v>394.00476121021177</v>
      </c>
      <c r="CE83" s="59">
        <f t="shared" si="94"/>
        <v>363.10016759175278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189.29133151421289</v>
      </c>
      <c r="CL83" s="21">
        <f>EXP(-LN(2)/25)*CL82+(1-EXP(-LN(2)/25))/(LN(2)/25)*Calculateur!CG83*Calculateur!CI83*VLOOKUP('Données projet'!$B$12,Paramètres!$A$1:$I$89,3,0)*0.475*44/12</f>
        <v>58.171189882781761</v>
      </c>
      <c r="CM83" s="21">
        <f>EXP(-LN(2)/2)*CM82+(1-EXP(-LN(2)/2))/(LN(2)/2)*CG83*CJ83*VLOOKUP('Données projet'!$B$12,Paramètres!$A$1:$I$89,3,0)*0.475*44/12</f>
        <v>2.3595476350881217</v>
      </c>
      <c r="CN83" s="22">
        <f t="shared" si="66"/>
        <v>249.82206903208277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67.78062732452554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3">
        <f>'Scénario référence'!$B$16*5+'Scénario référence'!$B$17*0+'Scénario référence'!$B$18*5</f>
        <v>1.7999999999999998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6.5999999999999988</v>
      </c>
      <c r="H84" s="67">
        <f t="shared" si="56"/>
        <v>230.26666666666665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922.0487515101288</v>
      </c>
      <c r="S84" s="59">
        <f ca="1">AVERAGE(OFFSET($R$3,0,0,'Données projet'!$E$9+1,1))-AVERAGE(OFFSET($H$3,0,0,'Données projet'!$E$9+1,1))</f>
        <v>652.18744712713965</v>
      </c>
      <c r="T84" s="59">
        <f t="shared" si="88"/>
        <v>288.65635870281199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285.33680442179582</v>
      </c>
      <c r="AN84" s="59">
        <f ca="1">AVERAGE(OFFSET($AM$3,0,0,'Données projet'!$E$10+1,1))-AVERAGE(OFFSET($H$3,0,0,'Données projet'!$E$10+1,1))</f>
        <v>307.94699176410495</v>
      </c>
      <c r="AO84" s="59">
        <f t="shared" si="90"/>
        <v>314.22983137038875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91.619443890608167</v>
      </c>
      <c r="AV84" s="21">
        <f>EXP(-LN(2)/25)*AV83+(1-EXP(-LN(2)/25))/(LN(2)/25)*Calculateur!AQ84*Calculateur!AS84*VLOOKUP('Données projet'!$B$10,Paramètres!$A$1:$I$89,3,0)*0.475*44/12</f>
        <v>27.060983729555478</v>
      </c>
      <c r="AW84" s="21">
        <f>EXP(-LN(2)/2)*AW83+(1-EXP(-LN(2)/2))/(LN(2)/2)*AQ84*AT84*VLOOKUP('Données projet'!$B$10,Paramètres!$A$1:$I$89,3,0)*0.475*44/12</f>
        <v>4.1405412920041677E-2</v>
      </c>
      <c r="AX84" s="21">
        <f t="shared" si="60"/>
        <v>118.72183303308368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14.483750000000001</v>
      </c>
      <c r="BD84" s="12">
        <f>IF('Données projet'!$A$88&gt;35,BD83+BC84-BL83,IF(A84&lt;'Données projet'!$A$88,$BA$205^A84,IF(A84='Données projet'!$A$88,'Données projet'!$B$88,BD83+BC84-BL83)))</f>
        <v>487.12249999999989</v>
      </c>
      <c r="BE84" s="13">
        <f>BD84*VLOOKUP('Données projet'!$B$11,Paramètres!$A$1:$I$89,3,0)*VLOOKUP('Données projet'!$B$11,Paramètres!$A$1:$I$89,5,0)</f>
        <v>227.97332999999995</v>
      </c>
      <c r="BF84" s="13">
        <f t="shared" si="91"/>
        <v>55.844242621755619</v>
      </c>
      <c r="BG84" s="20">
        <f t="shared" si="61"/>
        <v>494.31560564955754</v>
      </c>
      <c r="BH84" s="59">
        <f t="shared" si="62"/>
        <v>779.65241007135137</v>
      </c>
      <c r="BI84" s="59">
        <f ca="1">AVERAGE(OFFSET($BH$3,0,0,'Données projet'!$E$11+1,1))-AVERAGE(OFFSET($H$3,0,0,'Données projet'!$E$11+1,1))</f>
        <v>346.55780187946573</v>
      </c>
      <c r="BJ84" s="59">
        <f t="shared" si="92"/>
        <v>297.28652094809149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57.45940276340896</v>
      </c>
      <c r="BQ84" s="21">
        <f>EXP(-LN(2)/25)*BQ83+(1-EXP(-LN(2)/25))/(LN(2)/25)*Calculateur!BL84*Calculateur!BN84*VLOOKUP('Données projet'!$B$11,Paramètres!$A$1:$I$89,3,0)*0.475*44/12</f>
        <v>19.990425710606448</v>
      </c>
      <c r="BR84" s="21">
        <f>EXP(-LN(2)/2)*BR83+(1-EXP(-LN(2)/2))/(LN(2)/2)*BL84*BO84*VLOOKUP('Données projet'!$B$11,Paramètres!$A$1:$I$89,3,0)*0.475*44/12</f>
        <v>1.2365425936903454</v>
      </c>
      <c r="BS84" s="22">
        <f t="shared" si="63"/>
        <v>78.68637106770575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5.6843418860808015E-13</v>
      </c>
      <c r="BZ84" s="13">
        <f>BY84*VLOOKUP('Données projet'!$B$12,Paramètres!$A$1:$I$89,3,0)*VLOOKUP('Données projet'!$B$12,Paramètres!$A$1:$I$89,5,0)</f>
        <v>3.177547114319168E-13</v>
      </c>
      <c r="CA84" s="13">
        <f t="shared" si="93"/>
        <v>4.1725404435445377E-12</v>
      </c>
      <c r="CB84" s="20">
        <f t="shared" si="64"/>
        <v>7.820597394917325E-12</v>
      </c>
      <c r="CC84" s="59">
        <f t="shared" si="65"/>
        <v>285.33680442180167</v>
      </c>
      <c r="CD84" s="59">
        <f ca="1">AVERAGE(OFFSET($CC$3,0,0,'Données projet'!$E$12+1,1))-AVERAGE(OFFSET($H$3,0,0,'Données projet'!$E$12+1,1))</f>
        <v>394.00476121021177</v>
      </c>
      <c r="CE84" s="59">
        <f t="shared" si="94"/>
        <v>363.10016759175278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185.57944395953103</v>
      </c>
      <c r="CL84" s="21">
        <f>EXP(-LN(2)/25)*CL83+(1-EXP(-LN(2)/25))/(LN(2)/25)*Calculateur!CG84*Calculateur!CI84*VLOOKUP('Données projet'!$B$12,Paramètres!$A$1:$I$89,3,0)*0.475*44/12</f>
        <v>56.580495636347166</v>
      </c>
      <c r="CM84" s="21">
        <f>EXP(-LN(2)/2)*CM83+(1-EXP(-LN(2)/2))/(LN(2)/2)*CG84*CJ84*VLOOKUP('Données projet'!$B$12,Paramètres!$A$1:$I$89,3,0)*0.475*44/12</f>
        <v>1.6684521333034923</v>
      </c>
      <c r="CN84" s="22">
        <f t="shared" si="66"/>
        <v>243.8283917291817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67.819128478671047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3">
        <f>'Scénario référence'!$B$16*5+'Scénario référence'!$B$17*0+'Scénario référence'!$B$18*5</f>
        <v>1.7999999999999998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6.5999999999999988</v>
      </c>
      <c r="H85" s="67">
        <f t="shared" si="56"/>
        <v>230.26666666666665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940.3865568702754</v>
      </c>
      <c r="S85" s="59">
        <f ca="1">AVERAGE(OFFSET($R$3,0,0,'Données projet'!$E$9+1,1))-AVERAGE(OFFSET($H$3,0,0,'Données projet'!$E$9+1,1))</f>
        <v>652.18744712713965</v>
      </c>
      <c r="T85" s="59">
        <f t="shared" si="88"/>
        <v>288.65635870281199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285.47552632085069</v>
      </c>
      <c r="AN85" s="59">
        <f ca="1">AVERAGE(OFFSET($AM$3,0,0,'Données projet'!$E$10+1,1))-AVERAGE(OFFSET($H$3,0,0,'Données projet'!$E$10+1,1))</f>
        <v>307.94699176410495</v>
      </c>
      <c r="AO85" s="59">
        <f t="shared" si="90"/>
        <v>314.22983137038875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89.822842478256192</v>
      </c>
      <c r="AV85" s="21">
        <f>EXP(-LN(2)/25)*AV84+(1-EXP(-LN(2)/25))/(LN(2)/25)*Calculateur!AQ85*Calculateur!AS85*VLOOKUP('Données projet'!$B$10,Paramètres!$A$1:$I$89,3,0)*0.475*44/12</f>
        <v>26.320999706395497</v>
      </c>
      <c r="AW85" s="21">
        <f>EXP(-LN(2)/2)*AW84+(1-EXP(-LN(2)/2))/(LN(2)/2)*AQ85*AT85*VLOOKUP('Données projet'!$B$10,Paramètres!$A$1:$I$89,3,0)*0.475*44/12</f>
        <v>2.9278048253590559E-2</v>
      </c>
      <c r="AX85" s="21">
        <f t="shared" si="60"/>
        <v>116.17312023290528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14.483750000000001</v>
      </c>
      <c r="BD85" s="12">
        <f>IF('Données projet'!$A$88&gt;35,BD84+BC85-BL84,IF(A85&lt;'Données projet'!$A$88,$BA$205^A85,IF(A85='Données projet'!$A$88,'Données projet'!$B$88,BD84+BC85-BL84)))</f>
        <v>501.60624999999987</v>
      </c>
      <c r="BE85" s="13">
        <f>BD85*VLOOKUP('Données projet'!$B$11,Paramètres!$A$1:$I$89,3,0)*VLOOKUP('Données projet'!$B$11,Paramètres!$A$1:$I$89,5,0)</f>
        <v>234.75172499999994</v>
      </c>
      <c r="BF85" s="13">
        <f t="shared" si="91"/>
        <v>57.308889587254775</v>
      </c>
      <c r="BG85" s="20">
        <f t="shared" si="61"/>
        <v>508.67223707280192</v>
      </c>
      <c r="BH85" s="59">
        <f t="shared" si="62"/>
        <v>794.14776339365062</v>
      </c>
      <c r="BI85" s="59">
        <f ca="1">AVERAGE(OFFSET($BH$3,0,0,'Données projet'!$E$11+1,1))-AVERAGE(OFFSET($H$3,0,0,'Données projet'!$E$11+1,1))</f>
        <v>346.55780187946573</v>
      </c>
      <c r="BJ85" s="59">
        <f t="shared" si="92"/>
        <v>297.28652094809149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56.332658921993612</v>
      </c>
      <c r="BQ85" s="21">
        <f>EXP(-LN(2)/25)*BQ84+(1-EXP(-LN(2)/25))/(LN(2)/25)*Calculateur!BL85*Calculateur!BN85*VLOOKUP('Données projet'!$B$11,Paramètres!$A$1:$I$89,3,0)*0.475*44/12</f>
        <v>19.443786468299116</v>
      </c>
      <c r="BR85" s="21">
        <f>EXP(-LN(2)/2)*BR84+(1-EXP(-LN(2)/2))/(LN(2)/2)*BL85*BO85*VLOOKUP('Données projet'!$B$11,Paramètres!$A$1:$I$89,3,0)*0.475*44/12</f>
        <v>0.87436765322444499</v>
      </c>
      <c r="BS85" s="22">
        <f t="shared" si="63"/>
        <v>76.650813043517175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5.6843418860808015E-13</v>
      </c>
      <c r="BZ85" s="13">
        <f>BY85*VLOOKUP('Données projet'!$B$12,Paramètres!$A$1:$I$89,3,0)*VLOOKUP('Données projet'!$B$12,Paramètres!$A$1:$I$89,5,0)</f>
        <v>3.177547114319168E-13</v>
      </c>
      <c r="CA85" s="13">
        <f t="shared" si="93"/>
        <v>4.1725404435445377E-12</v>
      </c>
      <c r="CB85" s="20">
        <f t="shared" si="64"/>
        <v>7.820597394917325E-12</v>
      </c>
      <c r="CC85" s="59">
        <f t="shared" si="65"/>
        <v>285.47552632085655</v>
      </c>
      <c r="CD85" s="59">
        <f ca="1">AVERAGE(OFFSET($CC$3,0,0,'Données projet'!$E$12+1,1))-AVERAGE(OFFSET($H$3,0,0,'Données projet'!$E$12+1,1))</f>
        <v>394.00476121021177</v>
      </c>
      <c r="CE85" s="59">
        <f t="shared" si="94"/>
        <v>363.10016759175278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181.94034425576862</v>
      </c>
      <c r="CL85" s="21">
        <f>EXP(-LN(2)/25)*CL84+(1-EXP(-LN(2)/25))/(LN(2)/25)*Calculateur!CG85*Calculateur!CI85*VLOOKUP('Données projet'!$B$12,Paramètres!$A$1:$I$89,3,0)*0.475*44/12</f>
        <v>55.033299007732303</v>
      </c>
      <c r="CM85" s="21">
        <f>EXP(-LN(2)/2)*CM84+(1-EXP(-LN(2)/2))/(LN(2)/2)*CG85*CJ85*VLOOKUP('Données projet'!$B$12,Paramètres!$A$1:$I$89,3,0)*0.475*44/12</f>
        <v>1.1797738175440611</v>
      </c>
      <c r="CN85" s="22">
        <f t="shared" si="66"/>
        <v>238.15341708104498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67.856961723867826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3">
        <f>'Scénario référence'!$B$16*5+'Scénario référence'!$B$17*0+'Scénario référence'!$B$18*5</f>
        <v>1.7999999999999998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6.5999999999999988</v>
      </c>
      <c r="H86" s="67">
        <f t="shared" si="56"/>
        <v>230.26666666666665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958.7115387995018</v>
      </c>
      <c r="S86" s="59">
        <f ca="1">AVERAGE(OFFSET($R$3,0,0,'Données projet'!$E$9+1,1))-AVERAGE(OFFSET($H$3,0,0,'Données projet'!$E$9+1,1))</f>
        <v>652.18744712713965</v>
      </c>
      <c r="T86" s="59">
        <f t="shared" si="88"/>
        <v>288.65635870281199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285.61184170509262</v>
      </c>
      <c r="AN86" s="59">
        <f ca="1">AVERAGE(OFFSET($AM$3,0,0,'Données projet'!$E$10+1,1))-AVERAGE(OFFSET($H$3,0,0,'Données projet'!$E$10+1,1))</f>
        <v>307.94699176410495</v>
      </c>
      <c r="AO86" s="59">
        <f t="shared" si="90"/>
        <v>314.22983137038875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88.061471323781774</v>
      </c>
      <c r="AV86" s="21">
        <f>EXP(-LN(2)/25)*AV85+(1-EXP(-LN(2)/25))/(LN(2)/25)*Calculateur!AQ86*Calculateur!AS86*VLOOKUP('Données projet'!$B$10,Paramètres!$A$1:$I$89,3,0)*0.475*44/12</f>
        <v>25.601250585262896</v>
      </c>
      <c r="AW86" s="21">
        <f>EXP(-LN(2)/2)*AW85+(1-EXP(-LN(2)/2))/(LN(2)/2)*AQ86*AT86*VLOOKUP('Données projet'!$B$10,Paramètres!$A$1:$I$89,3,0)*0.475*44/12</f>
        <v>2.0702706460020842E-2</v>
      </c>
      <c r="AX86" s="21">
        <f t="shared" si="60"/>
        <v>113.68342461550469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>
        <f>VLOOKUP(A86,'Données projet'!$A$87:$I$107,2,0)</f>
        <v>516.09</v>
      </c>
      <c r="BB86" s="12">
        <f>VLOOKUP(A86,'Données projet'!$A$87:$I$107,9,0)</f>
        <v>14.483750000000001</v>
      </c>
      <c r="BC86" s="12">
        <f t="array" ref="BC86">INDEX(BB:BB,MIN(IF(ISNUMBER(BB86:BB282),ROW(BB86:BB282),"")))</f>
        <v>14.483750000000001</v>
      </c>
      <c r="BD86" s="12">
        <f>IF('Données projet'!$A$88&gt;35,BD85+BC86-BL85,IF(A86&lt;'Données projet'!$A$88,$BA$205^A86,IF(A86='Données projet'!$A$88,'Données projet'!$B$88,BD85+BC86-BL85)))</f>
        <v>516.08999999999992</v>
      </c>
      <c r="BE86" s="13">
        <f>BD86*VLOOKUP('Données projet'!$B$11,Paramètres!$A$1:$I$89,3,0)*VLOOKUP('Données projet'!$B$11,Paramètres!$A$1:$I$89,5,0)</f>
        <v>241.53011999999995</v>
      </c>
      <c r="BF86" s="13">
        <f t="shared" si="91"/>
        <v>58.768621387125265</v>
      </c>
      <c r="BG86" s="20">
        <f t="shared" si="61"/>
        <v>523.02030791590971</v>
      </c>
      <c r="BH86" s="59">
        <f t="shared" si="62"/>
        <v>808.63214962100028</v>
      </c>
      <c r="BI86" s="59">
        <f ca="1">AVERAGE(OFFSET($BH$3,0,0,'Données projet'!$E$11+1,1))-AVERAGE(OFFSET($H$3,0,0,'Données projet'!$E$11+1,1))</f>
        <v>346.55780187946573</v>
      </c>
      <c r="BJ86" s="59">
        <f t="shared" si="92"/>
        <v>297.28652094809149</v>
      </c>
      <c r="BK86" s="15">
        <f>IF(ISNA(VLOOKUP(A86,'Données projet'!$A$87:$I$107,3,0)),0,VLOOKUP(A86,'Données projet'!$A$87:$I$107,3,0))</f>
        <v>6</v>
      </c>
      <c r="BL86" s="15">
        <f>IF(ISNA(VLOOKUP(A86,'Données projet'!$A$87:$I$107,4,0)),0,VLOOKUP(A86,'Données projet'!$A$87:$I$107,4,0))</f>
        <v>91.480000000000018</v>
      </c>
      <c r="BM86" s="16">
        <f>IF(ISNA(VLOOKUP(A86,'Données projet'!$A$87:$I$107,5,0)),0%,VLOOKUP(A86,'Données projet'!$A$87:$I$107,5,0)*VLOOKUP('Données projet'!$B$11,Paramètres!$A$1:$I$89,7,0))</f>
        <v>0.33</v>
      </c>
      <c r="BN86" s="16">
        <f>IF(ISNA(VLOOKUP(A86,'Données projet'!$A$87:$I$107,6,0)),0%,VLOOKUP(A86,'Données projet'!$A$87:$I$107,6,0)*VLOOKUP('Données projet'!$B$11,Paramètres!$A$1:$I$89,7,0))</f>
        <v>0.11000000000000001</v>
      </c>
      <c r="BO86" s="16">
        <f>IF(ISNA(VLOOKUP(A86,'Données projet'!$A$87:$I$107,7,0)),0%,VLOOKUP(A86,'Données projet'!$A$87:$I$107,7,0))</f>
        <v>0.2</v>
      </c>
      <c r="BP86" s="21">
        <f>EXP(-LN(2)/35)*BP85+(1-EXP(-LN(2)/35))/(LN(2)/35)*BL86*BM86*VLOOKUP('Données projet'!$B$11,Paramètres!$A$1:$I$89,3,0)*0.475*44/12</f>
        <v>73.969939574347137</v>
      </c>
      <c r="BQ86" s="21">
        <f>EXP(-LN(2)/25)*BQ85+(1-EXP(-LN(2)/25))/(LN(2)/25)*Calculateur!BL86*Calculateur!BN86*VLOOKUP('Données projet'!$B$11,Paramètres!$A$1:$I$89,3,0)*0.475*44/12</f>
        <v>25.134806976714398</v>
      </c>
      <c r="BR86" s="21">
        <f>EXP(-LN(2)/2)*BR85+(1-EXP(-LN(2)/2))/(LN(2)/2)*BL86*BO86*VLOOKUP('Données projet'!$B$11,Paramètres!$A$1:$I$89,3,0)*0.475*44/12</f>
        <v>10.31304204691987</v>
      </c>
      <c r="BS86" s="22">
        <f t="shared" si="63"/>
        <v>109.41778859798141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5.6843418860808015E-13</v>
      </c>
      <c r="BZ86" s="13">
        <f>BY86*VLOOKUP('Données projet'!$B$12,Paramètres!$A$1:$I$89,3,0)*VLOOKUP('Données projet'!$B$12,Paramètres!$A$1:$I$89,5,0)</f>
        <v>3.177547114319168E-13</v>
      </c>
      <c r="CA86" s="13">
        <f t="shared" si="93"/>
        <v>4.1725404435445377E-12</v>
      </c>
      <c r="CB86" s="20">
        <f t="shared" si="64"/>
        <v>7.820597394917325E-12</v>
      </c>
      <c r="CC86" s="59">
        <f t="shared" si="65"/>
        <v>285.61184170509847</v>
      </c>
      <c r="CD86" s="59">
        <f ca="1">AVERAGE(OFFSET($CC$3,0,0,'Données projet'!$E$12+1,1))-AVERAGE(OFFSET($H$3,0,0,'Données projet'!$E$12+1,1))</f>
        <v>394.00476121021177</v>
      </c>
      <c r="CE86" s="59">
        <f t="shared" si="94"/>
        <v>363.10016759175278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178.37260507756537</v>
      </c>
      <c r="CL86" s="21">
        <f>EXP(-LN(2)/25)*CL85+(1-EXP(-LN(2)/25))/(LN(2)/25)*Calculateur!CG86*Calculateur!CI86*VLOOKUP('Données projet'!$B$12,Paramètres!$A$1:$I$89,3,0)*0.475*44/12</f>
        <v>53.528410552290445</v>
      </c>
      <c r="CM86" s="21">
        <f>EXP(-LN(2)/2)*CM85+(1-EXP(-LN(2)/2))/(LN(2)/2)*CG86*CJ86*VLOOKUP('Données projet'!$B$12,Paramètres!$A$1:$I$89,3,0)*0.475*44/12</f>
        <v>0.83422606665174626</v>
      </c>
      <c r="CN86" s="22">
        <f t="shared" si="66"/>
        <v>232.73524169650756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67.89413864684289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3">
        <f>'Scénario référence'!$B$16*5+'Scénario référence'!$B$17*0+'Scénario référence'!$B$18*5</f>
        <v>1.7999999999999998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6.5999999999999988</v>
      </c>
      <c r="H87" s="67">
        <f t="shared" si="56"/>
        <v>230.26666666666665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977.02405992172271</v>
      </c>
      <c r="S87" s="59">
        <f ca="1">AVERAGE(OFFSET($R$3,0,0,'Données projet'!$E$9+1,1))-AVERAGE(OFFSET($H$3,0,0,'Données projet'!$E$9+1,1))</f>
        <v>652.18744712713965</v>
      </c>
      <c r="T87" s="59">
        <f t="shared" si="88"/>
        <v>288.65635870281199</v>
      </c>
      <c r="U87" s="15">
        <f>IF(ISNA(VLOOKUP(A87,'Données projet'!$A$35:$I$55,3,0)),0,VLOOKUP(A87,'Données projet'!$A$35:$I$55,3,0))</f>
        <v>8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285.74579232217343</v>
      </c>
      <c r="AN87" s="59">
        <f ca="1">AVERAGE(OFFSET($AM$3,0,0,'Données projet'!$E$10+1,1))-AVERAGE(OFFSET($H$3,0,0,'Données projet'!$E$10+1,1))</f>
        <v>307.94699176410495</v>
      </c>
      <c r="AO87" s="59">
        <f t="shared" si="90"/>
        <v>314.22983137038875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86.334639583316289</v>
      </c>
      <c r="AV87" s="21">
        <f>EXP(-LN(2)/25)*AV86+(1-EXP(-LN(2)/25))/(LN(2)/25)*Calculateur!AQ87*Calculateur!AS87*VLOOKUP('Données projet'!$B$10,Paramètres!$A$1:$I$89,3,0)*0.475*44/12</f>
        <v>24.901183041697628</v>
      </c>
      <c r="AW87" s="21">
        <f>EXP(-LN(2)/2)*AW86+(1-EXP(-LN(2)/2))/(LN(2)/2)*AQ87*AT87*VLOOKUP('Données projet'!$B$10,Paramètres!$A$1:$I$89,3,0)*0.475*44/12</f>
        <v>1.4639024126795283E-2</v>
      </c>
      <c r="AX87" s="21">
        <f t="shared" si="60"/>
        <v>111.25046164914072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13.388750000000002</v>
      </c>
      <c r="BD87" s="12">
        <f>IF('Données projet'!$A$88&gt;35,BD86+BC87-BL86,IF(A87&lt;'Données projet'!$A$88,$BA$205^A87,IF(A87='Données projet'!$A$88,'Données projet'!$B$88,BD86+BC87-BL86)))</f>
        <v>437.99874999999986</v>
      </c>
      <c r="BE87" s="13">
        <f>BD87*VLOOKUP('Données projet'!$B$11,Paramètres!$A$1:$I$89,3,0)*VLOOKUP('Données projet'!$B$11,Paramètres!$A$1:$I$89,5,0)</f>
        <v>204.98341499999995</v>
      </c>
      <c r="BF87" s="13">
        <f t="shared" si="91"/>
        <v>50.83779780930643</v>
      </c>
      <c r="BG87" s="20">
        <f t="shared" si="61"/>
        <v>445.55527897620863</v>
      </c>
      <c r="BH87" s="59">
        <f t="shared" si="62"/>
        <v>731.30107129838007</v>
      </c>
      <c r="BI87" s="59">
        <f ca="1">AVERAGE(OFFSET($BH$3,0,0,'Données projet'!$E$11+1,1))-AVERAGE(OFFSET($H$3,0,0,'Données projet'!$E$11+1,1))</f>
        <v>346.55780187946573</v>
      </c>
      <c r="BJ87" s="59">
        <f t="shared" si="92"/>
        <v>297.28652094809149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72.519434176502372</v>
      </c>
      <c r="BQ87" s="21">
        <f>EXP(-LN(2)/25)*BQ86+(1-EXP(-LN(2)/25))/(LN(2)/25)*Calculateur!BL87*Calculateur!BN87*VLOOKUP('Données projet'!$B$11,Paramètres!$A$1:$I$89,3,0)*0.475*44/12</f>
        <v>24.447494358154088</v>
      </c>
      <c r="BR87" s="21">
        <f>EXP(-LN(2)/2)*BR86+(1-EXP(-LN(2)/2))/(LN(2)/2)*BL87*BO87*VLOOKUP('Données projet'!$B$11,Paramètres!$A$1:$I$89,3,0)*0.475*44/12</f>
        <v>7.2924219660390328</v>
      </c>
      <c r="BS87" s="22">
        <f t="shared" si="63"/>
        <v>104.25935050069549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5.6843418860808015E-13</v>
      </c>
      <c r="BZ87" s="13">
        <f>BY87*VLOOKUP('Données projet'!$B$12,Paramètres!$A$1:$I$89,3,0)*VLOOKUP('Données projet'!$B$12,Paramètres!$A$1:$I$89,5,0)</f>
        <v>3.177547114319168E-13</v>
      </c>
      <c r="CA87" s="13">
        <f t="shared" si="93"/>
        <v>4.1725404435445377E-12</v>
      </c>
      <c r="CB87" s="20">
        <f t="shared" si="64"/>
        <v>7.820597394917325E-12</v>
      </c>
      <c r="CC87" s="59">
        <f t="shared" si="65"/>
        <v>285.74579232217928</v>
      </c>
      <c r="CD87" s="59">
        <f ca="1">AVERAGE(OFFSET($CC$3,0,0,'Données projet'!$E$12+1,1))-AVERAGE(OFFSET($H$3,0,0,'Données projet'!$E$12+1,1))</f>
        <v>394.00476121021177</v>
      </c>
      <c r="CE87" s="59">
        <f t="shared" si="94"/>
        <v>363.10016759175278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174.87482708854066</v>
      </c>
      <c r="CL87" s="21">
        <f>EXP(-LN(2)/25)*CL86+(1-EXP(-LN(2)/25))/(LN(2)/25)*Calculateur!CG87*Calculateur!CI87*VLOOKUP('Données projet'!$B$12,Paramètres!$A$1:$I$89,3,0)*0.475*44/12</f>
        <v>52.064673350801293</v>
      </c>
      <c r="CM87" s="21">
        <f>EXP(-LN(2)/2)*CM86+(1-EXP(-LN(2)/2))/(LN(2)/2)*CG87*CJ87*VLOOKUP('Données projet'!$B$12,Paramètres!$A$1:$I$89,3,0)*0.475*44/12</f>
        <v>0.58988690877203054</v>
      </c>
      <c r="CN87" s="22">
        <f t="shared" si="66"/>
        <v>227.52938734811397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67.930670633319494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3">
        <f>'Scénario référence'!$B$16*5+'Scénario référence'!$B$17*0+'Scénario référence'!$B$18*5</f>
        <v>1.7999999999999998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6.5999999999999988</v>
      </c>
      <c r="H88" s="67">
        <f t="shared" si="56"/>
        <v>230.26666666666665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867.47715373120127</v>
      </c>
      <c r="S88" s="59">
        <f ca="1">AVERAGE(OFFSET($R$3,0,0,'Données projet'!$E$9+1,1))-AVERAGE(OFFSET($H$3,0,0,'Données projet'!$E$9+1,1))</f>
        <v>652.18744712713965</v>
      </c>
      <c r="T88" s="59">
        <f t="shared" si="88"/>
        <v>288.65635870281199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285.87741919551672</v>
      </c>
      <c r="AN88" s="59">
        <f ca="1">AVERAGE(OFFSET($AM$3,0,0,'Données projet'!$E$10+1,1))-AVERAGE(OFFSET($H$3,0,0,'Données projet'!$E$10+1,1))</f>
        <v>307.94699176410495</v>
      </c>
      <c r="AO88" s="59">
        <f t="shared" si="90"/>
        <v>314.22983137038875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84.641669960017964</v>
      </c>
      <c r="AV88" s="21">
        <f>EXP(-LN(2)/25)*AV87+(1-EXP(-LN(2)/25))/(LN(2)/25)*Calculateur!AQ88*Calculateur!AS88*VLOOKUP('Données projet'!$B$10,Paramètres!$A$1:$I$89,3,0)*0.475*44/12</f>
        <v>24.220258881926103</v>
      </c>
      <c r="AW88" s="21">
        <f>EXP(-LN(2)/2)*AW87+(1-EXP(-LN(2)/2))/(LN(2)/2)*AQ88*AT88*VLOOKUP('Données projet'!$B$10,Paramètres!$A$1:$I$89,3,0)*0.475*44/12</f>
        <v>1.0351353230010423E-2</v>
      </c>
      <c r="AX88" s="21">
        <f t="shared" si="60"/>
        <v>108.87228019517407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13.388750000000002</v>
      </c>
      <c r="BD88" s="12">
        <f>IF('Données projet'!$A$88&gt;35,BD87+BC88-BL87,IF(A88&lt;'Données projet'!$A$88,$BA$205^A88,IF(A88='Données projet'!$A$88,'Données projet'!$B$88,BD87+BC88-BL87)))</f>
        <v>451.38749999999987</v>
      </c>
      <c r="BE88" s="13">
        <f>BD88*VLOOKUP('Données projet'!$B$11,Paramètres!$A$1:$I$89,3,0)*VLOOKUP('Données projet'!$B$11,Paramètres!$A$1:$I$89,5,0)</f>
        <v>211.24934999999994</v>
      </c>
      <c r="BF88" s="13">
        <f t="shared" si="91"/>
        <v>52.20850578430715</v>
      </c>
      <c r="BG88" s="20">
        <f t="shared" si="61"/>
        <v>458.85576549100148</v>
      </c>
      <c r="BH88" s="59">
        <f t="shared" si="62"/>
        <v>744.73318468651621</v>
      </c>
      <c r="BI88" s="59">
        <f ca="1">AVERAGE(OFFSET($BH$3,0,0,'Données projet'!$E$11+1,1))-AVERAGE(OFFSET($H$3,0,0,'Données projet'!$E$11+1,1))</f>
        <v>346.55780187946573</v>
      </c>
      <c r="BJ88" s="59">
        <f t="shared" si="92"/>
        <v>297.28652094809149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71.097372304788408</v>
      </c>
      <c r="BQ88" s="21">
        <f>EXP(-LN(2)/25)*BQ87+(1-EXP(-LN(2)/25))/(LN(2)/25)*Calculateur!BL88*Calculateur!BN88*VLOOKUP('Données projet'!$B$11,Paramètres!$A$1:$I$89,3,0)*0.475*44/12</f>
        <v>23.778976339292512</v>
      </c>
      <c r="BR88" s="21">
        <f>EXP(-LN(2)/2)*BR87+(1-EXP(-LN(2)/2))/(LN(2)/2)*BL88*BO88*VLOOKUP('Données projet'!$B$11,Paramètres!$A$1:$I$89,3,0)*0.475*44/12</f>
        <v>5.156521023459935</v>
      </c>
      <c r="BS88" s="22">
        <f t="shared" si="63"/>
        <v>100.03286966754085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5.6843418860808015E-13</v>
      </c>
      <c r="BZ88" s="13">
        <f>BY88*VLOOKUP('Données projet'!$B$12,Paramètres!$A$1:$I$89,3,0)*VLOOKUP('Données projet'!$B$12,Paramètres!$A$1:$I$89,5,0)</f>
        <v>3.177547114319168E-13</v>
      </c>
      <c r="CA88" s="13">
        <f t="shared" si="93"/>
        <v>4.1725404435445377E-12</v>
      </c>
      <c r="CB88" s="20">
        <f t="shared" si="64"/>
        <v>7.820597394917325E-12</v>
      </c>
      <c r="CC88" s="59">
        <f t="shared" si="65"/>
        <v>285.87741919552258</v>
      </c>
      <c r="CD88" s="59">
        <f ca="1">AVERAGE(OFFSET($CC$3,0,0,'Données projet'!$E$12+1,1))-AVERAGE(OFFSET($H$3,0,0,'Données projet'!$E$12+1,1))</f>
        <v>394.00476121021177</v>
      </c>
      <c r="CE88" s="59">
        <f t="shared" si="94"/>
        <v>363.10016759175278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171.4456383924468</v>
      </c>
      <c r="CL88" s="21">
        <f>EXP(-LN(2)/25)*CL87+(1-EXP(-LN(2)/25))/(LN(2)/25)*Calculateur!CG88*Calculateur!CI88*VLOOKUP('Données projet'!$B$12,Paramètres!$A$1:$I$89,3,0)*0.475*44/12</f>
        <v>50.640962120061452</v>
      </c>
      <c r="CM88" s="21">
        <f>EXP(-LN(2)/2)*CM87+(1-EXP(-LN(2)/2))/(LN(2)/2)*CG88*CJ88*VLOOKUP('Données projet'!$B$12,Paramètres!$A$1:$I$89,3,0)*0.475*44/12</f>
        <v>0.41711303332587313</v>
      </c>
      <c r="CN88" s="22">
        <f t="shared" si="66"/>
        <v>222.50371354583413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67.966568871504009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3">
        <f>'Scénario référence'!$B$16*5+'Scénario référence'!$B$17*0+'Scénario référence'!$B$18*5</f>
        <v>1.7999999999999998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6.5999999999999988</v>
      </c>
      <c r="H89" s="67">
        <f t="shared" si="56"/>
        <v>230.26666666666665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885.12521182587511</v>
      </c>
      <c r="S89" s="59">
        <f ca="1">AVERAGE(OFFSET($R$3,0,0,'Données projet'!$E$9+1,1))-AVERAGE(OFFSET($H$3,0,0,'Données projet'!$E$9+1,1))</f>
        <v>652.18744712713965</v>
      </c>
      <c r="T89" s="59">
        <f t="shared" si="88"/>
        <v>288.65635870281199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286.00676263688104</v>
      </c>
      <c r="AN89" s="59">
        <f ca="1">AVERAGE(OFFSET($AM$3,0,0,'Données projet'!$E$10+1,1))-AVERAGE(OFFSET($H$3,0,0,'Données projet'!$E$10+1,1))</f>
        <v>307.94699176410495</v>
      </c>
      <c r="AO89" s="59">
        <f t="shared" si="90"/>
        <v>314.22983137038875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82.981898438423016</v>
      </c>
      <c r="AV89" s="21">
        <f>EXP(-LN(2)/25)*AV88+(1-EXP(-LN(2)/25))/(LN(2)/25)*Calculateur!AQ89*Calculateur!AS89*VLOOKUP('Données projet'!$B$10,Paramètres!$A$1:$I$89,3,0)*0.475*44/12</f>
        <v>23.557954629111777</v>
      </c>
      <c r="AW89" s="21">
        <f>EXP(-LN(2)/2)*AW88+(1-EXP(-LN(2)/2))/(LN(2)/2)*AQ89*AT89*VLOOKUP('Données projet'!$B$10,Paramètres!$A$1:$I$89,3,0)*0.475*44/12</f>
        <v>7.3195120633976424E-3</v>
      </c>
      <c r="AX89" s="21">
        <f t="shared" si="60"/>
        <v>106.5471725795982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13.388750000000002</v>
      </c>
      <c r="BD89" s="12">
        <f>IF('Données projet'!$A$88&gt;35,BD88+BC89-BL88,IF(A89&lt;'Données projet'!$A$88,$BA$205^A89,IF(A89='Données projet'!$A$88,'Données projet'!$B$88,BD88+BC89-BL88)))</f>
        <v>464.77624999999989</v>
      </c>
      <c r="BE89" s="13">
        <f>BD89*VLOOKUP('Données projet'!$B$11,Paramètres!$A$1:$I$89,3,0)*VLOOKUP('Données projet'!$B$11,Paramètres!$A$1:$I$89,5,0)</f>
        <v>217.51528499999995</v>
      </c>
      <c r="BF89" s="13">
        <f t="shared" si="91"/>
        <v>53.57448871143432</v>
      </c>
      <c r="BG89" s="20">
        <f t="shared" si="61"/>
        <v>472.14802254741471</v>
      </c>
      <c r="BH89" s="59">
        <f t="shared" si="62"/>
        <v>758.15478518429381</v>
      </c>
      <c r="BI89" s="59">
        <f ca="1">AVERAGE(OFFSET($BH$3,0,0,'Données projet'!$E$11+1,1))-AVERAGE(OFFSET($H$3,0,0,'Données projet'!$E$11+1,1))</f>
        <v>346.55780187946573</v>
      </c>
      <c r="BJ89" s="59">
        <f t="shared" si="92"/>
        <v>297.28652094809149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69.703196199006669</v>
      </c>
      <c r="BQ89" s="21">
        <f>EXP(-LN(2)/25)*BQ88+(1-EXP(-LN(2)/25))/(LN(2)/25)*Calculateur!BL89*Calculateur!BN89*VLOOKUP('Données projet'!$B$11,Paramètres!$A$1:$I$89,3,0)*0.475*44/12</f>
        <v>23.128738980812539</v>
      </c>
      <c r="BR89" s="21">
        <f>EXP(-LN(2)/2)*BR88+(1-EXP(-LN(2)/2))/(LN(2)/2)*BL89*BO89*VLOOKUP('Données projet'!$B$11,Paramètres!$A$1:$I$89,3,0)*0.475*44/12</f>
        <v>3.6462109830195164</v>
      </c>
      <c r="BS89" s="22">
        <f t="shared" si="63"/>
        <v>96.478146162838726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5.6843418860808015E-13</v>
      </c>
      <c r="BZ89" s="13">
        <f>BY89*VLOOKUP('Données projet'!$B$12,Paramètres!$A$1:$I$89,3,0)*VLOOKUP('Données projet'!$B$12,Paramètres!$A$1:$I$89,5,0)</f>
        <v>3.177547114319168E-13</v>
      </c>
      <c r="CA89" s="13">
        <f t="shared" si="93"/>
        <v>4.1725404435445377E-12</v>
      </c>
      <c r="CB89" s="20">
        <f t="shared" si="64"/>
        <v>7.820597394917325E-12</v>
      </c>
      <c r="CC89" s="59">
        <f t="shared" si="65"/>
        <v>286.00676263688689</v>
      </c>
      <c r="CD89" s="59">
        <f ca="1">AVERAGE(OFFSET($CC$3,0,0,'Données projet'!$E$12+1,1))-AVERAGE(OFFSET($H$3,0,0,'Données projet'!$E$12+1,1))</f>
        <v>394.00476121021177</v>
      </c>
      <c r="CE89" s="59">
        <f t="shared" si="94"/>
        <v>363.10016759175278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168.08369399508476</v>
      </c>
      <c r="CL89" s="21">
        <f>EXP(-LN(2)/25)*CL88+(1-EXP(-LN(2)/25))/(LN(2)/25)*Calculateur!CG89*Calculateur!CI89*VLOOKUP('Données projet'!$B$12,Paramètres!$A$1:$I$89,3,0)*0.475*44/12</f>
        <v>49.256182347795914</v>
      </c>
      <c r="CM89" s="21">
        <f>EXP(-LN(2)/2)*CM88+(1-EXP(-LN(2)/2))/(LN(2)/2)*CG89*CJ89*VLOOKUP('Données projet'!$B$12,Paramètres!$A$1:$I$89,3,0)*0.475*44/12</f>
        <v>0.29494345438601527</v>
      </c>
      <c r="CN89" s="22">
        <f t="shared" si="66"/>
        <v>217.63481979726669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68.001844355512461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3">
        <f>'Scénario référence'!$B$16*5+'Scénario référence'!$B$17*0+'Scénario référence'!$B$18*5</f>
        <v>1.7999999999999998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6.5999999999999988</v>
      </c>
      <c r="H90" s="67">
        <f t="shared" si="56"/>
        <v>230.26666666666665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902.76037989248994</v>
      </c>
      <c r="S90" s="59">
        <f ca="1">AVERAGE(OFFSET($R$3,0,0,'Données projet'!$E$9+1,1))-AVERAGE(OFFSET($H$3,0,0,'Données projet'!$E$9+1,1))</f>
        <v>652.18744712713965</v>
      </c>
      <c r="T90" s="59">
        <f t="shared" si="88"/>
        <v>288.65635870281199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286.13386225870624</v>
      </c>
      <c r="AN90" s="59">
        <f ca="1">AVERAGE(OFFSET($AM$3,0,0,'Données projet'!$E$10+1,1))-AVERAGE(OFFSET($H$3,0,0,'Données projet'!$E$10+1,1))</f>
        <v>307.94699176410495</v>
      </c>
      <c r="AO90" s="59">
        <f t="shared" si="90"/>
        <v>314.22983137038875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81.354674024005874</v>
      </c>
      <c r="AV90" s="21">
        <f>EXP(-LN(2)/25)*AV89+(1-EXP(-LN(2)/25))/(LN(2)/25)*Calculateur!AQ90*Calculateur!AS90*VLOOKUP('Données projet'!$B$10,Paramètres!$A$1:$I$89,3,0)*0.475*44/12</f>
        <v>22.913761120919723</v>
      </c>
      <c r="AW90" s="21">
        <f>EXP(-LN(2)/2)*AW89+(1-EXP(-LN(2)/2))/(LN(2)/2)*AQ90*AT90*VLOOKUP('Données projet'!$B$10,Paramètres!$A$1:$I$89,3,0)*0.475*44/12</f>
        <v>5.1756766150052123E-3</v>
      </c>
      <c r="AX90" s="21">
        <f t="shared" si="60"/>
        <v>104.27361082154061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13.388750000000002</v>
      </c>
      <c r="BD90" s="12">
        <f>IF('Données projet'!$A$88&gt;35,BD89+BC90-BL89,IF(A90&lt;'Données projet'!$A$88,$BA$205^A90,IF(A90='Données projet'!$A$88,'Données projet'!$B$88,BD89+BC90-BL89)))</f>
        <v>478.16499999999991</v>
      </c>
      <c r="BE90" s="13">
        <f>BD90*VLOOKUP('Données projet'!$B$11,Paramètres!$A$1:$I$89,3,0)*VLOOKUP('Données projet'!$B$11,Paramètres!$A$1:$I$89,5,0)</f>
        <v>223.78121999999996</v>
      </c>
      <c r="BF90" s="13">
        <f t="shared" si="91"/>
        <v>54.93589833624366</v>
      </c>
      <c r="BG90" s="20">
        <f t="shared" si="61"/>
        <v>485.43231443562428</v>
      </c>
      <c r="BH90" s="59">
        <f t="shared" si="62"/>
        <v>771.56617669432853</v>
      </c>
      <c r="BI90" s="59">
        <f ca="1">AVERAGE(OFFSET($BH$3,0,0,'Données projet'!$E$11+1,1))-AVERAGE(OFFSET($H$3,0,0,'Données projet'!$E$11+1,1))</f>
        <v>346.55780187946573</v>
      </c>
      <c r="BJ90" s="59">
        <f t="shared" si="92"/>
        <v>297.28652094809149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68.336359036295846</v>
      </c>
      <c r="BQ90" s="21">
        <f>EXP(-LN(2)/25)*BQ89+(1-EXP(-LN(2)/25))/(LN(2)/25)*Calculateur!BL90*Calculateur!BN90*VLOOKUP('Données projet'!$B$11,Paramètres!$A$1:$I$89,3,0)*0.475*44/12</f>
        <v>22.496282397094699</v>
      </c>
      <c r="BR90" s="21">
        <f>EXP(-LN(2)/2)*BR89+(1-EXP(-LN(2)/2))/(LN(2)/2)*BL90*BO90*VLOOKUP('Données projet'!$B$11,Paramètres!$A$1:$I$89,3,0)*0.475*44/12</f>
        <v>2.5782605117299675</v>
      </c>
      <c r="BS90" s="22">
        <f t="shared" si="63"/>
        <v>93.410901945120514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5.6843418860808015E-13</v>
      </c>
      <c r="BZ90" s="13">
        <f>BY90*VLOOKUP('Données projet'!$B$12,Paramètres!$A$1:$I$89,3,0)*VLOOKUP('Données projet'!$B$12,Paramètres!$A$1:$I$89,5,0)</f>
        <v>3.177547114319168E-13</v>
      </c>
      <c r="CA90" s="13">
        <f t="shared" si="93"/>
        <v>4.1725404435445377E-12</v>
      </c>
      <c r="CB90" s="20">
        <f t="shared" si="64"/>
        <v>7.820597394917325E-12</v>
      </c>
      <c r="CC90" s="59">
        <f t="shared" si="65"/>
        <v>286.1338622587121</v>
      </c>
      <c r="CD90" s="59">
        <f ca="1">AVERAGE(OFFSET($CC$3,0,0,'Données projet'!$E$12+1,1))-AVERAGE(OFFSET($H$3,0,0,'Données projet'!$E$12+1,1))</f>
        <v>394.00476121021177</v>
      </c>
      <c r="CE90" s="59">
        <f t="shared" si="94"/>
        <v>363.10016759175278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164.78767527677138</v>
      </c>
      <c r="CL90" s="21">
        <f>EXP(-LN(2)/25)*CL89+(1-EXP(-LN(2)/25))/(LN(2)/25)*Calculateur!CG90*Calculateur!CI90*VLOOKUP('Données projet'!$B$12,Paramètres!$A$1:$I$89,3,0)*0.475*44/12</f>
        <v>47.909269451225384</v>
      </c>
      <c r="CM90" s="21">
        <f>EXP(-LN(2)/2)*CM89+(1-EXP(-LN(2)/2))/(LN(2)/2)*CG90*CJ90*VLOOKUP('Données projet'!$B$12,Paramètres!$A$1:$I$89,3,0)*0.475*44/12</f>
        <v>0.20855651666293656</v>
      </c>
      <c r="CN90" s="22">
        <f t="shared" si="66"/>
        <v>212.90550124465969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68.036507888737532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3">
        <f>'Scénario référence'!$B$16*5+'Scénario référence'!$B$17*0+'Scénario référence'!$B$18*5</f>
        <v>1.7999999999999998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6.5999999999999988</v>
      </c>
      <c r="H91" s="67">
        <f t="shared" si="56"/>
        <v>230.26666666666665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920.38304147627673</v>
      </c>
      <c r="S91" s="59">
        <f ca="1">AVERAGE(OFFSET($R$3,0,0,'Données projet'!$E$9+1,1))-AVERAGE(OFFSET($H$3,0,0,'Données projet'!$E$9+1,1))</f>
        <v>652.18744712713965</v>
      </c>
      <c r="T91" s="59">
        <f t="shared" si="88"/>
        <v>288.65635870281199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286.25875698624509</v>
      </c>
      <c r="AN91" s="59">
        <f ca="1">AVERAGE(OFFSET($AM$3,0,0,'Données projet'!$E$10+1,1))-AVERAGE(OFFSET($H$3,0,0,'Données projet'!$E$10+1,1))</f>
        <v>307.94699176410495</v>
      </c>
      <c r="AO91" s="59">
        <f t="shared" si="90"/>
        <v>314.22983137038875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79.759358487846555</v>
      </c>
      <c r="AV91" s="21">
        <f>EXP(-LN(2)/25)*AV90+(1-EXP(-LN(2)/25))/(LN(2)/25)*Calculateur!AQ91*Calculateur!AS91*VLOOKUP('Données projet'!$B$10,Paramètres!$A$1:$I$89,3,0)*0.475*44/12</f>
        <v>22.287183118085846</v>
      </c>
      <c r="AW91" s="21">
        <f>EXP(-LN(2)/2)*AW90+(1-EXP(-LN(2)/2))/(LN(2)/2)*AQ91*AT91*VLOOKUP('Données projet'!$B$10,Paramètres!$A$1:$I$89,3,0)*0.475*44/12</f>
        <v>3.6597560316988216E-3</v>
      </c>
      <c r="AX91" s="21">
        <f t="shared" si="60"/>
        <v>102.0502013619641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13.388750000000002</v>
      </c>
      <c r="BD91" s="12">
        <f>IF('Données projet'!$A$88&gt;35,BD90+BC91-BL90,IF(A91&lt;'Données projet'!$A$88,$BA$205^A91,IF(A91='Données projet'!$A$88,'Données projet'!$B$88,BD90+BC91-BL90)))</f>
        <v>491.55374999999992</v>
      </c>
      <c r="BE91" s="13">
        <f>BD91*VLOOKUP('Données projet'!$B$11,Paramètres!$A$1:$I$89,3,0)*VLOOKUP('Données projet'!$B$11,Paramètres!$A$1:$I$89,5,0)</f>
        <v>230.04715499999998</v>
      </c>
      <c r="BF91" s="13">
        <f t="shared" si="91"/>
        <v>56.292877422972801</v>
      </c>
      <c r="BG91" s="20">
        <f t="shared" si="61"/>
        <v>498.70888980334422</v>
      </c>
      <c r="BH91" s="59">
        <f t="shared" si="62"/>
        <v>784.96764678958732</v>
      </c>
      <c r="BI91" s="59">
        <f ca="1">AVERAGE(OFFSET($BH$3,0,0,'Données projet'!$E$11+1,1))-AVERAGE(OFFSET($H$3,0,0,'Données projet'!$E$11+1,1))</f>
        <v>346.55780187946573</v>
      </c>
      <c r="BJ91" s="59">
        <f t="shared" si="92"/>
        <v>297.28652094809149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66.99632471665744</v>
      </c>
      <c r="BQ91" s="21">
        <f>EXP(-LN(2)/25)*BQ90+(1-EXP(-LN(2)/25))/(LN(2)/25)*Calculateur!BL91*Calculateur!BN91*VLOOKUP('Données projet'!$B$11,Paramètres!$A$1:$I$89,3,0)*0.475*44/12</f>
        <v>21.881120371918069</v>
      </c>
      <c r="BR91" s="21">
        <f>EXP(-LN(2)/2)*BR90+(1-EXP(-LN(2)/2))/(LN(2)/2)*BL91*BO91*VLOOKUP('Données projet'!$B$11,Paramètres!$A$1:$I$89,3,0)*0.475*44/12</f>
        <v>1.8231054915097582</v>
      </c>
      <c r="BS91" s="22">
        <f t="shared" si="63"/>
        <v>90.700550580085277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5.6843418860808015E-13</v>
      </c>
      <c r="BZ91" s="13">
        <f>BY91*VLOOKUP('Données projet'!$B$12,Paramètres!$A$1:$I$89,3,0)*VLOOKUP('Données projet'!$B$12,Paramètres!$A$1:$I$89,5,0)</f>
        <v>3.177547114319168E-13</v>
      </c>
      <c r="CA91" s="13">
        <f t="shared" si="93"/>
        <v>4.1725404435445377E-12</v>
      </c>
      <c r="CB91" s="20">
        <f t="shared" si="64"/>
        <v>7.820597394917325E-12</v>
      </c>
      <c r="CC91" s="59">
        <f t="shared" si="65"/>
        <v>286.25875698625094</v>
      </c>
      <c r="CD91" s="59">
        <f ca="1">AVERAGE(OFFSET($CC$3,0,0,'Données projet'!$E$12+1,1))-AVERAGE(OFFSET($H$3,0,0,'Données projet'!$E$12+1,1))</f>
        <v>394.00476121021177</v>
      </c>
      <c r="CE91" s="59">
        <f t="shared" si="94"/>
        <v>363.10016759175278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161.55628947515123</v>
      </c>
      <c r="CL91" s="21">
        <f>EXP(-LN(2)/25)*CL90+(1-EXP(-LN(2)/25))/(LN(2)/25)*Calculateur!CG91*Calculateur!CI91*VLOOKUP('Données projet'!$B$12,Paramètres!$A$1:$I$89,3,0)*0.475*44/12</f>
        <v>46.599187958642645</v>
      </c>
      <c r="CM91" s="21">
        <f>EXP(-LN(2)/2)*CM90+(1-EXP(-LN(2)/2))/(LN(2)/2)*CG91*CJ91*VLOOKUP('Données projet'!$B$12,Paramètres!$A$1:$I$89,3,0)*0.475*44/12</f>
        <v>0.14747172719300763</v>
      </c>
      <c r="CN91" s="22">
        <f t="shared" si="66"/>
        <v>208.30294916098688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68.070570087157208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3">
        <f>'Scénario référence'!$B$16*5+'Scénario référence'!$B$17*0+'Scénario référence'!$B$18*5</f>
        <v>1.7999999999999998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6.5999999999999988</v>
      </c>
      <c r="H92" s="67">
        <f t="shared" si="56"/>
        <v>230.26666666666665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937.99355889280639</v>
      </c>
      <c r="S92" s="59">
        <f ca="1">AVERAGE(OFFSET($R$3,0,0,'Données projet'!$E$9+1,1))-AVERAGE(OFFSET($H$3,0,0,'Données projet'!$E$9+1,1))</f>
        <v>652.18744712713965</v>
      </c>
      <c r="T92" s="59">
        <f t="shared" si="88"/>
        <v>288.65635870281199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286.38148506948386</v>
      </c>
      <c r="AN92" s="59">
        <f ca="1">AVERAGE(OFFSET($AM$3,0,0,'Données projet'!$E$10+1,1))-AVERAGE(OFFSET($H$3,0,0,'Données projet'!$E$10+1,1))</f>
        <v>307.94699176410495</v>
      </c>
      <c r="AO92" s="59">
        <f t="shared" si="90"/>
        <v>314.22983137038875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78.195326116304926</v>
      </c>
      <c r="AV92" s="21">
        <f>EXP(-LN(2)/25)*AV91+(1-EXP(-LN(2)/25))/(LN(2)/25)*Calculateur!AQ92*Calculateur!AS92*VLOOKUP('Données projet'!$B$10,Paramètres!$A$1:$I$89,3,0)*0.475*44/12</f>
        <v>21.677738923689766</v>
      </c>
      <c r="AW92" s="21">
        <f>EXP(-LN(2)/2)*AW91+(1-EXP(-LN(2)/2))/(LN(2)/2)*AQ92*AT92*VLOOKUP('Données projet'!$B$10,Paramètres!$A$1:$I$89,3,0)*0.475*44/12</f>
        <v>2.5878383075026061E-3</v>
      </c>
      <c r="AX92" s="21">
        <f t="shared" si="60"/>
        <v>99.875652878302191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13.388750000000002</v>
      </c>
      <c r="BD92" s="12">
        <f>IF('Données projet'!$A$88&gt;35,BD91+BC92-BL91,IF(A92&lt;'Données projet'!$A$88,$BA$205^A92,IF(A92='Données projet'!$A$88,'Données projet'!$B$88,BD91+BC92-BL91)))</f>
        <v>504.94249999999994</v>
      </c>
      <c r="BE92" s="13">
        <f>BD92*VLOOKUP('Données projet'!$B$11,Paramètres!$A$1:$I$89,3,0)*VLOOKUP('Données projet'!$B$11,Paramètres!$A$1:$I$89,5,0)</f>
        <v>236.31308999999999</v>
      </c>
      <c r="BF92" s="13">
        <f t="shared" si="91"/>
        <v>57.645560516078959</v>
      </c>
      <c r="BG92" s="20">
        <f t="shared" si="61"/>
        <v>511.97798298217077</v>
      </c>
      <c r="BH92" s="59">
        <f t="shared" si="62"/>
        <v>798.35946805165258</v>
      </c>
      <c r="BI92" s="59">
        <f ca="1">AVERAGE(OFFSET($BH$3,0,0,'Données projet'!$E$11+1,1))-AVERAGE(OFFSET($H$3,0,0,'Données projet'!$E$11+1,1))</f>
        <v>346.55780187946573</v>
      </c>
      <c r="BJ92" s="59">
        <f t="shared" si="92"/>
        <v>297.28652094809149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65.682567652686913</v>
      </c>
      <c r="BQ92" s="21">
        <f>EXP(-LN(2)/25)*BQ91+(1-EXP(-LN(2)/25))/(LN(2)/25)*Calculateur!BL92*Calculateur!BN92*VLOOKUP('Données projet'!$B$11,Paramètres!$A$1:$I$89,3,0)*0.475*44/12</f>
        <v>21.282779984669858</v>
      </c>
      <c r="BR92" s="21">
        <f>EXP(-LN(2)/2)*BR91+(1-EXP(-LN(2)/2))/(LN(2)/2)*BL92*BO92*VLOOKUP('Données projet'!$B$11,Paramètres!$A$1:$I$89,3,0)*0.475*44/12</f>
        <v>1.2891302558649838</v>
      </c>
      <c r="BS92" s="22">
        <f t="shared" si="63"/>
        <v>88.254477893221761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5.6843418860808015E-13</v>
      </c>
      <c r="BZ92" s="13">
        <f>BY92*VLOOKUP('Données projet'!$B$12,Paramètres!$A$1:$I$89,3,0)*VLOOKUP('Données projet'!$B$12,Paramètres!$A$1:$I$89,5,0)</f>
        <v>3.177547114319168E-13</v>
      </c>
      <c r="CA92" s="13">
        <f t="shared" si="93"/>
        <v>4.1725404435445377E-12</v>
      </c>
      <c r="CB92" s="20">
        <f t="shared" si="64"/>
        <v>7.820597394917325E-12</v>
      </c>
      <c r="CC92" s="59">
        <f t="shared" si="65"/>
        <v>286.38148506948971</v>
      </c>
      <c r="CD92" s="59">
        <f ca="1">AVERAGE(OFFSET($CC$3,0,0,'Données projet'!$E$12+1,1))-AVERAGE(OFFSET($H$3,0,0,'Données projet'!$E$12+1,1))</f>
        <v>394.00476121021177</v>
      </c>
      <c r="CE92" s="59">
        <f t="shared" si="94"/>
        <v>363.10016759175278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158.38826917815013</v>
      </c>
      <c r="CL92" s="21">
        <f>EXP(-LN(2)/25)*CL91+(1-EXP(-LN(2)/25))/(LN(2)/25)*Calculateur!CG92*Calculateur!CI92*VLOOKUP('Données projet'!$B$12,Paramètres!$A$1:$I$89,3,0)*0.475*44/12</f>
        <v>45.324930713368772</v>
      </c>
      <c r="CM92" s="21">
        <f>EXP(-LN(2)/2)*CM91+(1-EXP(-LN(2)/2))/(LN(2)/2)*CG92*CJ92*VLOOKUP('Données projet'!$B$12,Paramètres!$A$1:$I$89,3,0)*0.475*44/12</f>
        <v>0.10427825833146828</v>
      </c>
      <c r="CN92" s="22">
        <f t="shared" si="66"/>
        <v>203.81747814985039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68.104041382585962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3">
        <f>'Scénario référence'!$B$16*5+'Scénario référence'!$B$17*0+'Scénario référence'!$B$18*5</f>
        <v>1.7999999999999998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6.5999999999999988</v>
      </c>
      <c r="H93" s="67">
        <f t="shared" si="56"/>
        <v>230.26666666666665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955.5922749956294</v>
      </c>
      <c r="S93" s="59">
        <f ca="1">AVERAGE(OFFSET($R$3,0,0,'Données projet'!$E$9+1,1))-AVERAGE(OFFSET($H$3,0,0,'Données projet'!$E$9+1,1))</f>
        <v>652.18744712713965</v>
      </c>
      <c r="T93" s="59">
        <f t="shared" si="88"/>
        <v>288.65635870281199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286.50208409485731</v>
      </c>
      <c r="AN93" s="59">
        <f ca="1">AVERAGE(OFFSET($AM$3,0,0,'Données projet'!$E$10+1,1))-AVERAGE(OFFSET($H$3,0,0,'Données projet'!$E$10+1,1))</f>
        <v>307.94699176410495</v>
      </c>
      <c r="AO93" s="59">
        <f t="shared" si="90"/>
        <v>314.22983137038875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76.661963465603677</v>
      </c>
      <c r="AV93" s="21">
        <f>EXP(-LN(2)/25)*AV92+(1-EXP(-LN(2)/25))/(LN(2)/25)*Calculateur!AQ93*Calculateur!AS93*VLOOKUP('Données projet'!$B$10,Paramètres!$A$1:$I$89,3,0)*0.475*44/12</f>
        <v>21.084960012838724</v>
      </c>
      <c r="AW93" s="21">
        <f>EXP(-LN(2)/2)*AW92+(1-EXP(-LN(2)/2))/(LN(2)/2)*AQ93*AT93*VLOOKUP('Données projet'!$B$10,Paramètres!$A$1:$I$89,3,0)*0.475*44/12</f>
        <v>1.8298780158494108E-3</v>
      </c>
      <c r="AX93" s="21">
        <f t="shared" si="60"/>
        <v>97.748753356458252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13.388750000000002</v>
      </c>
      <c r="BD93" s="12">
        <f>IF('Données projet'!$A$88&gt;35,BD92+BC93-BL92,IF(A93&lt;'Données projet'!$A$88,$BA$205^A93,IF(A93='Données projet'!$A$88,'Données projet'!$B$88,BD92+BC93-BL92)))</f>
        <v>518.33124999999995</v>
      </c>
      <c r="BE93" s="13">
        <f>BD93*VLOOKUP('Données projet'!$B$11,Paramètres!$A$1:$I$89,3,0)*VLOOKUP('Données projet'!$B$11,Paramètres!$A$1:$I$89,5,0)</f>
        <v>242.57902499999997</v>
      </c>
      <c r="BF93" s="13">
        <f t="shared" si="91"/>
        <v>58.9940746187348</v>
      </c>
      <c r="BG93" s="20">
        <f t="shared" si="61"/>
        <v>525.23981516929643</v>
      </c>
      <c r="BH93" s="59">
        <f t="shared" si="62"/>
        <v>811.7418992641517</v>
      </c>
      <c r="BI93" s="59">
        <f ca="1">AVERAGE(OFFSET($BH$3,0,0,'Données projet'!$E$11+1,1))-AVERAGE(OFFSET($H$3,0,0,'Données projet'!$E$11+1,1))</f>
        <v>346.55780187946573</v>
      </c>
      <c r="BJ93" s="59">
        <f t="shared" si="92"/>
        <v>297.28652094809149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64.394572563428156</v>
      </c>
      <c r="BQ93" s="21">
        <f>EXP(-LN(2)/25)*BQ92+(1-EXP(-LN(2)/25))/(LN(2)/25)*Calculateur!BL93*Calculateur!BN93*VLOOKUP('Données projet'!$B$11,Paramètres!$A$1:$I$89,3,0)*0.475*44/12</f>
        <v>20.700801246776305</v>
      </c>
      <c r="BR93" s="21">
        <f>EXP(-LN(2)/2)*BR92+(1-EXP(-LN(2)/2))/(LN(2)/2)*BL93*BO93*VLOOKUP('Données projet'!$B$11,Paramètres!$A$1:$I$89,3,0)*0.475*44/12</f>
        <v>0.9115527457548791</v>
      </c>
      <c r="BS93" s="22">
        <f t="shared" si="63"/>
        <v>86.006926555959339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5.6843418860808015E-13</v>
      </c>
      <c r="BZ93" s="13">
        <f>BY93*VLOOKUP('Données projet'!$B$12,Paramètres!$A$1:$I$89,3,0)*VLOOKUP('Données projet'!$B$12,Paramètres!$A$1:$I$89,5,0)</f>
        <v>3.177547114319168E-13</v>
      </c>
      <c r="CA93" s="13">
        <f t="shared" si="93"/>
        <v>4.1725404435445377E-12</v>
      </c>
      <c r="CB93" s="20">
        <f t="shared" si="64"/>
        <v>7.820597394917325E-12</v>
      </c>
      <c r="CC93" s="59">
        <f t="shared" si="65"/>
        <v>286.50208409486316</v>
      </c>
      <c r="CD93" s="59">
        <f ca="1">AVERAGE(OFFSET($CC$3,0,0,'Données projet'!$E$12+1,1))-AVERAGE(OFFSET($H$3,0,0,'Données projet'!$E$12+1,1))</f>
        <v>394.00476121021177</v>
      </c>
      <c r="CE93" s="59">
        <f t="shared" si="94"/>
        <v>363.10016759175278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155.28237182687161</v>
      </c>
      <c r="CL93" s="21">
        <f>EXP(-LN(2)/25)*CL92+(1-EXP(-LN(2)/25))/(LN(2)/25)*Calculateur!CG93*Calculateur!CI93*VLOOKUP('Données projet'!$B$12,Paramètres!$A$1:$I$89,3,0)*0.475*44/12</f>
        <v>44.085518099477191</v>
      </c>
      <c r="CM93" s="21">
        <f>EXP(-LN(2)/2)*CM92+(1-EXP(-LN(2)/2))/(LN(2)/2)*CG93*CJ93*VLOOKUP('Données projet'!$B$12,Paramètres!$A$1:$I$89,3,0)*0.475*44/12</f>
        <v>7.3735863596503817E-2</v>
      </c>
      <c r="CN93" s="22">
        <f t="shared" si="66"/>
        <v>199.44162578994531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68.136932025869626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3">
        <f>'Scénario référence'!$B$16*5+'Scénario référence'!$B$17*0+'Scénario référence'!$B$18*5</f>
        <v>1.7999999999999998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6.5999999999999988</v>
      </c>
      <c r="H94" s="67">
        <f t="shared" si="56"/>
        <v>230.26666666666665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973.17951475083623</v>
      </c>
      <c r="S94" s="59">
        <f ca="1">AVERAGE(OFFSET($R$3,0,0,'Données projet'!$E$9+1,1))-AVERAGE(OFFSET($H$3,0,0,'Données projet'!$E$9+1,1))</f>
        <v>652.18744712713965</v>
      </c>
      <c r="T94" s="59">
        <f t="shared" si="88"/>
        <v>288.65635870281199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286.62059099675957</v>
      </c>
      <c r="AN94" s="59">
        <f ca="1">AVERAGE(OFFSET($AM$3,0,0,'Données projet'!$E$10+1,1))-AVERAGE(OFFSET($H$3,0,0,'Données projet'!$E$10+1,1))</f>
        <v>307.94699176410495</v>
      </c>
      <c r="AO94" s="59">
        <f t="shared" si="90"/>
        <v>314.22983137038875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75.158669121223824</v>
      </c>
      <c r="AV94" s="21">
        <f>EXP(-LN(2)/25)*AV93+(1-EXP(-LN(2)/25))/(LN(2)/25)*Calculateur!AQ94*Calculateur!AS94*VLOOKUP('Données projet'!$B$10,Paramètres!$A$1:$I$89,3,0)*0.475*44/12</f>
        <v>20.508390672477791</v>
      </c>
      <c r="AW94" s="21">
        <f>EXP(-LN(2)/2)*AW93+(1-EXP(-LN(2)/2))/(LN(2)/2)*AQ94*AT94*VLOOKUP('Données projet'!$B$10,Paramètres!$A$1:$I$89,3,0)*0.475*44/12</f>
        <v>1.2939191537513031E-3</v>
      </c>
      <c r="AX94" s="21">
        <f t="shared" si="60"/>
        <v>95.668353712855364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>
        <f>VLOOKUP(A94,'Données projet'!$A$87:$I$107,2,0)</f>
        <v>531.72</v>
      </c>
      <c r="BB94" s="12">
        <f>VLOOKUP(A94,'Données projet'!$A$87:$I$107,9,0)</f>
        <v>13.388750000000002</v>
      </c>
      <c r="BC94" s="12">
        <f t="array" ref="BC94">INDEX(BB:BB,MIN(IF(ISNUMBER(BB94:BB290),ROW(BB94:BB290),"")))</f>
        <v>13.388750000000002</v>
      </c>
      <c r="BD94" s="12">
        <f>IF('Données projet'!$A$88&gt;35,BD93+BC94-BL93,IF(A94&lt;'Données projet'!$A$88,$BA$205^A94,IF(A94='Données projet'!$A$88,'Données projet'!$B$88,BD93+BC94-BL93)))</f>
        <v>531.71999999999991</v>
      </c>
      <c r="BE94" s="13">
        <f>BD94*VLOOKUP('Données projet'!$B$11,Paramètres!$A$1:$I$89,3,0)*VLOOKUP('Données projet'!$B$11,Paramètres!$A$1:$I$89,5,0)</f>
        <v>248.84495999999996</v>
      </c>
      <c r="BF94" s="13">
        <f t="shared" si="91"/>
        <v>60.338539799248558</v>
      </c>
      <c r="BG94" s="20">
        <f t="shared" si="61"/>
        <v>538.49459548369111</v>
      </c>
      <c r="BH94" s="59">
        <f t="shared" si="62"/>
        <v>825.11518648044876</v>
      </c>
      <c r="BI94" s="59">
        <f ca="1">AVERAGE(OFFSET($BH$3,0,0,'Données projet'!$E$11+1,1))-AVERAGE(OFFSET($H$3,0,0,'Données projet'!$E$11+1,1))</f>
        <v>346.55780187946573</v>
      </c>
      <c r="BJ94" s="59">
        <f t="shared" si="92"/>
        <v>297.28652094809149</v>
      </c>
      <c r="BK94" s="15">
        <f>IF(ISNA(VLOOKUP(A94,'Données projet'!$A$87:$I$107,3,0)),0,VLOOKUP(A94,'Données projet'!$A$87:$I$107,3,0))</f>
        <v>7</v>
      </c>
      <c r="BL94" s="15">
        <f>IF(ISNA(VLOOKUP(A94,'Données projet'!$A$87:$I$107,4,0)),0,VLOOKUP(A94,'Données projet'!$A$87:$I$107,4,0))</f>
        <v>264.52000000000004</v>
      </c>
      <c r="BM94" s="16">
        <f>IF(ISNA(VLOOKUP(A94,'Données projet'!$A$87:$I$107,5,0)),0%,VLOOKUP(A94,'Données projet'!$A$87:$I$107,5,0)*VLOOKUP('Données projet'!$B$11,Paramètres!$A$1:$I$89,7,0))</f>
        <v>0.33</v>
      </c>
      <c r="BN94" s="16">
        <f>IF(ISNA(VLOOKUP(A94,'Données projet'!$A$87:$I$107,6,0)),0%,VLOOKUP(A94,'Données projet'!$A$87:$I$107,6,0)*VLOOKUP('Données projet'!$B$11,Paramètres!$A$1:$I$89,7,0))</f>
        <v>0.11000000000000001</v>
      </c>
      <c r="BO94" s="16">
        <f>IF(ISNA(VLOOKUP(A94,'Données projet'!$A$87:$I$107,7,0)),0%,VLOOKUP(A94,'Données projet'!$A$87:$I$107,7,0))</f>
        <v>0.2</v>
      </c>
      <c r="BP94" s="21">
        <f>EXP(-LN(2)/35)*BP93+(1-EXP(-LN(2)/35))/(LN(2)/35)*BL94*BM94*VLOOKUP('Données projet'!$B$11,Paramètres!$A$1:$I$89,3,0)*0.475*44/12</f>
        <v>117.32526729930316</v>
      </c>
      <c r="BQ94" s="21">
        <f>EXP(-LN(2)/25)*BQ93+(1-EXP(-LN(2)/25))/(LN(2)/25)*Calculateur!BL94*Calculateur!BN94*VLOOKUP('Données projet'!$B$11,Paramètres!$A$1:$I$89,3,0)*0.475*44/12</f>
        <v>38.128087692038221</v>
      </c>
      <c r="BR94" s="21">
        <f>EXP(-LN(2)/2)*BR93+(1-EXP(-LN(2)/2))/(LN(2)/2)*BL94*BO94*VLOOKUP('Données projet'!$B$11,Paramètres!$A$1:$I$89,3,0)*0.475*44/12</f>
        <v>28.677586103115683</v>
      </c>
      <c r="BS94" s="22">
        <f t="shared" si="63"/>
        <v>184.13094109445706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5.6843418860808015E-13</v>
      </c>
      <c r="BZ94" s="13">
        <f>BY94*VLOOKUP('Données projet'!$B$12,Paramètres!$A$1:$I$89,3,0)*VLOOKUP('Données projet'!$B$12,Paramètres!$A$1:$I$89,5,0)</f>
        <v>3.177547114319168E-13</v>
      </c>
      <c r="CA94" s="13">
        <f t="shared" si="93"/>
        <v>4.1725404435445377E-12</v>
      </c>
      <c r="CB94" s="20">
        <f t="shared" si="64"/>
        <v>7.820597394917325E-12</v>
      </c>
      <c r="CC94" s="59">
        <f t="shared" si="65"/>
        <v>286.62059099676543</v>
      </c>
      <c r="CD94" s="59">
        <f ca="1">AVERAGE(OFFSET($CC$3,0,0,'Données projet'!$E$12+1,1))-AVERAGE(OFFSET($H$3,0,0,'Données projet'!$E$12+1,1))</f>
        <v>394.00476121021177</v>
      </c>
      <c r="CE94" s="59">
        <f t="shared" si="94"/>
        <v>363.10016759175278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152.23737922824134</v>
      </c>
      <c r="CL94" s="21">
        <f>EXP(-LN(2)/25)*CL93+(1-EXP(-LN(2)/25))/(LN(2)/25)*Calculateur!CG94*Calculateur!CI94*VLOOKUP('Données projet'!$B$12,Paramètres!$A$1:$I$89,3,0)*0.475*44/12</f>
        <v>42.879997288690348</v>
      </c>
      <c r="CM94" s="21">
        <f>EXP(-LN(2)/2)*CM93+(1-EXP(-LN(2)/2))/(LN(2)/2)*CG94*CJ94*VLOOKUP('Données projet'!$B$12,Paramètres!$A$1:$I$89,3,0)*0.475*44/12</f>
        <v>5.2139129165734141E-2</v>
      </c>
      <c r="CN94" s="22">
        <f t="shared" si="66"/>
        <v>195.16951564609744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68.169252090024798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3">
        <f>'Scénario référence'!$B$16*5+'Scénario référence'!$B$17*0+'Scénario référence'!$B$18*5</f>
        <v>1.7999999999999998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6.5999999999999988</v>
      </c>
      <c r="H95" s="67">
        <f t="shared" si="56"/>
        <v>230.26666666666665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990.75558664419395</v>
      </c>
      <c r="S95" s="59">
        <f ca="1">AVERAGE(OFFSET($R$3,0,0,'Données projet'!$E$9+1,1))-AVERAGE(OFFSET($H$3,0,0,'Données projet'!$E$9+1,1))</f>
        <v>652.18744712713965</v>
      </c>
      <c r="T95" s="59">
        <f t="shared" si="88"/>
        <v>288.65635870281199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286.73704206885554</v>
      </c>
      <c r="AN95" s="59">
        <f ca="1">AVERAGE(OFFSET($AM$3,0,0,'Données projet'!$E$10+1,1))-AVERAGE(OFFSET($H$3,0,0,'Données projet'!$E$10+1,1))</f>
        <v>307.94699176410495</v>
      </c>
      <c r="AO95" s="59">
        <f t="shared" si="90"/>
        <v>314.22983137038875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73.684853462018239</v>
      </c>
      <c r="AV95" s="21">
        <f>EXP(-LN(2)/25)*AV94+(1-EXP(-LN(2)/25))/(LN(2)/25)*Calculateur!AQ95*Calculateur!AS95*VLOOKUP('Données projet'!$B$10,Paramètres!$A$1:$I$89,3,0)*0.475*44/12</f>
        <v>19.947587651049492</v>
      </c>
      <c r="AW95" s="21">
        <f>EXP(-LN(2)/2)*AW94+(1-EXP(-LN(2)/2))/(LN(2)/2)*AQ95*AT95*VLOOKUP('Données projet'!$B$10,Paramètres!$A$1:$I$89,3,0)*0.475*44/12</f>
        <v>9.1493900792470541E-4</v>
      </c>
      <c r="AX95" s="21">
        <f t="shared" si="60"/>
        <v>93.633356052075655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8.9230000000000018</v>
      </c>
      <c r="BD95" s="12">
        <f>IF('Données projet'!$A$88&gt;35,BD94+BC95-BL94,IF(A95&lt;'Données projet'!$A$88,$BA$205^A95,IF(A95='Données projet'!$A$88,'Données projet'!$B$88,BD94+BC95-BL94)))</f>
        <v>276.12299999999988</v>
      </c>
      <c r="BE95" s="13">
        <f>BD95*VLOOKUP('Données projet'!$B$11,Paramètres!$A$1:$I$89,3,0)*VLOOKUP('Données projet'!$B$11,Paramètres!$A$1:$I$89,5,0)</f>
        <v>129.22556399999996</v>
      </c>
      <c r="BF95" s="13">
        <f t="shared" si="91"/>
        <v>33.817347729390725</v>
      </c>
      <c r="BG95" s="20">
        <f t="shared" si="61"/>
        <v>283.96640459535541</v>
      </c>
      <c r="BH95" s="59">
        <f t="shared" si="62"/>
        <v>570.70344666420897</v>
      </c>
      <c r="BI95" s="59">
        <f ca="1">AVERAGE(OFFSET($BH$3,0,0,'Données projet'!$E$11+1,1))-AVERAGE(OFFSET($H$3,0,0,'Données projet'!$E$11+1,1))</f>
        <v>346.55780187946573</v>
      </c>
      <c r="BJ95" s="59">
        <f t="shared" si="92"/>
        <v>297.28652094809149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115.02459036891078</v>
      </c>
      <c r="BQ95" s="21">
        <f>EXP(-LN(2)/25)*BQ94+(1-EXP(-LN(2)/25))/(LN(2)/25)*Calculateur!BL95*Calculateur!BN95*VLOOKUP('Données projet'!$B$11,Paramètres!$A$1:$I$89,3,0)*0.475*44/12</f>
        <v>37.085473129030447</v>
      </c>
      <c r="BR95" s="21">
        <f>EXP(-LN(2)/2)*BR94+(1-EXP(-LN(2)/2))/(LN(2)/2)*BL95*BO95*VLOOKUP('Données projet'!$B$11,Paramètres!$A$1:$I$89,3,0)*0.475*44/12</f>
        <v>20.2781156015742</v>
      </c>
      <c r="BS95" s="22">
        <f t="shared" si="63"/>
        <v>172.38817909951541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5.6843418860808015E-13</v>
      </c>
      <c r="BZ95" s="13">
        <f>BY95*VLOOKUP('Données projet'!$B$12,Paramètres!$A$1:$I$89,3,0)*VLOOKUP('Données projet'!$B$12,Paramètres!$A$1:$I$89,5,0)</f>
        <v>3.177547114319168E-13</v>
      </c>
      <c r="CA95" s="13">
        <f t="shared" si="93"/>
        <v>4.1725404435445377E-12</v>
      </c>
      <c r="CB95" s="20">
        <f t="shared" si="64"/>
        <v>7.820597394917325E-12</v>
      </c>
      <c r="CC95" s="59">
        <f t="shared" si="65"/>
        <v>286.7370420688614</v>
      </c>
      <c r="CD95" s="59">
        <f ca="1">AVERAGE(OFFSET($CC$3,0,0,'Données projet'!$E$12+1,1))-AVERAGE(OFFSET($H$3,0,0,'Données projet'!$E$12+1,1))</f>
        <v>394.00476121021177</v>
      </c>
      <c r="CE95" s="59">
        <f t="shared" si="94"/>
        <v>363.10016759175278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149.25209707720813</v>
      </c>
      <c r="CL95" s="21">
        <f>EXP(-LN(2)/25)*CL94+(1-EXP(-LN(2)/25))/(LN(2)/25)*Calculateur!CG95*Calculateur!CI95*VLOOKUP('Données projet'!$B$12,Paramètres!$A$1:$I$89,3,0)*0.475*44/12</f>
        <v>41.707441507870058</v>
      </c>
      <c r="CM95" s="21">
        <f>EXP(-LN(2)/2)*CM94+(1-EXP(-LN(2)/2))/(LN(2)/2)*CG95*CJ95*VLOOKUP('Données projet'!$B$12,Paramètres!$A$1:$I$89,3,0)*0.475*44/12</f>
        <v>3.6867931798251909E-2</v>
      </c>
      <c r="CN95" s="22">
        <f t="shared" si="66"/>
        <v>190.99640651687642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68.201011473323703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3">
        <f>'Scénario référence'!$B$16*5+'Scénario référence'!$B$17*0+'Scénario référence'!$B$18*5</f>
        <v>1.7999999999999998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6.5999999999999988</v>
      </c>
      <c r="H96" s="67">
        <f t="shared" si="56"/>
        <v>230.26666666666665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1008.3207839425382</v>
      </c>
      <c r="S96" s="59">
        <f ca="1">AVERAGE(OFFSET($R$3,0,0,'Données projet'!$E$9+1,1))-AVERAGE(OFFSET($H$3,0,0,'Données projet'!$E$9+1,1))</f>
        <v>652.18744712713965</v>
      </c>
      <c r="T96" s="59">
        <f t="shared" si="88"/>
        <v>288.65635870281199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286.85147297519626</v>
      </c>
      <c r="AN96" s="59">
        <f ca="1">AVERAGE(OFFSET($AM$3,0,0,'Données projet'!$E$10+1,1))-AVERAGE(OFFSET($H$3,0,0,'Données projet'!$E$10+1,1))</f>
        <v>307.94699176410495</v>
      </c>
      <c r="AO96" s="59">
        <f t="shared" si="90"/>
        <v>314.22983137038875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72.239938428950893</v>
      </c>
      <c r="AV96" s="21">
        <f>EXP(-LN(2)/25)*AV95+(1-EXP(-LN(2)/25))/(LN(2)/25)*Calculateur!AQ96*Calculateur!AS96*VLOOKUP('Données projet'!$B$10,Paramètres!$A$1:$I$89,3,0)*0.475*44/12</f>
        <v>19.402119817733499</v>
      </c>
      <c r="AW96" s="21">
        <f>EXP(-LN(2)/2)*AW95+(1-EXP(-LN(2)/2))/(LN(2)/2)*AQ96*AT96*VLOOKUP('Données projet'!$B$10,Paramètres!$A$1:$I$89,3,0)*0.475*44/12</f>
        <v>6.4695957687565153E-4</v>
      </c>
      <c r="AX96" s="21">
        <f t="shared" si="60"/>
        <v>91.642705206261269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8.9230000000000018</v>
      </c>
      <c r="BD96" s="12">
        <f>IF('Données projet'!$A$88&gt;35,BD95+BC96-BL95,IF(A96&lt;'Données projet'!$A$88,$BA$205^A96,IF(A96='Données projet'!$A$88,'Données projet'!$B$88,BD95+BC96-BL95)))</f>
        <v>285.04599999999988</v>
      </c>
      <c r="BE96" s="13">
        <f>BD96*VLOOKUP('Données projet'!$B$11,Paramètres!$A$1:$I$89,3,0)*VLOOKUP('Données projet'!$B$11,Paramètres!$A$1:$I$89,5,0)</f>
        <v>133.40152799999993</v>
      </c>
      <c r="BF96" s="13">
        <f t="shared" si="91"/>
        <v>34.781167137457153</v>
      </c>
      <c r="BG96" s="20">
        <f t="shared" si="61"/>
        <v>292.91819403107104</v>
      </c>
      <c r="BH96" s="59">
        <f t="shared" si="62"/>
        <v>579.76966700626531</v>
      </c>
      <c r="BI96" s="59">
        <f ca="1">AVERAGE(OFFSET($BH$3,0,0,'Données projet'!$E$11+1,1))-AVERAGE(OFFSET($H$3,0,0,'Données projet'!$E$11+1,1))</f>
        <v>346.55780187946573</v>
      </c>
      <c r="BJ96" s="59">
        <f t="shared" si="92"/>
        <v>297.28652094809149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112.76902830984903</v>
      </c>
      <c r="BQ96" s="21">
        <f>EXP(-LN(2)/25)*BQ95+(1-EXP(-LN(2)/25))/(LN(2)/25)*Calculateur!BL96*Calculateur!BN96*VLOOKUP('Données projet'!$B$11,Paramètres!$A$1:$I$89,3,0)*0.475*44/12</f>
        <v>36.071368916076835</v>
      </c>
      <c r="BR96" s="21">
        <f>EXP(-LN(2)/2)*BR95+(1-EXP(-LN(2)/2))/(LN(2)/2)*BL96*BO96*VLOOKUP('Données projet'!$B$11,Paramètres!$A$1:$I$89,3,0)*0.475*44/12</f>
        <v>14.338793051557845</v>
      </c>
      <c r="BS96" s="22">
        <f t="shared" si="63"/>
        <v>163.17919027748371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5.6843418860808015E-13</v>
      </c>
      <c r="BZ96" s="13">
        <f>BY96*VLOOKUP('Données projet'!$B$12,Paramètres!$A$1:$I$89,3,0)*VLOOKUP('Données projet'!$B$12,Paramètres!$A$1:$I$89,5,0)</f>
        <v>3.177547114319168E-13</v>
      </c>
      <c r="CA96" s="13">
        <f t="shared" si="93"/>
        <v>4.1725404435445377E-12</v>
      </c>
      <c r="CB96" s="20">
        <f t="shared" si="64"/>
        <v>7.820597394917325E-12</v>
      </c>
      <c r="CC96" s="59">
        <f t="shared" si="65"/>
        <v>286.85147297520211</v>
      </c>
      <c r="CD96" s="59">
        <f ca="1">AVERAGE(OFFSET($CC$3,0,0,'Données projet'!$E$12+1,1))-AVERAGE(OFFSET($H$3,0,0,'Données projet'!$E$12+1,1))</f>
        <v>394.00476121021177</v>
      </c>
      <c r="CE96" s="59">
        <f t="shared" si="94"/>
        <v>363.10016759175278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146.32535448831436</v>
      </c>
      <c r="CL96" s="21">
        <f>EXP(-LN(2)/25)*CL95+(1-EXP(-LN(2)/25))/(LN(2)/25)*Calculateur!CG96*Calculateur!CI96*VLOOKUP('Données projet'!$B$12,Paramètres!$A$1:$I$89,3,0)*0.475*44/12</f>
        <v>40.566949326538328</v>
      </c>
      <c r="CM96" s="21">
        <f>EXP(-LN(2)/2)*CM95+(1-EXP(-LN(2)/2))/(LN(2)/2)*CG96*CJ96*VLOOKUP('Données projet'!$B$12,Paramètres!$A$1:$I$89,3,0)*0.475*44/12</f>
        <v>2.6069564582867071E-2</v>
      </c>
      <c r="CN96" s="22">
        <f t="shared" si="66"/>
        <v>186.91837337943554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68.23221990232571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3">
        <f>'Scénario référence'!$B$16*5+'Scénario référence'!$B$17*0+'Scénario référence'!$B$18*5</f>
        <v>1.7999999999999998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6.5999999999999988</v>
      </c>
      <c r="H97" s="67">
        <f t="shared" si="56"/>
        <v>230.26666666666665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1025.8753858278262</v>
      </c>
      <c r="S97" s="59">
        <f ca="1">AVERAGE(OFFSET($R$3,0,0,'Données projet'!$E$9+1,1))-AVERAGE(OFFSET($H$3,0,0,'Données projet'!$E$9+1,1))</f>
        <v>652.18744712713965</v>
      </c>
      <c r="T97" s="59">
        <f t="shared" si="88"/>
        <v>288.65635870281199</v>
      </c>
      <c r="U97" s="15">
        <f>IF(ISNA(VLOOKUP(A97,'Données projet'!$A$35:$I$55,3,0)),0,VLOOKUP(A97,'Données projet'!$A$35:$I$55,3,0))</f>
        <v>9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286.96391876114114</v>
      </c>
      <c r="AN97" s="59">
        <f ca="1">AVERAGE(OFFSET($AM$3,0,0,'Données projet'!$E$10+1,1))-AVERAGE(OFFSET($H$3,0,0,'Données projet'!$E$10+1,1))</f>
        <v>307.94699176410495</v>
      </c>
      <c r="AO97" s="59">
        <f t="shared" si="90"/>
        <v>314.22983137038875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70.823357298370851</v>
      </c>
      <c r="AV97" s="21">
        <f>EXP(-LN(2)/25)*AV96+(1-EXP(-LN(2)/25))/(LN(2)/25)*Calculateur!AQ97*Calculateur!AS97*VLOOKUP('Données projet'!$B$10,Paramètres!$A$1:$I$89,3,0)*0.475*44/12</f>
        <v>18.871567831004441</v>
      </c>
      <c r="AW97" s="21">
        <f>EXP(-LN(2)/2)*AW96+(1-EXP(-LN(2)/2))/(LN(2)/2)*AQ97*AT97*VLOOKUP('Données projet'!$B$10,Paramètres!$A$1:$I$89,3,0)*0.475*44/12</f>
        <v>4.574695039623527E-4</v>
      </c>
      <c r="AX97" s="21">
        <f t="shared" si="60"/>
        <v>89.695382598879249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8.9230000000000018</v>
      </c>
      <c r="BD97" s="12">
        <f>IF('Données projet'!$A$88&gt;35,BD96+BC97-BL96,IF(A97&lt;'Données projet'!$A$88,$BA$205^A97,IF(A97='Données projet'!$A$88,'Données projet'!$B$88,BD96+BC97-BL96)))</f>
        <v>293.96899999999988</v>
      </c>
      <c r="BE97" s="13">
        <f>BD97*VLOOKUP('Données projet'!$B$11,Paramètres!$A$1:$I$89,3,0)*VLOOKUP('Données projet'!$B$11,Paramètres!$A$1:$I$89,5,0)</f>
        <v>137.57749199999995</v>
      </c>
      <c r="BF97" s="13">
        <f t="shared" si="91"/>
        <v>35.741480411252923</v>
      </c>
      <c r="BG97" s="20">
        <f t="shared" si="61"/>
        <v>301.8638769495987</v>
      </c>
      <c r="BH97" s="59">
        <f t="shared" si="62"/>
        <v>588.82779571073786</v>
      </c>
      <c r="BI97" s="59">
        <f ca="1">AVERAGE(OFFSET($BH$3,0,0,'Données projet'!$E$11+1,1))-AVERAGE(OFFSET($H$3,0,0,'Données projet'!$E$11+1,1))</f>
        <v>346.55780187946573</v>
      </c>
      <c r="BJ97" s="59">
        <f t="shared" si="92"/>
        <v>297.28652094809149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110.55769644700847</v>
      </c>
      <c r="BQ97" s="21">
        <f>EXP(-LN(2)/25)*BQ96+(1-EXP(-LN(2)/25))/(LN(2)/25)*Calculateur!BL97*Calculateur!BN97*VLOOKUP('Données projet'!$B$11,Paramètres!$A$1:$I$89,3,0)*0.475*44/12</f>
        <v>35.084995436155864</v>
      </c>
      <c r="BR97" s="21">
        <f>EXP(-LN(2)/2)*BR96+(1-EXP(-LN(2)/2))/(LN(2)/2)*BL97*BO97*VLOOKUP('Données projet'!$B$11,Paramètres!$A$1:$I$89,3,0)*0.475*44/12</f>
        <v>10.139057800787102</v>
      </c>
      <c r="BS97" s="22">
        <f t="shared" si="63"/>
        <v>155.78174968395143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5.6843418860808015E-13</v>
      </c>
      <c r="BZ97" s="13">
        <f>BY97*VLOOKUP('Données projet'!$B$12,Paramètres!$A$1:$I$89,3,0)*VLOOKUP('Données projet'!$B$12,Paramètres!$A$1:$I$89,5,0)</f>
        <v>3.177547114319168E-13</v>
      </c>
      <c r="CA97" s="13">
        <f t="shared" si="93"/>
        <v>4.1725404435445377E-12</v>
      </c>
      <c r="CB97" s="20">
        <f t="shared" si="64"/>
        <v>7.820597394917325E-12</v>
      </c>
      <c r="CC97" s="59">
        <f t="shared" si="65"/>
        <v>286.963918761147</v>
      </c>
      <c r="CD97" s="59">
        <f ca="1">AVERAGE(OFFSET($CC$3,0,0,'Données projet'!$E$12+1,1))-AVERAGE(OFFSET($H$3,0,0,'Données projet'!$E$12+1,1))</f>
        <v>394.00476121021177</v>
      </c>
      <c r="CE97" s="59">
        <f t="shared" si="94"/>
        <v>363.10016759175278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143.45600353645207</v>
      </c>
      <c r="CL97" s="21">
        <f>EXP(-LN(2)/25)*CL96+(1-EXP(-LN(2)/25))/(LN(2)/25)*Calculateur!CG97*Calculateur!CI97*VLOOKUP('Données projet'!$B$12,Paramètres!$A$1:$I$89,3,0)*0.475*44/12</f>
        <v>39.45764396388099</v>
      </c>
      <c r="CM97" s="21">
        <f>EXP(-LN(2)/2)*CM96+(1-EXP(-LN(2)/2))/(LN(2)/2)*CG97*CJ97*VLOOKUP('Données projet'!$B$12,Paramètres!$A$1:$I$89,3,0)*0.475*44/12</f>
        <v>1.8433965899125954E-2</v>
      </c>
      <c r="CN97" s="22">
        <f t="shared" si="66"/>
        <v>182.93208146623221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68.262886934856141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3">
        <f>'Scénario référence'!$B$16*5+'Scénario référence'!$B$17*0+'Scénario référence'!$B$18*5</f>
        <v>1.7999999999999998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6.5999999999999988</v>
      </c>
      <c r="H98" s="67">
        <f t="shared" si="56"/>
        <v>230.26666666666665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914.77150058947814</v>
      </c>
      <c r="S98" s="59">
        <f ca="1">AVERAGE(OFFSET($R$3,0,0,'Données projet'!$E$9+1,1))-AVERAGE(OFFSET($H$3,0,0,'Données projet'!$E$9+1,1))</f>
        <v>652.18744712713965</v>
      </c>
      <c r="T98" s="59">
        <f t="shared" si="88"/>
        <v>288.65635870281199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287.07441386409107</v>
      </c>
      <c r="AN98" s="59">
        <f ca="1">AVERAGE(OFFSET($AM$3,0,0,'Données projet'!$E$10+1,1))-AVERAGE(OFFSET($H$3,0,0,'Données projet'!$E$10+1,1))</f>
        <v>307.94699176410495</v>
      </c>
      <c r="AO98" s="59">
        <f t="shared" si="90"/>
        <v>314.22983137038875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69.434554459732311</v>
      </c>
      <c r="AV98" s="21">
        <f>EXP(-LN(2)/25)*AV97+(1-EXP(-LN(2)/25))/(LN(2)/25)*Calculateur!AQ98*Calculateur!AS98*VLOOKUP('Données projet'!$B$10,Paramètres!$A$1:$I$89,3,0)*0.475*44/12</f>
        <v>18.355523816253005</v>
      </c>
      <c r="AW98" s="21">
        <f>EXP(-LN(2)/2)*AW97+(1-EXP(-LN(2)/2))/(LN(2)/2)*AQ98*AT98*VLOOKUP('Données projet'!$B$10,Paramètres!$A$1:$I$89,3,0)*0.475*44/12</f>
        <v>3.2347978843782577E-4</v>
      </c>
      <c r="AX98" s="21">
        <f t="shared" si="60"/>
        <v>87.790401755773743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8.9230000000000018</v>
      </c>
      <c r="BD98" s="12">
        <f>IF('Données projet'!$A$88&gt;35,BD97+BC98-BL97,IF(A98&lt;'Données projet'!$A$88,$BA$205^A98,IF(A98='Données projet'!$A$88,'Données projet'!$B$88,BD97+BC98-BL97)))</f>
        <v>302.89199999999988</v>
      </c>
      <c r="BE98" s="13">
        <f>BD98*VLOOKUP('Données projet'!$B$11,Paramètres!$A$1:$I$89,3,0)*VLOOKUP('Données projet'!$B$11,Paramètres!$A$1:$I$89,5,0)</f>
        <v>141.75345599999994</v>
      </c>
      <c r="BF98" s="13">
        <f t="shared" si="91"/>
        <v>36.698406189380194</v>
      </c>
      <c r="BG98" s="20">
        <f t="shared" si="61"/>
        <v>310.80365997983705</v>
      </c>
      <c r="BH98" s="59">
        <f t="shared" si="62"/>
        <v>597.87807384392613</v>
      </c>
      <c r="BI98" s="59">
        <f ca="1">AVERAGE(OFFSET($BH$3,0,0,'Données projet'!$E$11+1,1))-AVERAGE(OFFSET($H$3,0,0,'Données projet'!$E$11+1,1))</f>
        <v>346.55780187946573</v>
      </c>
      <c r="BJ98" s="59">
        <f t="shared" si="92"/>
        <v>297.28652094809149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108.38972745321895</v>
      </c>
      <c r="BQ98" s="21">
        <f>EXP(-LN(2)/25)*BQ97+(1-EXP(-LN(2)/25))/(LN(2)/25)*Calculateur!BL98*Calculateur!BN98*VLOOKUP('Données projet'!$B$11,Paramètres!$A$1:$I$89,3,0)*0.475*44/12</f>
        <v>34.125594390914458</v>
      </c>
      <c r="BR98" s="21">
        <f>EXP(-LN(2)/2)*BR97+(1-EXP(-LN(2)/2))/(LN(2)/2)*BL98*BO98*VLOOKUP('Données projet'!$B$11,Paramètres!$A$1:$I$89,3,0)*0.475*44/12</f>
        <v>7.1693965257789234</v>
      </c>
      <c r="BS98" s="22">
        <f t="shared" si="63"/>
        <v>149.68471836991233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5.6843418860808015E-13</v>
      </c>
      <c r="BZ98" s="13">
        <f>BY98*VLOOKUP('Données projet'!$B$12,Paramètres!$A$1:$I$89,3,0)*VLOOKUP('Données projet'!$B$12,Paramètres!$A$1:$I$89,5,0)</f>
        <v>3.177547114319168E-13</v>
      </c>
      <c r="CA98" s="13">
        <f t="shared" si="93"/>
        <v>4.1725404435445377E-12</v>
      </c>
      <c r="CB98" s="20">
        <f t="shared" si="64"/>
        <v>7.820597394917325E-12</v>
      </c>
      <c r="CC98" s="59">
        <f t="shared" si="65"/>
        <v>287.07441386409693</v>
      </c>
      <c r="CD98" s="59">
        <f ca="1">AVERAGE(OFFSET($CC$3,0,0,'Données projet'!$E$12+1,1))-AVERAGE(OFFSET($H$3,0,0,'Données projet'!$E$12+1,1))</f>
        <v>394.00476121021177</v>
      </c>
      <c r="CE98" s="59">
        <f t="shared" si="94"/>
        <v>363.10016759175278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140.64291880662455</v>
      </c>
      <c r="CL98" s="21">
        <f>EXP(-LN(2)/25)*CL97+(1-EXP(-LN(2)/25))/(LN(2)/25)*Calculateur!CG98*Calculateur!CI98*VLOOKUP('Données projet'!$B$12,Paramètres!$A$1:$I$89,3,0)*0.475*44/12</f>
        <v>38.378672614701351</v>
      </c>
      <c r="CM98" s="21">
        <f>EXP(-LN(2)/2)*CM97+(1-EXP(-LN(2)/2))/(LN(2)/2)*CG98*CJ98*VLOOKUP('Données projet'!$B$12,Paramètres!$A$1:$I$89,3,0)*0.475*44/12</f>
        <v>1.3034782291433535E-2</v>
      </c>
      <c r="CN98" s="22">
        <f t="shared" si="66"/>
        <v>179.03462620361734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68.293021962933381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3">
        <f>'Scénario référence'!$B$16*5+'Scénario référence'!$B$17*0+'Scénario référence'!$B$18*5</f>
        <v>1.7999999999999998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6.5999999999999988</v>
      </c>
      <c r="H99" s="67">
        <f t="shared" si="56"/>
        <v>230.26666666666665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931.93113924310069</v>
      </c>
      <c r="S99" s="59">
        <f ca="1">AVERAGE(OFFSET($R$3,0,0,'Données projet'!$E$9+1,1))-AVERAGE(OFFSET($H$3,0,0,'Données projet'!$E$9+1,1))</f>
        <v>652.18744712713965</v>
      </c>
      <c r="T99" s="59">
        <f t="shared" si="88"/>
        <v>288.65635870281199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287.1829921240348</v>
      </c>
      <c r="AN99" s="59">
        <f ca="1">AVERAGE(OFFSET($AM$3,0,0,'Données projet'!$E$10+1,1))-AVERAGE(OFFSET($H$3,0,0,'Données projet'!$E$10+1,1))</f>
        <v>307.94699176410495</v>
      </c>
      <c r="AO99" s="59">
        <f t="shared" si="90"/>
        <v>314.22983137038875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68.072985197673376</v>
      </c>
      <c r="AV99" s="21">
        <f>EXP(-LN(2)/25)*AV98+(1-EXP(-LN(2)/25))/(LN(2)/25)*Calculateur!AQ99*Calculateur!AS99*VLOOKUP('Données projet'!$B$10,Paramètres!$A$1:$I$89,3,0)*0.475*44/12</f>
        <v>17.853591052222519</v>
      </c>
      <c r="AW99" s="21">
        <f>EXP(-LN(2)/2)*AW98+(1-EXP(-LN(2)/2))/(LN(2)/2)*AQ99*AT99*VLOOKUP('Données projet'!$B$10,Paramètres!$A$1:$I$89,3,0)*0.475*44/12</f>
        <v>2.2873475198117635E-4</v>
      </c>
      <c r="AX99" s="21">
        <f t="shared" si="60"/>
        <v>85.926804984647887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8.9230000000000018</v>
      </c>
      <c r="BD99" s="12">
        <f>IF('Données projet'!$A$88&gt;35,BD98+BC99-BL98,IF(A99&lt;'Données projet'!$A$88,$BA$205^A99,IF(A99='Données projet'!$A$88,'Données projet'!$B$88,BD98+BC99-BL98)))</f>
        <v>311.81499999999988</v>
      </c>
      <c r="BE99" s="13">
        <f>BD99*VLOOKUP('Données projet'!$B$11,Paramètres!$A$1:$I$89,3,0)*VLOOKUP('Données projet'!$B$11,Paramètres!$A$1:$I$89,5,0)</f>
        <v>145.92941999999994</v>
      </c>
      <c r="BF99" s="13">
        <f t="shared" si="91"/>
        <v>37.652055723021974</v>
      </c>
      <c r="BG99" s="20">
        <f t="shared" si="61"/>
        <v>319.7377368842632</v>
      </c>
      <c r="BH99" s="59">
        <f t="shared" si="62"/>
        <v>606.92072900829601</v>
      </c>
      <c r="BI99" s="59">
        <f ca="1">AVERAGE(OFFSET($BH$3,0,0,'Données projet'!$E$11+1,1))-AVERAGE(OFFSET($H$3,0,0,'Données projet'!$E$11+1,1))</f>
        <v>346.55780187946573</v>
      </c>
      <c r="BJ99" s="59">
        <f t="shared" si="92"/>
        <v>297.28652094809149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106.26427100906713</v>
      </c>
      <c r="BQ99" s="21">
        <f>EXP(-LN(2)/25)*BQ98+(1-EXP(-LN(2)/25))/(LN(2)/25)*Calculateur!BL99*Calculateur!BN99*VLOOKUP('Données projet'!$B$11,Paramètres!$A$1:$I$89,3,0)*0.475*44/12</f>
        <v>33.192428217707885</v>
      </c>
      <c r="BR99" s="21">
        <f>EXP(-LN(2)/2)*BR98+(1-EXP(-LN(2)/2))/(LN(2)/2)*BL99*BO99*VLOOKUP('Données projet'!$B$11,Paramètres!$A$1:$I$89,3,0)*0.475*44/12</f>
        <v>5.0695289003935518</v>
      </c>
      <c r="BS99" s="22">
        <f t="shared" si="63"/>
        <v>144.52622812716857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5.6843418860808015E-13</v>
      </c>
      <c r="BZ99" s="13">
        <f>BY99*VLOOKUP('Données projet'!$B$12,Paramètres!$A$1:$I$89,3,0)*VLOOKUP('Données projet'!$B$12,Paramètres!$A$1:$I$89,5,0)</f>
        <v>3.177547114319168E-13</v>
      </c>
      <c r="CA99" s="13">
        <f t="shared" si="93"/>
        <v>4.1725404435445377E-12</v>
      </c>
      <c r="CB99" s="20">
        <f t="shared" si="64"/>
        <v>7.820597394917325E-12</v>
      </c>
      <c r="CC99" s="59">
        <f t="shared" si="65"/>
        <v>287.18299212404065</v>
      </c>
      <c r="CD99" s="59">
        <f ca="1">AVERAGE(OFFSET($CC$3,0,0,'Données projet'!$E$12+1,1))-AVERAGE(OFFSET($H$3,0,0,'Données projet'!$E$12+1,1))</f>
        <v>394.00476121021177</v>
      </c>
      <c r="CE99" s="59">
        <f t="shared" si="94"/>
        <v>363.10016759175278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137.88499695253668</v>
      </c>
      <c r="CL99" s="21">
        <f>EXP(-LN(2)/25)*CL98+(1-EXP(-LN(2)/25))/(LN(2)/25)*Calculateur!CG99*Calculateur!CI99*VLOOKUP('Données projet'!$B$12,Paramètres!$A$1:$I$89,3,0)*0.475*44/12</f>
        <v>37.329205793805663</v>
      </c>
      <c r="CM99" s="21">
        <f>EXP(-LN(2)/2)*CM98+(1-EXP(-LN(2)/2))/(LN(2)/2)*CG99*CJ99*VLOOKUP('Données projet'!$B$12,Paramètres!$A$1:$I$89,3,0)*0.475*44/12</f>
        <v>9.2169829495629772E-3</v>
      </c>
      <c r="CN99" s="22">
        <f t="shared" si="66"/>
        <v>175.22341972929192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68.322634215645309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3">
        <f>'Scénario référence'!$B$16*5+'Scénario référence'!$B$17*0+'Scénario référence'!$B$18*5</f>
        <v>1.7999999999999998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6.5999999999999988</v>
      </c>
      <c r="H100" s="67">
        <f t="shared" si="56"/>
        <v>230.26666666666665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949.07959128588254</v>
      </c>
      <c r="S100" s="59">
        <f ca="1">AVERAGE(OFFSET($R$3,0,0,'Données projet'!$E$9+1,1))-AVERAGE(OFFSET($H$3,0,0,'Données projet'!$E$9+1,1))</f>
        <v>652.18744712713965</v>
      </c>
      <c r="T100" s="59">
        <f t="shared" si="88"/>
        <v>288.65635870281199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287.28968679391312</v>
      </c>
      <c r="AN100" s="59">
        <f ca="1">AVERAGE(OFFSET($AM$3,0,0,'Données projet'!$E$10+1,1))-AVERAGE(OFFSET($H$3,0,0,'Données projet'!$E$10+1,1))</f>
        <v>307.94699176410495</v>
      </c>
      <c r="AO100" s="59">
        <f t="shared" si="90"/>
        <v>314.22983137038875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66.738115478368172</v>
      </c>
      <c r="AV100" s="21">
        <f>EXP(-LN(2)/25)*AV99+(1-EXP(-LN(2)/25))/(LN(2)/25)*Calculateur!AQ100*Calculateur!AS100*VLOOKUP('Données projet'!$B$10,Paramètres!$A$1:$I$89,3,0)*0.475*44/12</f>
        <v>17.365383666019945</v>
      </c>
      <c r="AW100" s="21">
        <f>EXP(-LN(2)/2)*AW99+(1-EXP(-LN(2)/2))/(LN(2)/2)*AQ100*AT100*VLOOKUP('Données projet'!$B$10,Paramètres!$A$1:$I$89,3,0)*0.475*44/12</f>
        <v>1.6173989421891288E-4</v>
      </c>
      <c r="AX100" s="21">
        <f t="shared" si="60"/>
        <v>84.103660884282334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8.9230000000000018</v>
      </c>
      <c r="BD100" s="12">
        <f>IF('Données projet'!$A$88&gt;35,BD99+BC100-BL99,IF(A100&lt;'Données projet'!$A$88,$BA$205^A100,IF(A100='Données projet'!$A$88,'Données projet'!$B$88,BD99+BC100-BL99)))</f>
        <v>320.73799999999989</v>
      </c>
      <c r="BE100" s="13">
        <f>BD100*VLOOKUP('Données projet'!$B$11,Paramètres!$A$1:$I$89,3,0)*VLOOKUP('Données projet'!$B$11,Paramètres!$A$1:$I$89,5,0)</f>
        <v>150.10538399999993</v>
      </c>
      <c r="BF100" s="13">
        <f t="shared" si="91"/>
        <v>38.602533534019692</v>
      </c>
      <c r="BG100" s="20">
        <f t="shared" si="61"/>
        <v>328.66628970508418</v>
      </c>
      <c r="BH100" s="59">
        <f t="shared" si="62"/>
        <v>615.95597649899537</v>
      </c>
      <c r="BI100" s="59">
        <f ca="1">AVERAGE(OFFSET($BH$3,0,0,'Données projet'!$E$11+1,1))-AVERAGE(OFFSET($H$3,0,0,'Données projet'!$E$11+1,1))</f>
        <v>346.55780187946573</v>
      </c>
      <c r="BJ100" s="59">
        <f t="shared" si="92"/>
        <v>297.28652094809149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104.18049346938471</v>
      </c>
      <c r="BQ100" s="21">
        <f>EXP(-LN(2)/25)*BQ99+(1-EXP(-LN(2)/25))/(LN(2)/25)*Calculateur!BL100*Calculateur!BN100*VLOOKUP('Données projet'!$B$11,Paramètres!$A$1:$I$89,3,0)*0.475*44/12</f>
        <v>32.284779522580727</v>
      </c>
      <c r="BR100" s="21">
        <f>EXP(-LN(2)/2)*BR99+(1-EXP(-LN(2)/2))/(LN(2)/2)*BL100*BO100*VLOOKUP('Données projet'!$B$11,Paramètres!$A$1:$I$89,3,0)*0.475*44/12</f>
        <v>3.5846982628894621</v>
      </c>
      <c r="BS100" s="22">
        <f t="shared" si="63"/>
        <v>140.04997125485491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5.6843418860808015E-13</v>
      </c>
      <c r="BZ100" s="13">
        <f>BY100*VLOOKUP('Données projet'!$B$12,Paramètres!$A$1:$I$89,3,0)*VLOOKUP('Données projet'!$B$12,Paramètres!$A$1:$I$89,5,0)</f>
        <v>3.177547114319168E-13</v>
      </c>
      <c r="CA100" s="13">
        <f t="shared" si="93"/>
        <v>4.1725404435445377E-12</v>
      </c>
      <c r="CB100" s="20">
        <f t="shared" si="64"/>
        <v>7.820597394917325E-12</v>
      </c>
      <c r="CC100" s="59">
        <f t="shared" si="65"/>
        <v>287.28968679391897</v>
      </c>
      <c r="CD100" s="59">
        <f ca="1">AVERAGE(OFFSET($CC$3,0,0,'Données projet'!$E$12+1,1))-AVERAGE(OFFSET($H$3,0,0,'Données projet'!$E$12+1,1))</f>
        <v>394.00476121021177</v>
      </c>
      <c r="CE100" s="59">
        <f t="shared" si="94"/>
        <v>363.10016759175278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135.18115626384125</v>
      </c>
      <c r="CL100" s="21">
        <f>EXP(-LN(2)/25)*CL99+(1-EXP(-LN(2)/25))/(LN(2)/25)*Calculateur!CG100*Calculateur!CI100*VLOOKUP('Données projet'!$B$12,Paramètres!$A$1:$I$89,3,0)*0.475*44/12</f>
        <v>36.308436698316434</v>
      </c>
      <c r="CM100" s="21">
        <f>EXP(-LN(2)/2)*CM99+(1-EXP(-LN(2)/2))/(LN(2)/2)*CG100*CJ100*VLOOKUP('Données projet'!$B$12,Paramètres!$A$1:$I$89,3,0)*0.475*44/12</f>
        <v>6.5173911457167676E-3</v>
      </c>
      <c r="CN100" s="22">
        <f t="shared" si="66"/>
        <v>171.49611035330338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68.351732761975768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3">
        <f>'Scénario référence'!$B$16*5+'Scénario référence'!$B$17*0+'Scénario référence'!$B$18*5</f>
        <v>1.7999999999999998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6.5999999999999988</v>
      </c>
      <c r="H101" s="67">
        <f t="shared" si="56"/>
        <v>230.26666666666665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966.21716250501004</v>
      </c>
      <c r="S101" s="59">
        <f ca="1">AVERAGE(OFFSET($R$3,0,0,'Données projet'!$E$9+1,1))-AVERAGE(OFFSET($H$3,0,0,'Données projet'!$E$9+1,1))</f>
        <v>652.18744712713965</v>
      </c>
      <c r="T101" s="59">
        <f t="shared" si="88"/>
        <v>288.65635870281199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287.39453054980265</v>
      </c>
      <c r="AN101" s="59">
        <f ca="1">AVERAGE(OFFSET($AM$3,0,0,'Données projet'!$E$10+1,1))-AVERAGE(OFFSET($H$3,0,0,'Données projet'!$E$10+1,1))</f>
        <v>307.94699176410495</v>
      </c>
      <c r="AO101" s="59">
        <f t="shared" si="90"/>
        <v>314.22983137038875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65.429421740068406</v>
      </c>
      <c r="AV101" s="21">
        <f>EXP(-LN(2)/25)*AV100+(1-EXP(-LN(2)/25))/(LN(2)/25)*Calculateur!AQ101*Calculateur!AS101*VLOOKUP('Données projet'!$B$10,Paramètres!$A$1:$I$89,3,0)*0.475*44/12</f>
        <v>16.890526336466792</v>
      </c>
      <c r="AW101" s="21">
        <f>EXP(-LN(2)/2)*AW100+(1-EXP(-LN(2)/2))/(LN(2)/2)*AQ101*AT101*VLOOKUP('Données projet'!$B$10,Paramètres!$A$1:$I$89,3,0)*0.475*44/12</f>
        <v>1.1436737599058818E-4</v>
      </c>
      <c r="AX101" s="21">
        <f t="shared" si="60"/>
        <v>82.320062443911183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8.9230000000000018</v>
      </c>
      <c r="BD101" s="12">
        <f>IF('Données projet'!$A$88&gt;35,BD100+BC101-BL100,IF(A101&lt;'Données projet'!$A$88,$BA$205^A101,IF(A101='Données projet'!$A$88,'Données projet'!$B$88,BD100+BC101-BL100)))</f>
        <v>329.66099999999989</v>
      </c>
      <c r="BE101" s="13">
        <f>BD101*VLOOKUP('Données projet'!$B$11,Paramètres!$A$1:$I$89,3,0)*VLOOKUP('Données projet'!$B$11,Paramètres!$A$1:$I$89,5,0)</f>
        <v>154.28134799999995</v>
      </c>
      <c r="BF101" s="13">
        <f t="shared" si="91"/>
        <v>39.549937997660784</v>
      </c>
      <c r="BG101" s="20">
        <f t="shared" si="61"/>
        <v>337.58948977925905</v>
      </c>
      <c r="BH101" s="59">
        <f t="shared" si="62"/>
        <v>624.98402032905972</v>
      </c>
      <c r="BI101" s="59">
        <f ca="1">AVERAGE(OFFSET($BH$3,0,0,'Données projet'!$E$11+1,1))-AVERAGE(OFFSET($H$3,0,0,'Données projet'!$E$11+1,1))</f>
        <v>346.55780187946573</v>
      </c>
      <c r="BJ101" s="59">
        <f t="shared" si="92"/>
        <v>297.28652094809149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102.13757753627667</v>
      </c>
      <c r="BQ101" s="21">
        <f>EXP(-LN(2)/25)*BQ100+(1-EXP(-LN(2)/25))/(LN(2)/25)*Calculateur!BL101*Calculateur!BN101*VLOOKUP('Données projet'!$B$11,Paramètres!$A$1:$I$89,3,0)*0.475*44/12</f>
        <v>31.401950528752991</v>
      </c>
      <c r="BR101" s="21">
        <f>EXP(-LN(2)/2)*BR100+(1-EXP(-LN(2)/2))/(LN(2)/2)*BL101*BO101*VLOOKUP('Données projet'!$B$11,Paramètres!$A$1:$I$89,3,0)*0.475*44/12</f>
        <v>2.5347644501967759</v>
      </c>
      <c r="BS101" s="22">
        <f t="shared" si="63"/>
        <v>136.07429251522643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5.6843418860808015E-13</v>
      </c>
      <c r="BZ101" s="13">
        <f>BY101*VLOOKUP('Données projet'!$B$12,Paramètres!$A$1:$I$89,3,0)*VLOOKUP('Données projet'!$B$12,Paramètres!$A$1:$I$89,5,0)</f>
        <v>3.177547114319168E-13</v>
      </c>
      <c r="CA101" s="13">
        <f t="shared" si="93"/>
        <v>4.1725404435445377E-12</v>
      </c>
      <c r="CB101" s="20">
        <f t="shared" si="64"/>
        <v>7.820597394917325E-12</v>
      </c>
      <c r="CC101" s="59">
        <f t="shared" si="65"/>
        <v>287.39453054980851</v>
      </c>
      <c r="CD101" s="59">
        <f ca="1">AVERAGE(OFFSET($CC$3,0,0,'Données projet'!$E$12+1,1))-AVERAGE(OFFSET($H$3,0,0,'Données projet'!$E$12+1,1))</f>
        <v>394.00476121021177</v>
      </c>
      <c r="CE101" s="59">
        <f t="shared" si="94"/>
        <v>363.10016759175278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132.53033624187114</v>
      </c>
      <c r="CL101" s="21">
        <f>EXP(-LN(2)/25)*CL100+(1-EXP(-LN(2)/25))/(LN(2)/25)*Calculateur!CG101*Calculateur!CI101*VLOOKUP('Données projet'!$B$12,Paramètres!$A$1:$I$89,3,0)*0.475*44/12</f>
        <v>35.31558058742327</v>
      </c>
      <c r="CM101" s="21">
        <f>EXP(-LN(2)/2)*CM100+(1-EXP(-LN(2)/2))/(LN(2)/2)*CG101*CJ101*VLOOKUP('Données projet'!$B$12,Paramètres!$A$1:$I$89,3,0)*0.475*44/12</f>
        <v>4.6084914747814886E-3</v>
      </c>
      <c r="CN101" s="22">
        <f t="shared" si="66"/>
        <v>167.85052532076921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68.380326513581991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3">
        <f>'Scénario référence'!$B$16*5+'Scénario référence'!$B$17*0+'Scénario référence'!$B$18*5</f>
        <v>1.7999999999999998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6.5999999999999988</v>
      </c>
      <c r="H102" s="67">
        <f t="shared" si="56"/>
        <v>230.26666666666665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983.34414330912227</v>
      </c>
      <c r="S102" s="59">
        <f ca="1">AVERAGE(OFFSET($R$3,0,0,'Données projet'!$E$9+1,1))-AVERAGE(OFFSET($H$3,0,0,'Données projet'!$E$9+1,1))</f>
        <v>652.18744712713965</v>
      </c>
      <c r="T102" s="59">
        <f t="shared" si="88"/>
        <v>288.65635870281199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287.497555500923</v>
      </c>
      <c r="AN102" s="59">
        <f ca="1">AVERAGE(OFFSET($AM$3,0,0,'Données projet'!$E$10+1,1))-AVERAGE(OFFSET($H$3,0,0,'Données projet'!$E$10+1,1))</f>
        <v>307.94699176410495</v>
      </c>
      <c r="AO102" s="59">
        <f t="shared" si="90"/>
        <v>314.22983137038875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64.146390687752344</v>
      </c>
      <c r="AV102" s="21">
        <f>EXP(-LN(2)/25)*AV101+(1-EXP(-LN(2)/25))/(LN(2)/25)*Calculateur!AQ102*Calculateur!AS102*VLOOKUP('Données projet'!$B$10,Paramètres!$A$1:$I$89,3,0)*0.475*44/12</f>
        <v>16.428654005561931</v>
      </c>
      <c r="AW102" s="21">
        <f>EXP(-LN(2)/2)*AW101+(1-EXP(-LN(2)/2))/(LN(2)/2)*AQ102*AT102*VLOOKUP('Données projet'!$B$10,Paramètres!$A$1:$I$89,3,0)*0.475*44/12</f>
        <v>8.0869947109456442E-5</v>
      </c>
      <c r="AX102" s="21">
        <f t="shared" si="60"/>
        <v>80.575125563261395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8.9230000000000018</v>
      </c>
      <c r="BD102" s="12">
        <f>IF('Données projet'!$A$88&gt;35,BD101+BC102-BL101,IF(A102&lt;'Données projet'!$A$88,$BA$205^A102,IF(A102='Données projet'!$A$88,'Données projet'!$B$88,BD101+BC102-BL101)))</f>
        <v>338.58399999999989</v>
      </c>
      <c r="BE102" s="13">
        <f>BD102*VLOOKUP('Données projet'!$B$11,Paramètres!$A$1:$I$89,3,0)*VLOOKUP('Données projet'!$B$11,Paramètres!$A$1:$I$89,5,0)</f>
        <v>158.45731199999994</v>
      </c>
      <c r="BF102" s="13">
        <f t="shared" si="91"/>
        <v>40.494361860594289</v>
      </c>
      <c r="BG102" s="20">
        <f t="shared" si="61"/>
        <v>346.50749864053495</v>
      </c>
      <c r="BH102" s="59">
        <f t="shared" si="62"/>
        <v>634.00505414145596</v>
      </c>
      <c r="BI102" s="59">
        <f ca="1">AVERAGE(OFFSET($BH$3,0,0,'Données projet'!$E$11+1,1))-AVERAGE(OFFSET($H$3,0,0,'Données projet'!$E$11+1,1))</f>
        <v>346.55780187946573</v>
      </c>
      <c r="BJ102" s="59">
        <f t="shared" si="92"/>
        <v>297.28652094809149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100.13472193856119</v>
      </c>
      <c r="BQ102" s="21">
        <f>EXP(-LN(2)/25)*BQ101+(1-EXP(-LN(2)/25))/(LN(2)/25)*Calculateur!BL102*Calculateur!BN102*VLOOKUP('Données projet'!$B$11,Paramètres!$A$1:$I$89,3,0)*0.475*44/12</f>
        <v>30.543262540187431</v>
      </c>
      <c r="BR102" s="21">
        <f>EXP(-LN(2)/2)*BR101+(1-EXP(-LN(2)/2))/(LN(2)/2)*BL102*BO102*VLOOKUP('Données projet'!$B$11,Paramètres!$A$1:$I$89,3,0)*0.475*44/12</f>
        <v>1.7923491314447311</v>
      </c>
      <c r="BS102" s="22">
        <f t="shared" si="63"/>
        <v>132.47033361019334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5.6843418860808015E-13</v>
      </c>
      <c r="BZ102" s="13">
        <f>BY102*VLOOKUP('Données projet'!$B$12,Paramètres!$A$1:$I$89,3,0)*VLOOKUP('Données projet'!$B$12,Paramètres!$A$1:$I$89,5,0)</f>
        <v>3.177547114319168E-13</v>
      </c>
      <c r="CA102" s="13">
        <f t="shared" si="93"/>
        <v>4.1725404435445377E-12</v>
      </c>
      <c r="CB102" s="20">
        <f t="shared" si="64"/>
        <v>7.820597394917325E-12</v>
      </c>
      <c r="CC102" s="59">
        <f t="shared" si="65"/>
        <v>287.49755550092885</v>
      </c>
      <c r="CD102" s="59">
        <f ca="1">AVERAGE(OFFSET($CC$3,0,0,'Données projet'!$E$12+1,1))-AVERAGE(OFFSET($H$3,0,0,'Données projet'!$E$12+1,1))</f>
        <v>394.00476121021177</v>
      </c>
      <c r="CE102" s="59">
        <f t="shared" si="94"/>
        <v>363.10016759175278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129.93149718369131</v>
      </c>
      <c r="CL102" s="21">
        <f>EXP(-LN(2)/25)*CL101+(1-EXP(-LN(2)/25))/(LN(2)/25)*Calculateur!CG102*Calculateur!CI102*VLOOKUP('Données projet'!$B$12,Paramètres!$A$1:$I$89,3,0)*0.475*44/12</f>
        <v>34.349874179094513</v>
      </c>
      <c r="CM102" s="21">
        <f>EXP(-LN(2)/2)*CM101+(1-EXP(-LN(2)/2))/(LN(2)/2)*CG102*CJ102*VLOOKUP('Données projet'!$B$12,Paramètres!$A$1:$I$89,3,0)*0.475*44/12</f>
        <v>3.2586955728583838E-3</v>
      </c>
      <c r="CN102" s="22">
        <f t="shared" si="66"/>
        <v>164.28463005835869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68.408424227523909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3">
        <f>'Scénario référence'!$B$16*5+'Scénario référence'!$B$17*0+'Scénario référence'!$B$18*5</f>
        <v>1.7999999999999998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6.5999999999999988</v>
      </c>
      <c r="H103" s="67">
        <f t="shared" si="56"/>
        <v>230.26666666666665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1000.4608098915419</v>
      </c>
      <c r="S103" s="59">
        <f ca="1">AVERAGE(OFFSET($R$3,0,0,'Données projet'!$E$9+1,1))-AVERAGE(OFFSET($H$3,0,0,'Données projet'!$E$9+1,1))</f>
        <v>652.18744712713965</v>
      </c>
      <c r="T103" s="59">
        <f t="shared" si="88"/>
        <v>288.65635870281199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287.59879319947061</v>
      </c>
      <c r="AN103" s="59">
        <f ca="1">AVERAGE(OFFSET($AM$3,0,0,'Données projet'!$E$10+1,1))-AVERAGE(OFFSET($H$3,0,0,'Données projet'!$E$10+1,1))</f>
        <v>307.94699176410495</v>
      </c>
      <c r="AO103" s="59">
        <f t="shared" si="90"/>
        <v>314.22983137038875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62.888519091800525</v>
      </c>
      <c r="AV103" s="21">
        <f>EXP(-LN(2)/25)*AV102+(1-EXP(-LN(2)/25))/(LN(2)/25)*Calculateur!AQ103*Calculateur!AS103*VLOOKUP('Données projet'!$B$10,Paramètres!$A$1:$I$89,3,0)*0.475*44/12</f>
        <v>15.979411597834474</v>
      </c>
      <c r="AW103" s="21">
        <f>EXP(-LN(2)/2)*AW102+(1-EXP(-LN(2)/2))/(LN(2)/2)*AQ103*AT103*VLOOKUP('Données projet'!$B$10,Paramètres!$A$1:$I$89,3,0)*0.475*44/12</f>
        <v>5.7183687995294088E-5</v>
      </c>
      <c r="AX103" s="21">
        <f t="shared" si="60"/>
        <v>78.867987873323003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8.9230000000000018</v>
      </c>
      <c r="BD103" s="12">
        <f>IF('Données projet'!$A$88&gt;35,BD102+BC103-BL102,IF(A103&lt;'Données projet'!$A$88,$BA$205^A103,IF(A103='Données projet'!$A$88,'Données projet'!$B$88,BD102+BC103-BL102)))</f>
        <v>347.50699999999989</v>
      </c>
      <c r="BE103" s="13">
        <f>BD103*VLOOKUP('Données projet'!$B$11,Paramètres!$A$1:$I$89,3,0)*VLOOKUP('Données projet'!$B$11,Paramètres!$A$1:$I$89,5,0)</f>
        <v>162.63327599999994</v>
      </c>
      <c r="BF103" s="13">
        <f t="shared" si="91"/>
        <v>41.435892702614055</v>
      </c>
      <c r="BG103" s="20">
        <f t="shared" si="61"/>
        <v>355.42046882371937</v>
      </c>
      <c r="BH103" s="59">
        <f t="shared" si="62"/>
        <v>643.01926202318805</v>
      </c>
      <c r="BI103" s="59">
        <f ca="1">AVERAGE(OFFSET($BH$3,0,0,'Données projet'!$E$11+1,1))-AVERAGE(OFFSET($H$3,0,0,'Données projet'!$E$11+1,1))</f>
        <v>346.55780187946573</v>
      </c>
      <c r="BJ103" s="59">
        <f t="shared" si="92"/>
        <v>297.28652094809149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98.171141117495608</v>
      </c>
      <c r="BQ103" s="21">
        <f>EXP(-LN(2)/25)*BQ102+(1-EXP(-LN(2)/25))/(LN(2)/25)*Calculateur!BL103*Calculateur!BN103*VLOOKUP('Données projet'!$B$11,Paramètres!$A$1:$I$89,3,0)*0.475*44/12</f>
        <v>29.708055419825637</v>
      </c>
      <c r="BR103" s="21">
        <f>EXP(-LN(2)/2)*BR102+(1-EXP(-LN(2)/2))/(LN(2)/2)*BL103*BO103*VLOOKUP('Données projet'!$B$11,Paramètres!$A$1:$I$89,3,0)*0.475*44/12</f>
        <v>1.2673822250983879</v>
      </c>
      <c r="BS103" s="22">
        <f t="shared" si="63"/>
        <v>129.14657876241964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5.6843418860808015E-13</v>
      </c>
      <c r="BZ103" s="13">
        <f>BY103*VLOOKUP('Données projet'!$B$12,Paramètres!$A$1:$I$89,3,0)*VLOOKUP('Données projet'!$B$12,Paramètres!$A$1:$I$89,5,0)</f>
        <v>3.177547114319168E-13</v>
      </c>
      <c r="CA103" s="13">
        <f t="shared" si="93"/>
        <v>4.1725404435445377E-12</v>
      </c>
      <c r="CB103" s="20">
        <f t="shared" si="64"/>
        <v>7.820597394917325E-12</v>
      </c>
      <c r="CC103" s="59">
        <f t="shared" si="65"/>
        <v>287.59879319947646</v>
      </c>
      <c r="CD103" s="59">
        <f ca="1">AVERAGE(OFFSET($CC$3,0,0,'Données projet'!$E$12+1,1))-AVERAGE(OFFSET($H$3,0,0,'Données projet'!$E$12+1,1))</f>
        <v>394.00476121021177</v>
      </c>
      <c r="CE103" s="59">
        <f t="shared" si="94"/>
        <v>363.10016759175278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127.38361977430708</v>
      </c>
      <c r="CL103" s="21">
        <f>EXP(-LN(2)/25)*CL102+(1-EXP(-LN(2)/25))/(LN(2)/25)*Calculateur!CG103*Calculateur!CI103*VLOOKUP('Données projet'!$B$12,Paramètres!$A$1:$I$89,3,0)*0.475*44/12</f>
        <v>33.410575063285798</v>
      </c>
      <c r="CM103" s="21">
        <f>EXP(-LN(2)/2)*CM102+(1-EXP(-LN(2)/2))/(LN(2)/2)*CG103*CJ103*VLOOKUP('Données projet'!$B$12,Paramètres!$A$1:$I$89,3,0)*0.475*44/12</f>
        <v>2.3042457373907443E-3</v>
      </c>
      <c r="CN103" s="22">
        <f t="shared" si="66"/>
        <v>160.79649908333025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68.436034508945994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3">
        <f>'Scénario référence'!$B$16*5+'Scénario référence'!$B$17*0+'Scénario référence'!$B$18*5</f>
        <v>1.7999999999999998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6.5999999999999988</v>
      </c>
      <c r="H104" s="67">
        <f t="shared" si="56"/>
        <v>230.26666666666665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1017.5674252775823</v>
      </c>
      <c r="S104" s="59">
        <f ca="1">AVERAGE(OFFSET($R$3,0,0,'Données projet'!$E$9+1,1))-AVERAGE(OFFSET($H$3,0,0,'Données projet'!$E$9+1,1))</f>
        <v>652.18744712713965</v>
      </c>
      <c r="T104" s="59">
        <f t="shared" si="88"/>
        <v>288.65635870281199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287.69827465028209</v>
      </c>
      <c r="AN104" s="59">
        <f ca="1">AVERAGE(OFFSET($AM$3,0,0,'Données projet'!$E$10+1,1))-AVERAGE(OFFSET($H$3,0,0,'Données projet'!$E$10+1,1))</f>
        <v>307.94699176410495</v>
      </c>
      <c r="AO104" s="59">
        <f t="shared" si="90"/>
        <v>314.22983137038875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61.655313590619407</v>
      </c>
      <c r="AV104" s="21">
        <f>EXP(-LN(2)/25)*AV103+(1-EXP(-LN(2)/25))/(LN(2)/25)*Calculateur!AQ104*Calculateur!AS104*VLOOKUP('Données projet'!$B$10,Paramètres!$A$1:$I$89,3,0)*0.475*44/12</f>
        <v>15.542453747370956</v>
      </c>
      <c r="AW104" s="21">
        <f>EXP(-LN(2)/2)*AW103+(1-EXP(-LN(2)/2))/(LN(2)/2)*AQ104*AT104*VLOOKUP('Données projet'!$B$10,Paramètres!$A$1:$I$89,3,0)*0.475*44/12</f>
        <v>4.0434973554728221E-5</v>
      </c>
      <c r="AX104" s="21">
        <f t="shared" si="60"/>
        <v>77.197807772963927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>
        <f>VLOOKUP(A104,'Données projet'!$A$87:$I$107,2,0)</f>
        <v>356.43</v>
      </c>
      <c r="BB104" s="12">
        <f>VLOOKUP(A104,'Données projet'!$A$87:$I$107,9,0)</f>
        <v>8.9230000000000018</v>
      </c>
      <c r="BC104" s="12">
        <f t="array" ref="BC104">INDEX(BB:BB,MIN(IF(ISNUMBER(BB104:BB300),ROW(BB104:BB300),"")))</f>
        <v>8.9230000000000018</v>
      </c>
      <c r="BD104" s="12">
        <f>IF('Données projet'!$A$88&gt;35,BD103+BC104-BL103,IF(A104&lt;'Données projet'!$A$88,$BA$205^A104,IF(A104='Données projet'!$A$88,'Données projet'!$B$88,BD103+BC104-BL103)))</f>
        <v>356.42999999999989</v>
      </c>
      <c r="BE104" s="13">
        <f>BD104*VLOOKUP('Données projet'!$B$11,Paramètres!$A$1:$I$89,3,0)*VLOOKUP('Données projet'!$B$11,Paramètres!$A$1:$I$89,5,0)</f>
        <v>166.80923999999996</v>
      </c>
      <c r="BF104" s="13">
        <f t="shared" si="91"/>
        <v>42.374613349678505</v>
      </c>
      <c r="BG104" s="20">
        <f t="shared" si="61"/>
        <v>364.32854458402329</v>
      </c>
      <c r="BH104" s="59">
        <f t="shared" si="62"/>
        <v>652.02681923430339</v>
      </c>
      <c r="BI104" s="59">
        <f ca="1">AVERAGE(OFFSET($BH$3,0,0,'Données projet'!$E$11+1,1))-AVERAGE(OFFSET($H$3,0,0,'Données projet'!$E$11+1,1))</f>
        <v>346.55780187946573</v>
      </c>
      <c r="BJ104" s="59">
        <f t="shared" si="92"/>
        <v>297.28652094809149</v>
      </c>
      <c r="BK104" s="15">
        <f>IF(ISNA(VLOOKUP(A104,'Données projet'!$A$87:$I$107,3,0)),0,VLOOKUP(A104,'Données projet'!$A$87:$I$107,3,0))</f>
        <v>8</v>
      </c>
      <c r="BL104" s="15">
        <f>IF(ISNA(VLOOKUP(A104,'Données projet'!$A$87:$I$107,4,0)),0,VLOOKUP(A104,'Données projet'!$A$87:$I$107,4,0))</f>
        <v>356.43</v>
      </c>
      <c r="BM104" s="16">
        <f>IF(ISNA(VLOOKUP(A104,'Données projet'!$A$87:$I$107,5,0)),0%,VLOOKUP(A104,'Données projet'!$A$87:$I$107,5,0)*VLOOKUP('Données projet'!$B$11,Paramètres!$A$1:$I$89,7,0))</f>
        <v>0.33</v>
      </c>
      <c r="BN104" s="16">
        <f>IF(ISNA(VLOOKUP(A104,'Données projet'!$A$87:$I$107,6,0)),0%,VLOOKUP(A104,'Données projet'!$A$87:$I$107,6,0)*VLOOKUP('Données projet'!$B$11,Paramètres!$A$1:$I$89,7,0))</f>
        <v>0.11000000000000001</v>
      </c>
      <c r="BO104" s="16">
        <f>IF(ISNA(VLOOKUP(A104,'Données projet'!$A$87:$I$107,7,0)),0%,VLOOKUP(A104,'Données projet'!$A$87:$I$107,7,0))</f>
        <v>0.2</v>
      </c>
      <c r="BP104" s="21">
        <f>EXP(-LN(2)/35)*BP103+(1-EXP(-LN(2)/35))/(LN(2)/35)*BL104*BM104*VLOOKUP('Données projet'!$B$11,Paramètres!$A$1:$I$89,3,0)*0.475*44/12</f>
        <v>169.26952376421667</v>
      </c>
      <c r="BQ104" s="21">
        <f>EXP(-LN(2)/25)*BQ103+(1-EXP(-LN(2)/25))/(LN(2)/25)*Calculateur!BL104*Calculateur!BN104*VLOOKUP('Données projet'!$B$11,Paramètres!$A$1:$I$89,3,0)*0.475*44/12</f>
        <v>53.140999636744255</v>
      </c>
      <c r="BR104" s="21">
        <f>EXP(-LN(2)/2)*BR103+(1-EXP(-LN(2)/2))/(LN(2)/2)*BL104*BO104*VLOOKUP('Données projet'!$B$11,Paramètres!$A$1:$I$89,3,0)*0.475*44/12</f>
        <v>38.669536376491102</v>
      </c>
      <c r="BS104" s="22">
        <f t="shared" si="63"/>
        <v>261.08005977745205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5.6843418860808015E-13</v>
      </c>
      <c r="BZ104" s="13">
        <f>BY104*VLOOKUP('Données projet'!$B$12,Paramètres!$A$1:$I$89,3,0)*VLOOKUP('Données projet'!$B$12,Paramètres!$A$1:$I$89,5,0)</f>
        <v>3.177547114319168E-13</v>
      </c>
      <c r="CA104" s="13">
        <f t="shared" si="93"/>
        <v>4.1725404435445377E-12</v>
      </c>
      <c r="CB104" s="20">
        <f t="shared" si="64"/>
        <v>7.820597394917325E-12</v>
      </c>
      <c r="CC104" s="59">
        <f t="shared" si="65"/>
        <v>287.69827465028794</v>
      </c>
      <c r="CD104" s="59">
        <f ca="1">AVERAGE(OFFSET($CC$3,0,0,'Données projet'!$E$12+1,1))-AVERAGE(OFFSET($H$3,0,0,'Données projet'!$E$12+1,1))</f>
        <v>394.00476121021177</v>
      </c>
      <c r="CE104" s="59">
        <f t="shared" si="94"/>
        <v>363.10016759175278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124.8857046868691</v>
      </c>
      <c r="CL104" s="21">
        <f>EXP(-LN(2)/25)*CL103+(1-EXP(-LN(2)/25))/(LN(2)/25)*Calculateur!CG104*Calculateur!CI104*VLOOKUP('Données projet'!$B$12,Paramètres!$A$1:$I$89,3,0)*0.475*44/12</f>
        <v>32.496961131194467</v>
      </c>
      <c r="CM104" s="21">
        <f>EXP(-LN(2)/2)*CM103+(1-EXP(-LN(2)/2))/(LN(2)/2)*CG104*CJ104*VLOOKUP('Données projet'!$B$12,Paramètres!$A$1:$I$89,3,0)*0.475*44/12</f>
        <v>1.6293477864291919E-3</v>
      </c>
      <c r="CN104" s="22">
        <f t="shared" si="66"/>
        <v>157.38429516585001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68.463165813712763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3">
        <f>'Scénario référence'!$B$16*5+'Scénario référence'!$B$17*0+'Scénario référence'!$B$18*5</f>
        <v>1.7999999999999998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6.5999999999999988</v>
      </c>
      <c r="H105" s="67">
        <f t="shared" si="56"/>
        <v>230.26666666666665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1034.6642402700259</v>
      </c>
      <c r="S105" s="59">
        <f ca="1">AVERAGE(OFFSET($R$3,0,0,'Données projet'!$E$9+1,1))-AVERAGE(OFFSET($H$3,0,0,'Données projet'!$E$9+1,1))</f>
        <v>652.18744712713965</v>
      </c>
      <c r="T105" s="59">
        <f t="shared" si="88"/>
        <v>288.65635870281199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287.79603032032918</v>
      </c>
      <c r="AN105" s="59">
        <f ca="1">AVERAGE(OFFSET($AM$3,0,0,'Données projet'!$E$10+1,1))-AVERAGE(OFFSET($H$3,0,0,'Données projet'!$E$10+1,1))</f>
        <v>307.94699176410495</v>
      </c>
      <c r="AO105" s="59">
        <f t="shared" si="90"/>
        <v>314.22983137038875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60.446290497135365</v>
      </c>
      <c r="AV105" s="21">
        <f>EXP(-LN(2)/25)*AV104+(1-EXP(-LN(2)/25))/(LN(2)/25)*Calculateur!AQ105*Calculateur!AS105*VLOOKUP('Données projet'!$B$10,Paramètres!$A$1:$I$89,3,0)*0.475*44/12</f>
        <v>15.117444532306978</v>
      </c>
      <c r="AW105" s="21">
        <f>EXP(-LN(2)/2)*AW104+(1-EXP(-LN(2)/2))/(LN(2)/2)*AQ105*AT105*VLOOKUP('Données projet'!$B$10,Paramètres!$A$1:$I$89,3,0)*0.475*44/12</f>
        <v>2.8591843997647044E-5</v>
      </c>
      <c r="AX105" s="21">
        <f t="shared" si="60"/>
        <v>75.563763621286341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346.55780187946573</v>
      </c>
      <c r="BJ105" s="59">
        <f t="shared" si="92"/>
        <v>297.28652094809149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165.95025164741537</v>
      </c>
      <c r="BQ105" s="21">
        <f>EXP(-LN(2)/25)*BQ104+(1-EXP(-LN(2)/25))/(LN(2)/25)*Calculateur!BL105*Calculateur!BN105*VLOOKUP('Données projet'!$B$11,Paramètres!$A$1:$I$89,3,0)*0.475*44/12</f>
        <v>51.687856207113768</v>
      </c>
      <c r="BR105" s="21">
        <f>EXP(-LN(2)/2)*BR104+(1-EXP(-LN(2)/2))/(LN(2)/2)*BL105*BO105*VLOOKUP('Données projet'!$B$11,Paramètres!$A$1:$I$89,3,0)*0.475*44/12</f>
        <v>27.343491397156736</v>
      </c>
      <c r="BS105" s="22">
        <f t="shared" si="63"/>
        <v>244.98159925168588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5.6843418860808015E-13</v>
      </c>
      <c r="BZ105" s="13">
        <f>BY105*VLOOKUP('Données projet'!$B$12,Paramètres!$A$1:$I$89,3,0)*VLOOKUP('Données projet'!$B$12,Paramètres!$A$1:$I$89,5,0)</f>
        <v>3.177547114319168E-13</v>
      </c>
      <c r="CA105" s="13">
        <f t="shared" si="93"/>
        <v>4.1725404435445377E-12</v>
      </c>
      <c r="CB105" s="20">
        <f t="shared" si="64"/>
        <v>7.820597394917325E-12</v>
      </c>
      <c r="CC105" s="59">
        <f t="shared" si="65"/>
        <v>287.79603032033503</v>
      </c>
      <c r="CD105" s="59">
        <f ca="1">AVERAGE(OFFSET($CC$3,0,0,'Données projet'!$E$12+1,1))-AVERAGE(OFFSET($H$3,0,0,'Données projet'!$E$12+1,1))</f>
        <v>394.00476121021177</v>
      </c>
      <c r="CE105" s="59">
        <f t="shared" si="94"/>
        <v>363.10016759175278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122.43677219071803</v>
      </c>
      <c r="CL105" s="21">
        <f>EXP(-LN(2)/25)*CL104+(1-EXP(-LN(2)/25))/(LN(2)/25)*Calculateur!CG105*Calculateur!CI105*VLOOKUP('Données projet'!$B$12,Paramètres!$A$1:$I$89,3,0)*0.475*44/12</f>
        <v>31.608330020121041</v>
      </c>
      <c r="CM105" s="21">
        <f>EXP(-LN(2)/2)*CM104+(1-EXP(-LN(2)/2))/(LN(2)/2)*CG105*CJ105*VLOOKUP('Données projet'!$B$12,Paramètres!$A$1:$I$89,3,0)*0.475*44/12</f>
        <v>1.1521228686953721E-3</v>
      </c>
      <c r="CN105" s="22">
        <f t="shared" si="66"/>
        <v>154.04625433370776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68.489826450998322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3">
        <f>'Scénario référence'!$B$16*5+'Scénario référence'!$B$17*0+'Scénario référence'!$B$18*5</f>
        <v>1.7999999999999998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6.5999999999999988</v>
      </c>
      <c r="H106" s="67">
        <f t="shared" si="56"/>
        <v>230.26666666666665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1051.7514943048768</v>
      </c>
      <c r="S106" s="59">
        <f ca="1">AVERAGE(OFFSET($R$3,0,0,'Données projet'!$E$9+1,1))-AVERAGE(OFFSET($H$3,0,0,'Données projet'!$E$9+1,1))</f>
        <v>652.18744712713965</v>
      </c>
      <c r="T106" s="59">
        <f t="shared" si="88"/>
        <v>288.65635870281199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287.89209014804987</v>
      </c>
      <c r="AN106" s="59">
        <f ca="1">AVERAGE(OFFSET($AM$3,0,0,'Données projet'!$E$10+1,1))-AVERAGE(OFFSET($H$3,0,0,'Données projet'!$E$10+1,1))</f>
        <v>307.94699176410495</v>
      </c>
      <c r="AO106" s="59">
        <f t="shared" si="90"/>
        <v>314.22983137038875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59.260975609083275</v>
      </c>
      <c r="AV106" s="21">
        <f>EXP(-LN(2)/25)*AV105+(1-EXP(-LN(2)/25))/(LN(2)/25)*Calculateur!AQ106*Calculateur!AS106*VLOOKUP('Données projet'!$B$10,Paramètres!$A$1:$I$89,3,0)*0.475*44/12</f>
        <v>14.704057216579187</v>
      </c>
      <c r="AW106" s="21">
        <f>EXP(-LN(2)/2)*AW105+(1-EXP(-LN(2)/2))/(LN(2)/2)*AQ106*AT106*VLOOKUP('Données projet'!$B$10,Paramètres!$A$1:$I$89,3,0)*0.475*44/12</f>
        <v>2.021748677736411E-5</v>
      </c>
      <c r="AX106" s="21">
        <f t="shared" si="60"/>
        <v>73.96505304314924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346.55780187946573</v>
      </c>
      <c r="BJ106" s="59">
        <f t="shared" si="92"/>
        <v>297.28652094809149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162.69606843226845</v>
      </c>
      <c r="BQ106" s="21">
        <f>EXP(-LN(2)/25)*BQ105+(1-EXP(-LN(2)/25))/(LN(2)/25)*Calculateur!BL106*Calculateur!BN106*VLOOKUP('Données projet'!$B$11,Paramètres!$A$1:$I$89,3,0)*0.475*44/12</f>
        <v>50.274449060984018</v>
      </c>
      <c r="BR106" s="21">
        <f>EXP(-LN(2)/2)*BR105+(1-EXP(-LN(2)/2))/(LN(2)/2)*BL106*BO106*VLOOKUP('Données projet'!$B$11,Paramètres!$A$1:$I$89,3,0)*0.475*44/12</f>
        <v>19.334768188245555</v>
      </c>
      <c r="BS106" s="22">
        <f t="shared" si="63"/>
        <v>232.30528568149802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5.6843418860808015E-13</v>
      </c>
      <c r="BZ106" s="13">
        <f>BY106*VLOOKUP('Données projet'!$B$12,Paramètres!$A$1:$I$89,3,0)*VLOOKUP('Données projet'!$B$12,Paramètres!$A$1:$I$89,5,0)</f>
        <v>3.177547114319168E-13</v>
      </c>
      <c r="CA106" s="13">
        <f t="shared" si="93"/>
        <v>4.1725404435445377E-12</v>
      </c>
      <c r="CB106" s="20">
        <f t="shared" si="64"/>
        <v>7.820597394917325E-12</v>
      </c>
      <c r="CC106" s="59">
        <f t="shared" si="65"/>
        <v>287.89209014805573</v>
      </c>
      <c r="CD106" s="59">
        <f ca="1">AVERAGE(OFFSET($CC$3,0,0,'Données projet'!$E$12+1,1))-AVERAGE(OFFSET($H$3,0,0,'Données projet'!$E$12+1,1))</f>
        <v>394.00476121021177</v>
      </c>
      <c r="CE106" s="59">
        <f t="shared" si="94"/>
        <v>363.10016759175278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120.03586176711514</v>
      </c>
      <c r="CL106" s="21">
        <f>EXP(-LN(2)/25)*CL105+(1-EXP(-LN(2)/25))/(LN(2)/25)*Calculateur!CG106*Calculateur!CI106*VLOOKUP('Données projet'!$B$12,Paramètres!$A$1:$I$89,3,0)*0.475*44/12</f>
        <v>30.743998573510996</v>
      </c>
      <c r="CM106" s="21">
        <f>EXP(-LN(2)/2)*CM105+(1-EXP(-LN(2)/2))/(LN(2)/2)*CG106*CJ106*VLOOKUP('Données projet'!$B$12,Paramètres!$A$1:$I$89,3,0)*0.475*44/12</f>
        <v>8.1467389321459595E-4</v>
      </c>
      <c r="CN106" s="22">
        <f t="shared" si="66"/>
        <v>150.78067501451935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68.516024585831246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3">
        <f>'Scénario référence'!$B$16*5+'Scénario référence'!$B$17*0+'Scénario référence'!$B$18*5</f>
        <v>1.7999999999999998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6.5999999999999988</v>
      </c>
      <c r="H107" s="67">
        <f t="shared" si="56"/>
        <v>230.26666666666665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1068.8294162277909</v>
      </c>
      <c r="S107" s="59">
        <f ca="1">AVERAGE(OFFSET($R$3,0,0,'Données projet'!$E$9+1,1))-AVERAGE(OFFSET($H$3,0,0,'Données projet'!$E$9+1,1))</f>
        <v>652.18744712713965</v>
      </c>
      <c r="T107" s="59">
        <f t="shared" si="88"/>
        <v>288.65635870281199</v>
      </c>
      <c r="U107" s="15">
        <f>IF(ISNA(VLOOKUP(A107,'Données projet'!$A$35:$I$55,3,0)),0,VLOOKUP(A107,'Données projet'!$A$35:$I$55,3,0))</f>
        <v>10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287.98648355251726</v>
      </c>
      <c r="AN107" s="59">
        <f ca="1">AVERAGE(OFFSET($AM$3,0,0,'Données projet'!$E$10+1,1))-AVERAGE(OFFSET($H$3,0,0,'Données projet'!$E$10+1,1))</f>
        <v>307.94699176410495</v>
      </c>
      <c r="AO107" s="59">
        <f t="shared" si="90"/>
        <v>314.22983137038875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58.098904023015187</v>
      </c>
      <c r="AV107" s="21">
        <f>EXP(-LN(2)/25)*AV106+(1-EXP(-LN(2)/25))/(LN(2)/25)*Calculateur!AQ107*Calculateur!AS107*VLOOKUP('Données projet'!$B$10,Paramètres!$A$1:$I$89,3,0)*0.475*44/12</f>
        <v>14.301973998739067</v>
      </c>
      <c r="AW107" s="21">
        <f>EXP(-LN(2)/2)*AW106+(1-EXP(-LN(2)/2))/(LN(2)/2)*AQ107*AT107*VLOOKUP('Données projet'!$B$10,Paramètres!$A$1:$I$89,3,0)*0.475*44/12</f>
        <v>1.4295921998823522E-5</v>
      </c>
      <c r="AX107" s="21">
        <f t="shared" si="60"/>
        <v>72.400892317676252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346.55780187946573</v>
      </c>
      <c r="BJ107" s="59">
        <f t="shared" si="92"/>
        <v>297.28652094809149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159.50569776511477</v>
      </c>
      <c r="BQ107" s="21">
        <f>EXP(-LN(2)/25)*BQ106+(1-EXP(-LN(2)/25))/(LN(2)/25)*Calculateur!BL107*Calculateur!BN107*VLOOKUP('Données projet'!$B$11,Paramètres!$A$1:$I$89,3,0)*0.475*44/12</f>
        <v>48.899691607593041</v>
      </c>
      <c r="BR107" s="21">
        <f>EXP(-LN(2)/2)*BR106+(1-EXP(-LN(2)/2))/(LN(2)/2)*BL107*BO107*VLOOKUP('Données projet'!$B$11,Paramètres!$A$1:$I$89,3,0)*0.475*44/12</f>
        <v>13.67174569857837</v>
      </c>
      <c r="BS107" s="22">
        <f t="shared" si="63"/>
        <v>222.07713507128619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5.6843418860808015E-13</v>
      </c>
      <c r="BZ107" s="13">
        <f>BY107*VLOOKUP('Données projet'!$B$12,Paramètres!$A$1:$I$89,3,0)*VLOOKUP('Données projet'!$B$12,Paramètres!$A$1:$I$89,5,0)</f>
        <v>3.177547114319168E-13</v>
      </c>
      <c r="CA107" s="13">
        <f t="shared" si="93"/>
        <v>4.1725404435445377E-12</v>
      </c>
      <c r="CB107" s="20">
        <f t="shared" si="64"/>
        <v>7.820597394917325E-12</v>
      </c>
      <c r="CC107" s="59">
        <f t="shared" si="65"/>
        <v>287.98648355252311</v>
      </c>
      <c r="CD107" s="59">
        <f ca="1">AVERAGE(OFFSET($CC$3,0,0,'Données projet'!$E$12+1,1))-AVERAGE(OFFSET($H$3,0,0,'Données projet'!$E$12+1,1))</f>
        <v>394.00476121021177</v>
      </c>
      <c r="CE107" s="59">
        <f t="shared" si="94"/>
        <v>363.10016759175278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117.68203173250834</v>
      </c>
      <c r="CL107" s="21">
        <f>EXP(-LN(2)/25)*CL106+(1-EXP(-LN(2)/25))/(LN(2)/25)*Calculateur!CG107*Calculateur!CI107*VLOOKUP('Données projet'!$B$12,Paramètres!$A$1:$I$89,3,0)*0.475*44/12</f>
        <v>29.903302315761721</v>
      </c>
      <c r="CM107" s="21">
        <f>EXP(-LN(2)/2)*CM106+(1-EXP(-LN(2)/2))/(LN(2)/2)*CG107*CJ107*VLOOKUP('Données projet'!$B$12,Paramètres!$A$1:$I$89,3,0)*0.475*44/12</f>
        <v>5.7606143434768607E-4</v>
      </c>
      <c r="CN107" s="22">
        <f t="shared" si="66"/>
        <v>147.5859101097044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68.541768241595079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3">
        <f>'Scénario référence'!$B$16*5+'Scénario référence'!$B$17*0+'Scénario référence'!$B$18*5</f>
        <v>1.7999999999999998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6.5999999999999988</v>
      </c>
      <c r="H108" s="67">
        <f t="shared" si="56"/>
        <v>230.26666666666665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960.05899099654948</v>
      </c>
      <c r="S108" s="59">
        <f ca="1">AVERAGE(OFFSET($R$3,0,0,'Données projet'!$E$9+1,1))-AVERAGE(OFFSET($H$3,0,0,'Données projet'!$E$9+1,1))</f>
        <v>652.18744712713965</v>
      </c>
      <c r="T108" s="59">
        <f t="shared" si="88"/>
        <v>288.65635870281199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288.07923944244914</v>
      </c>
      <c r="AN108" s="59">
        <f ca="1">AVERAGE(OFFSET($AM$3,0,0,'Données projet'!$E$10+1,1))-AVERAGE(OFFSET($H$3,0,0,'Données projet'!$E$10+1,1))</f>
        <v>307.94699176410495</v>
      </c>
      <c r="AO108" s="59">
        <f t="shared" si="90"/>
        <v>314.22983137038875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56.959619951956213</v>
      </c>
      <c r="AV108" s="21">
        <f>EXP(-LN(2)/25)*AV107+(1-EXP(-LN(2)/25))/(LN(2)/25)*Calculateur!AQ108*Calculateur!AS108*VLOOKUP('Données projet'!$B$10,Paramètres!$A$1:$I$89,3,0)*0.475*44/12</f>
        <v>13.910885767635422</v>
      </c>
      <c r="AW108" s="21">
        <f>EXP(-LN(2)/2)*AW107+(1-EXP(-LN(2)/2))/(LN(2)/2)*AQ108*AT108*VLOOKUP('Données projet'!$B$10,Paramètres!$A$1:$I$89,3,0)*0.475*44/12</f>
        <v>1.0108743388682055E-5</v>
      </c>
      <c r="AX108" s="21">
        <f t="shared" si="60"/>
        <v>70.870515828335016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346.55780187946573</v>
      </c>
      <c r="BJ108" s="59">
        <f t="shared" si="92"/>
        <v>297.28652094809149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156.37788832081003</v>
      </c>
      <c r="BQ108" s="21">
        <f>EXP(-LN(2)/25)*BQ107+(1-EXP(-LN(2)/25))/(LN(2)/25)*Calculateur!BL108*Calculateur!BN108*VLOOKUP('Données projet'!$B$11,Paramètres!$A$1:$I$89,3,0)*0.475*44/12</f>
        <v>47.562526969060393</v>
      </c>
      <c r="BR108" s="21">
        <f>EXP(-LN(2)/2)*BR107+(1-EXP(-LN(2)/2))/(LN(2)/2)*BL108*BO108*VLOOKUP('Données projet'!$B$11,Paramètres!$A$1:$I$89,3,0)*0.475*44/12</f>
        <v>9.6673840941227791</v>
      </c>
      <c r="BS108" s="22">
        <f t="shared" si="63"/>
        <v>213.60779938399321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5.6843418860808015E-13</v>
      </c>
      <c r="BZ108" s="13">
        <f>BY108*VLOOKUP('Données projet'!$B$12,Paramètres!$A$1:$I$89,3,0)*VLOOKUP('Données projet'!$B$12,Paramètres!$A$1:$I$89,5,0)</f>
        <v>3.177547114319168E-13</v>
      </c>
      <c r="CA108" s="13">
        <f t="shared" si="93"/>
        <v>4.1725404435445377E-12</v>
      </c>
      <c r="CB108" s="20">
        <f t="shared" si="64"/>
        <v>7.820597394917325E-12</v>
      </c>
      <c r="CC108" s="59">
        <f t="shared" si="65"/>
        <v>288.07923944245499</v>
      </c>
      <c r="CD108" s="59">
        <f ca="1">AVERAGE(OFFSET($CC$3,0,0,'Données projet'!$E$12+1,1))-AVERAGE(OFFSET($H$3,0,0,'Données projet'!$E$12+1,1))</f>
        <v>394.00476121021177</v>
      </c>
      <c r="CE108" s="59">
        <f t="shared" si="94"/>
        <v>363.10016759175278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115.37435886918563</v>
      </c>
      <c r="CL108" s="21">
        <f>EXP(-LN(2)/25)*CL107+(1-EXP(-LN(2)/25))/(LN(2)/25)*Calculateur!CG108*Calculateur!CI108*VLOOKUP('Données projet'!$B$12,Paramètres!$A$1:$I$89,3,0)*0.475*44/12</f>
        <v>29.085594941390891</v>
      </c>
      <c r="CM108" s="21">
        <f>EXP(-LN(2)/2)*CM107+(1-EXP(-LN(2)/2))/(LN(2)/2)*CG108*CJ108*VLOOKUP('Données projet'!$B$12,Paramètres!$A$1:$I$89,3,0)*0.475*44/12</f>
        <v>4.0733694660729798E-4</v>
      </c>
      <c r="CN108" s="22">
        <f t="shared" si="66"/>
        <v>144.46036114752312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68.567065302485588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3">
        <f>'Scénario référence'!$B$16*5+'Scénario référence'!$B$17*0+'Scénario référence'!$B$18*5</f>
        <v>1.7999999999999998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6.5999999999999988</v>
      </c>
      <c r="H109" s="67">
        <f t="shared" si="56"/>
        <v>230.26666666666665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976.99292631220078</v>
      </c>
      <c r="S109" s="59">
        <f ca="1">AVERAGE(OFFSET($R$3,0,0,'Données projet'!$E$9+1,1))-AVERAGE(OFFSET($H$3,0,0,'Données projet'!$E$9+1,1))</f>
        <v>652.18744712713965</v>
      </c>
      <c r="T109" s="59">
        <f t="shared" si="88"/>
        <v>288.65635870281199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288.1703862250618</v>
      </c>
      <c r="AN109" s="59">
        <f ca="1">AVERAGE(OFFSET($AM$3,0,0,'Données projet'!$E$10+1,1))-AVERAGE(OFFSET($H$3,0,0,'Données projet'!$E$10+1,1))</f>
        <v>307.94699176410495</v>
      </c>
      <c r="AO109" s="59">
        <f t="shared" si="90"/>
        <v>314.22983137038875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55.842676546636042</v>
      </c>
      <c r="AV109" s="21">
        <f>EXP(-LN(2)/25)*AV108+(1-EXP(-LN(2)/25))/(LN(2)/25)*Calculateur!AQ109*Calculateur!AS109*VLOOKUP('Données projet'!$B$10,Paramètres!$A$1:$I$89,3,0)*0.475*44/12</f>
        <v>13.530491864777742</v>
      </c>
      <c r="AW109" s="21">
        <f>EXP(-LN(2)/2)*AW108+(1-EXP(-LN(2)/2))/(LN(2)/2)*AQ109*AT109*VLOOKUP('Données projet'!$B$10,Paramètres!$A$1:$I$89,3,0)*0.475*44/12</f>
        <v>7.147960999411761E-6</v>
      </c>
      <c r="AX109" s="21">
        <f t="shared" si="60"/>
        <v>69.373175559374786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346.55780187946573</v>
      </c>
      <c r="BJ109" s="59">
        <f t="shared" si="92"/>
        <v>297.28652094809149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153.31141331193271</v>
      </c>
      <c r="BQ109" s="21">
        <f>EXP(-LN(2)/25)*BQ108+(1-EXP(-LN(2)/25))/(LN(2)/25)*Calculateur!BL109*Calculateur!BN109*VLOOKUP('Données projet'!$B$11,Paramètres!$A$1:$I$89,3,0)*0.475*44/12</f>
        <v>46.261927167886846</v>
      </c>
      <c r="BR109" s="21">
        <f>EXP(-LN(2)/2)*BR108+(1-EXP(-LN(2)/2))/(LN(2)/2)*BL109*BO109*VLOOKUP('Données projet'!$B$11,Paramètres!$A$1:$I$89,3,0)*0.475*44/12</f>
        <v>6.8358728492891867</v>
      </c>
      <c r="BS109" s="22">
        <f t="shared" si="63"/>
        <v>206.40921332910875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5.6843418860808015E-13</v>
      </c>
      <c r="BZ109" s="13">
        <f>BY109*VLOOKUP('Données projet'!$B$12,Paramètres!$A$1:$I$89,3,0)*VLOOKUP('Données projet'!$B$12,Paramètres!$A$1:$I$89,5,0)</f>
        <v>3.177547114319168E-13</v>
      </c>
      <c r="CA109" s="13">
        <f t="shared" si="93"/>
        <v>4.1725404435445377E-12</v>
      </c>
      <c r="CB109" s="20">
        <f t="shared" si="64"/>
        <v>7.820597394917325E-12</v>
      </c>
      <c r="CC109" s="59">
        <f t="shared" si="65"/>
        <v>288.17038622506766</v>
      </c>
      <c r="CD109" s="59">
        <f ca="1">AVERAGE(OFFSET($CC$3,0,0,'Données projet'!$E$12+1,1))-AVERAGE(OFFSET($H$3,0,0,'Données projet'!$E$12+1,1))</f>
        <v>394.00476121021177</v>
      </c>
      <c r="CE109" s="59">
        <f t="shared" si="94"/>
        <v>363.10016759175278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113.11193806317121</v>
      </c>
      <c r="CL109" s="21">
        <f>EXP(-LN(2)/25)*CL108+(1-EXP(-LN(2)/25))/(LN(2)/25)*Calculateur!CG109*Calculateur!CI109*VLOOKUP('Données projet'!$B$12,Paramètres!$A$1:$I$89,3,0)*0.475*44/12</f>
        <v>28.290247818173594</v>
      </c>
      <c r="CM109" s="21">
        <f>EXP(-LN(2)/2)*CM108+(1-EXP(-LN(2)/2))/(LN(2)/2)*CG109*CJ109*VLOOKUP('Données projet'!$B$12,Paramètres!$A$1:$I$89,3,0)*0.475*44/12</f>
        <v>2.8803071717384304E-4</v>
      </c>
      <c r="CN109" s="22">
        <f t="shared" si="66"/>
        <v>141.40247391206196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68.591923515925401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3">
        <f>'Scénario référence'!$B$16*5+'Scénario référence'!$B$17*0+'Scénario référence'!$B$18*5</f>
        <v>1.7999999999999998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6.5999999999999988</v>
      </c>
      <c r="H110" s="67">
        <f t="shared" si="56"/>
        <v>230.26666666666665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993.91684025798259</v>
      </c>
      <c r="S110" s="59">
        <f ca="1">AVERAGE(OFFSET($R$3,0,0,'Données projet'!$E$9+1,1))-AVERAGE(OFFSET($H$3,0,0,'Données projet'!$E$9+1,1))</f>
        <v>652.18744712713965</v>
      </c>
      <c r="T110" s="59">
        <f t="shared" si="88"/>
        <v>288.65635870281199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288.25995181476981</v>
      </c>
      <c r="AN110" s="59">
        <f ca="1">AVERAGE(OFFSET($AM$3,0,0,'Données projet'!$E$10+1,1))-AVERAGE(OFFSET($H$3,0,0,'Données projet'!$E$10+1,1))</f>
        <v>307.94699176410495</v>
      </c>
      <c r="AO110" s="59">
        <f t="shared" si="90"/>
        <v>314.22983137038875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54.747635720225993</v>
      </c>
      <c r="AV110" s="21">
        <f>EXP(-LN(2)/25)*AV109+(1-EXP(-LN(2)/25))/(LN(2)/25)*Calculateur!AQ110*Calculateur!AS110*VLOOKUP('Données projet'!$B$10,Paramètres!$A$1:$I$89,3,0)*0.475*44/12</f>
        <v>13.160499853197752</v>
      </c>
      <c r="AW110" s="21">
        <f>EXP(-LN(2)/2)*AW109+(1-EXP(-LN(2)/2))/(LN(2)/2)*AQ110*AT110*VLOOKUP('Données projet'!$B$10,Paramètres!$A$1:$I$89,3,0)*0.475*44/12</f>
        <v>5.0543716943410276E-6</v>
      </c>
      <c r="AX110" s="21">
        <f t="shared" si="60"/>
        <v>67.908140627795447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346.55780187946573</v>
      </c>
      <c r="BJ110" s="59">
        <f t="shared" si="92"/>
        <v>297.28652094809149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150.3050700076144</v>
      </c>
      <c r="BQ110" s="21">
        <f>EXP(-LN(2)/25)*BQ109+(1-EXP(-LN(2)/25))/(LN(2)/25)*Calculateur!BL110*Calculateur!BN110*VLOOKUP('Données projet'!$B$11,Paramètres!$A$1:$I$89,3,0)*0.475*44/12</f>
        <v>44.996892336671962</v>
      </c>
      <c r="BR110" s="21">
        <f>EXP(-LN(2)/2)*BR109+(1-EXP(-LN(2)/2))/(LN(2)/2)*BL110*BO110*VLOOKUP('Données projet'!$B$11,Paramètres!$A$1:$I$89,3,0)*0.475*44/12</f>
        <v>4.8336920470613904</v>
      </c>
      <c r="BS110" s="22">
        <f t="shared" si="63"/>
        <v>200.13565439134777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5.6843418860808015E-13</v>
      </c>
      <c r="BZ110" s="13">
        <f>BY110*VLOOKUP('Données projet'!$B$12,Paramètres!$A$1:$I$89,3,0)*VLOOKUP('Données projet'!$B$12,Paramètres!$A$1:$I$89,5,0)</f>
        <v>3.177547114319168E-13</v>
      </c>
      <c r="CA110" s="13">
        <f t="shared" si="93"/>
        <v>4.1725404435445377E-12</v>
      </c>
      <c r="CB110" s="20">
        <f t="shared" si="64"/>
        <v>7.820597394917325E-12</v>
      </c>
      <c r="CC110" s="59">
        <f t="shared" si="65"/>
        <v>288.25995181477566</v>
      </c>
      <c r="CD110" s="59">
        <f ca="1">AVERAGE(OFFSET($CC$3,0,0,'Données projet'!$E$12+1,1))-AVERAGE(OFFSET($H$3,0,0,'Données projet'!$E$12+1,1))</f>
        <v>394.00476121021177</v>
      </c>
      <c r="CE110" s="59">
        <f t="shared" si="94"/>
        <v>363.10016759175278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110.8938819492223</v>
      </c>
      <c r="CL110" s="21">
        <f>EXP(-LN(2)/25)*CL109+(1-EXP(-LN(2)/25))/(LN(2)/25)*Calculateur!CG110*Calculateur!CI110*VLOOKUP('Données projet'!$B$12,Paramètres!$A$1:$I$89,3,0)*0.475*44/12</f>
        <v>27.516649503866162</v>
      </c>
      <c r="CM110" s="21">
        <f>EXP(-LN(2)/2)*CM109+(1-EXP(-LN(2)/2))/(LN(2)/2)*CG110*CJ110*VLOOKUP('Données projet'!$B$12,Paramètres!$A$1:$I$89,3,0)*0.475*44/12</f>
        <v>2.0366847330364899E-4</v>
      </c>
      <c r="CN110" s="22">
        <f t="shared" si="66"/>
        <v>138.41073512156177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68.616350494936682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3">
        <f>'Scénario référence'!$B$16*5+'Scénario référence'!$B$17*0+'Scénario référence'!$B$18*5</f>
        <v>1.7999999999999998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6.5999999999999988</v>
      </c>
      <c r="H111" s="67">
        <f t="shared" si="56"/>
        <v>230.26666666666665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1010.830989804004</v>
      </c>
      <c r="S111" s="59">
        <f ca="1">AVERAGE(OFFSET($R$3,0,0,'Données projet'!$E$9+1,1))-AVERAGE(OFFSET($H$3,0,0,'Données projet'!$E$9+1,1))</f>
        <v>652.18744712713965</v>
      </c>
      <c r="T111" s="59">
        <f t="shared" si="88"/>
        <v>288.65635870281199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288.34796364173508</v>
      </c>
      <c r="AN111" s="59">
        <f ca="1">AVERAGE(OFFSET($AM$3,0,0,'Données projet'!$E$10+1,1))-AVERAGE(OFFSET($H$3,0,0,'Données projet'!$E$10+1,1))</f>
        <v>307.94699176410495</v>
      </c>
      <c r="AO111" s="59">
        <f t="shared" si="90"/>
        <v>314.22983137038875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53.674067976512887</v>
      </c>
      <c r="AV111" s="21">
        <f>EXP(-LN(2)/25)*AV110+(1-EXP(-LN(2)/25))/(LN(2)/25)*Calculateur!AQ111*Calculateur!AS111*VLOOKUP('Données projet'!$B$10,Paramètres!$A$1:$I$89,3,0)*0.475*44/12</f>
        <v>12.800625292631452</v>
      </c>
      <c r="AW111" s="21">
        <f>EXP(-LN(2)/2)*AW110+(1-EXP(-LN(2)/2))/(LN(2)/2)*AQ111*AT111*VLOOKUP('Données projet'!$B$10,Paramètres!$A$1:$I$89,3,0)*0.475*44/12</f>
        <v>3.5739804997058805E-6</v>
      </c>
      <c r="AX111" s="21">
        <f t="shared" si="60"/>
        <v>66.474696843124832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346.55780187946573</v>
      </c>
      <c r="BJ111" s="59">
        <f t="shared" si="92"/>
        <v>297.28652094809149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147.35767926180543</v>
      </c>
      <c r="BQ111" s="21">
        <f>EXP(-LN(2)/25)*BQ110+(1-EXP(-LN(2)/25))/(LN(2)/25)*Calculateur!BL111*Calculateur!BN111*VLOOKUP('Données projet'!$B$11,Paramètres!$A$1:$I$89,3,0)*0.475*44/12</f>
        <v>43.766449949441942</v>
      </c>
      <c r="BR111" s="21">
        <f>EXP(-LN(2)/2)*BR110+(1-EXP(-LN(2)/2))/(LN(2)/2)*BL111*BO111*VLOOKUP('Données projet'!$B$11,Paramètres!$A$1:$I$89,3,0)*0.475*44/12</f>
        <v>3.4179364246445938</v>
      </c>
      <c r="BS111" s="22">
        <f t="shared" si="63"/>
        <v>194.54206563589196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5.6843418860808015E-13</v>
      </c>
      <c r="BZ111" s="13">
        <f>BY111*VLOOKUP('Données projet'!$B$12,Paramètres!$A$1:$I$89,3,0)*VLOOKUP('Données projet'!$B$12,Paramètres!$A$1:$I$89,5,0)</f>
        <v>3.177547114319168E-13</v>
      </c>
      <c r="CA111" s="13">
        <f t="shared" si="93"/>
        <v>4.1725404435445377E-12</v>
      </c>
      <c r="CB111" s="20">
        <f t="shared" si="64"/>
        <v>7.820597394917325E-12</v>
      </c>
      <c r="CC111" s="59">
        <f t="shared" si="65"/>
        <v>288.34796364174093</v>
      </c>
      <c r="CD111" s="59">
        <f ca="1">AVERAGE(OFFSET($CC$3,0,0,'Données projet'!$E$12+1,1))-AVERAGE(OFFSET($H$3,0,0,'Données projet'!$E$12+1,1))</f>
        <v>394.00476121021177</v>
      </c>
      <c r="CE111" s="59">
        <f t="shared" si="94"/>
        <v>363.10016759175278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108.71932056278729</v>
      </c>
      <c r="CL111" s="21">
        <f>EXP(-LN(2)/25)*CL110+(1-EXP(-LN(2)/25))/(LN(2)/25)*Calculateur!CG111*Calculateur!CI111*VLOOKUP('Données projet'!$B$12,Paramètres!$A$1:$I$89,3,0)*0.475*44/12</f>
        <v>26.764205276145233</v>
      </c>
      <c r="CM111" s="21">
        <f>EXP(-LN(2)/2)*CM110+(1-EXP(-LN(2)/2))/(LN(2)/2)*CG111*CJ111*VLOOKUP('Données projet'!$B$12,Paramètres!$A$1:$I$89,3,0)*0.475*44/12</f>
        <v>1.4401535858692152E-4</v>
      </c>
      <c r="CN111" s="22">
        <f t="shared" si="66"/>
        <v>135.48366985429109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68.64035372047266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3">
        <f>'Scénario référence'!$B$16*5+'Scénario référence'!$B$17*0+'Scénario référence'!$B$18*5</f>
        <v>1.7999999999999998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6.5999999999999988</v>
      </c>
      <c r="H112" s="67">
        <f t="shared" si="56"/>
        <v>230.26666666666665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1027.7356198906195</v>
      </c>
      <c r="S112" s="59">
        <f ca="1">AVERAGE(OFFSET($R$3,0,0,'Données projet'!$E$9+1,1))-AVERAGE(OFFSET($H$3,0,0,'Données projet'!$E$9+1,1))</f>
        <v>652.18744712713965</v>
      </c>
      <c r="T112" s="59">
        <f t="shared" si="88"/>
        <v>288.65635870281199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288.43444866026749</v>
      </c>
      <c r="AN112" s="59">
        <f ca="1">AVERAGE(OFFSET($AM$3,0,0,'Données projet'!$E$10+1,1))-AVERAGE(OFFSET($H$3,0,0,'Données projet'!$E$10+1,1))</f>
        <v>307.94699176410495</v>
      </c>
      <c r="AO112" s="59">
        <f t="shared" si="90"/>
        <v>314.22983137038875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52.62155224144233</v>
      </c>
      <c r="AV112" s="21">
        <f>EXP(-LN(2)/25)*AV111+(1-EXP(-LN(2)/25))/(LN(2)/25)*Calculateur!AQ112*Calculateur!AS112*VLOOKUP('Données projet'!$B$10,Paramètres!$A$1:$I$89,3,0)*0.475*44/12</f>
        <v>12.450591520848816</v>
      </c>
      <c r="AW112" s="21">
        <f>EXP(-LN(2)/2)*AW111+(1-EXP(-LN(2)/2))/(LN(2)/2)*AQ112*AT112*VLOOKUP('Données projet'!$B$10,Paramètres!$A$1:$I$89,3,0)*0.475*44/12</f>
        <v>2.5271858471705138E-6</v>
      </c>
      <c r="AX112" s="21">
        <f t="shared" si="60"/>
        <v>65.07214628947699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346.55780187946573</v>
      </c>
      <c r="BJ112" s="59">
        <f t="shared" si="92"/>
        <v>297.28652094809149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144.46808505079093</v>
      </c>
      <c r="BQ112" s="21">
        <f>EXP(-LN(2)/25)*BQ111+(1-EXP(-LN(2)/25))/(LN(2)/25)*Calculateur!BL112*Calculateur!BN112*VLOOKUP('Données projet'!$B$11,Paramètres!$A$1:$I$89,3,0)*0.475*44/12</f>
        <v>42.56965407399688</v>
      </c>
      <c r="BR112" s="21">
        <f>EXP(-LN(2)/2)*BR111+(1-EXP(-LN(2)/2))/(LN(2)/2)*BL112*BO112*VLOOKUP('Données projet'!$B$11,Paramètres!$A$1:$I$89,3,0)*0.475*44/12</f>
        <v>2.4168460235306957</v>
      </c>
      <c r="BS112" s="22">
        <f t="shared" si="63"/>
        <v>189.4545851483185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5.6843418860808015E-13</v>
      </c>
      <c r="BZ112" s="13">
        <f>BY112*VLOOKUP('Données projet'!$B$12,Paramètres!$A$1:$I$89,3,0)*VLOOKUP('Données projet'!$B$12,Paramètres!$A$1:$I$89,5,0)</f>
        <v>3.177547114319168E-13</v>
      </c>
      <c r="CA112" s="13">
        <f t="shared" si="93"/>
        <v>4.1725404435445377E-12</v>
      </c>
      <c r="CB112" s="20">
        <f t="shared" si="64"/>
        <v>7.820597394917325E-12</v>
      </c>
      <c r="CC112" s="59">
        <f t="shared" si="65"/>
        <v>288.43444866027335</v>
      </c>
      <c r="CD112" s="59">
        <f ca="1">AVERAGE(OFFSET($CC$3,0,0,'Données projet'!$E$12+1,1))-AVERAGE(OFFSET($H$3,0,0,'Données projet'!$E$12+1,1))</f>
        <v>394.00476121021177</v>
      </c>
      <c r="CE112" s="59">
        <f t="shared" si="94"/>
        <v>363.10016759175278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106.58740099878878</v>
      </c>
      <c r="CL112" s="21">
        <f>EXP(-LN(2)/25)*CL111+(1-EXP(-LN(2)/25))/(LN(2)/25)*Calculateur!CG112*Calculateur!CI112*VLOOKUP('Données projet'!$B$12,Paramètres!$A$1:$I$89,3,0)*0.475*44/12</f>
        <v>26.032336675400657</v>
      </c>
      <c r="CM112" s="21">
        <f>EXP(-LN(2)/2)*CM111+(1-EXP(-LN(2)/2))/(LN(2)/2)*CG112*CJ112*VLOOKUP('Données projet'!$B$12,Paramètres!$A$1:$I$89,3,0)*0.475*44/12</f>
        <v>1.0183423665182449E-4</v>
      </c>
      <c r="CN112" s="22">
        <f t="shared" si="66"/>
        <v>132.61983950842608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68.663940543708776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3">
        <f>'Scénario référence'!$B$16*5+'Scénario référence'!$B$17*0+'Scénario référence'!$B$18*5</f>
        <v>1.7999999999999998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6.5999999999999988</v>
      </c>
      <c r="H113" s="67">
        <f t="shared" si="56"/>
        <v>230.26666666666665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1044.6309642732206</v>
      </c>
      <c r="S113" s="59">
        <f ca="1">AVERAGE(OFFSET($R$3,0,0,'Données projet'!$E$9+1,1))-AVERAGE(OFFSET($H$3,0,0,'Données projet'!$E$9+1,1))</f>
        <v>652.18744712713965</v>
      </c>
      <c r="T113" s="59">
        <f t="shared" si="88"/>
        <v>288.65635870281199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288.51943335707983</v>
      </c>
      <c r="AN113" s="59">
        <f ca="1">AVERAGE(OFFSET($AM$3,0,0,'Données projet'!$E$10+1,1))-AVERAGE(OFFSET($H$3,0,0,'Données projet'!$E$10+1,1))</f>
        <v>307.94699176410495</v>
      </c>
      <c r="AO113" s="59">
        <f t="shared" si="90"/>
        <v>314.22983137038875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51.589675697965298</v>
      </c>
      <c r="AV113" s="21">
        <f>EXP(-LN(2)/25)*AV112+(1-EXP(-LN(2)/25))/(LN(2)/25)*Calculateur!AQ113*Calculateur!AS113*VLOOKUP('Données projet'!$B$10,Paramètres!$A$1:$I$89,3,0)*0.475*44/12</f>
        <v>12.110129440963053</v>
      </c>
      <c r="AW113" s="21">
        <f>EXP(-LN(2)/2)*AW112+(1-EXP(-LN(2)/2))/(LN(2)/2)*AQ113*AT113*VLOOKUP('Données projet'!$B$10,Paramètres!$A$1:$I$89,3,0)*0.475*44/12</f>
        <v>1.7869902498529403E-6</v>
      </c>
      <c r="AX113" s="21">
        <f t="shared" si="60"/>
        <v>63.699806925918601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346.55780187946573</v>
      </c>
      <c r="BJ113" s="59">
        <f t="shared" si="92"/>
        <v>297.28652094809149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141.635154019776</v>
      </c>
      <c r="BQ113" s="21">
        <f>EXP(-LN(2)/25)*BQ112+(1-EXP(-LN(2)/25))/(LN(2)/25)*Calculateur!BL113*Calculateur!BN113*VLOOKUP('Données projet'!$B$11,Paramètres!$A$1:$I$89,3,0)*0.475*44/12</f>
        <v>41.405584644702621</v>
      </c>
      <c r="BR113" s="21">
        <f>EXP(-LN(2)/2)*BR112+(1-EXP(-LN(2)/2))/(LN(2)/2)*BL113*BO113*VLOOKUP('Données projet'!$B$11,Paramètres!$A$1:$I$89,3,0)*0.475*44/12</f>
        <v>1.7089682123222971</v>
      </c>
      <c r="BS113" s="22">
        <f t="shared" si="63"/>
        <v>184.74970687680093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5.6843418860808015E-13</v>
      </c>
      <c r="BZ113" s="13">
        <f>BY113*VLOOKUP('Données projet'!$B$12,Paramètres!$A$1:$I$89,3,0)*VLOOKUP('Données projet'!$B$12,Paramètres!$A$1:$I$89,5,0)</f>
        <v>3.177547114319168E-13</v>
      </c>
      <c r="CA113" s="13">
        <f t="shared" si="93"/>
        <v>4.1725404435445377E-12</v>
      </c>
      <c r="CB113" s="20">
        <f t="shared" si="64"/>
        <v>7.820597394917325E-12</v>
      </c>
      <c r="CC113" s="59">
        <f t="shared" si="65"/>
        <v>288.51943335708569</v>
      </c>
      <c r="CD113" s="59">
        <f ca="1">AVERAGE(OFFSET($CC$3,0,0,'Données projet'!$E$12+1,1))-AVERAGE(OFFSET($H$3,0,0,'Données projet'!$E$12+1,1))</f>
        <v>394.00476121021177</v>
      </c>
      <c r="CE113" s="59">
        <f t="shared" si="94"/>
        <v>363.10016759175278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104.49728707709775</v>
      </c>
      <c r="CL113" s="21">
        <f>EXP(-LN(2)/25)*CL112+(1-EXP(-LN(2)/25))/(LN(2)/25)*Calculateur!CG113*Calculateur!CI113*VLOOKUP('Données projet'!$B$12,Paramètres!$A$1:$I$89,3,0)*0.475*44/12</f>
        <v>25.320481060030737</v>
      </c>
      <c r="CM113" s="21">
        <f>EXP(-LN(2)/2)*CM112+(1-EXP(-LN(2)/2))/(LN(2)/2)*CG113*CJ113*VLOOKUP('Données projet'!$B$12,Paramètres!$A$1:$I$89,3,0)*0.475*44/12</f>
        <v>7.2007679293460759E-5</v>
      </c>
      <c r="CN113" s="22">
        <f t="shared" si="66"/>
        <v>129.8178401448078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68.687118188293965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3">
        <f>'Scénario référence'!$B$16*5+'Scénario référence'!$B$17*0+'Scénario référence'!$B$18*5</f>
        <v>1.7999999999999998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6.5999999999999988</v>
      </c>
      <c r="H114" s="67">
        <f t="shared" si="56"/>
        <v>230.26666666666665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1061.5172462886856</v>
      </c>
      <c r="S114" s="59">
        <f ca="1">AVERAGE(OFFSET($R$3,0,0,'Données projet'!$E$9+1,1))-AVERAGE(OFFSET($H$3,0,0,'Données projet'!$E$9+1,1))</f>
        <v>652.18744712713965</v>
      </c>
      <c r="T114" s="59">
        <f t="shared" si="88"/>
        <v>288.65635870281199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288.60294375939986</v>
      </c>
      <c r="AN114" s="59">
        <f ca="1">AVERAGE(OFFSET($AM$3,0,0,'Données projet'!$E$10+1,1))-AVERAGE(OFFSET($H$3,0,0,'Données projet'!$E$10+1,1))</f>
        <v>307.94699176410495</v>
      </c>
      <c r="AO114" s="59">
        <f t="shared" si="90"/>
        <v>314.22983137038875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50.578033624123307</v>
      </c>
      <c r="AV114" s="21">
        <f>EXP(-LN(2)/25)*AV113+(1-EXP(-LN(2)/25))/(LN(2)/25)*Calculateur!AQ114*Calculateur!AS114*VLOOKUP('Données projet'!$B$10,Paramètres!$A$1:$I$89,3,0)*0.475*44/12</f>
        <v>11.77897731455589</v>
      </c>
      <c r="AW114" s="21">
        <f>EXP(-LN(2)/2)*AW113+(1-EXP(-LN(2)/2))/(LN(2)/2)*AQ114*AT114*VLOOKUP('Données projet'!$B$10,Paramètres!$A$1:$I$89,3,0)*0.475*44/12</f>
        <v>1.2635929235852569E-6</v>
      </c>
      <c r="AX114" s="21">
        <f t="shared" si="60"/>
        <v>62.357012202272116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346.55780187946573</v>
      </c>
      <c r="BJ114" s="59">
        <f t="shared" si="92"/>
        <v>297.28652094809149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138.85777503836195</v>
      </c>
      <c r="BQ114" s="21">
        <f>EXP(-LN(2)/25)*BQ113+(1-EXP(-LN(2)/25))/(LN(2)/25)*Calculateur!BL114*Calculateur!BN114*VLOOKUP('Données projet'!$B$11,Paramètres!$A$1:$I$89,3,0)*0.475*44/12</f>
        <v>40.273346755168163</v>
      </c>
      <c r="BR114" s="21">
        <f>EXP(-LN(2)/2)*BR113+(1-EXP(-LN(2)/2))/(LN(2)/2)*BL114*BO114*VLOOKUP('Données projet'!$B$11,Paramètres!$A$1:$I$89,3,0)*0.475*44/12</f>
        <v>1.2084230117653478</v>
      </c>
      <c r="BS114" s="22">
        <f t="shared" si="63"/>
        <v>180.33954480529545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5.6843418860808015E-13</v>
      </c>
      <c r="BZ114" s="13">
        <f>BY114*VLOOKUP('Données projet'!$B$12,Paramètres!$A$1:$I$89,3,0)*VLOOKUP('Données projet'!$B$12,Paramètres!$A$1:$I$89,5,0)</f>
        <v>3.177547114319168E-13</v>
      </c>
      <c r="CA114" s="13">
        <f t="shared" si="93"/>
        <v>4.1725404435445377E-12</v>
      </c>
      <c r="CB114" s="20">
        <f t="shared" si="64"/>
        <v>7.820597394917325E-12</v>
      </c>
      <c r="CC114" s="59">
        <f t="shared" si="65"/>
        <v>288.60294375940572</v>
      </c>
      <c r="CD114" s="59">
        <f ca="1">AVERAGE(OFFSET($CC$3,0,0,'Données projet'!$E$12+1,1))-AVERAGE(OFFSET($H$3,0,0,'Données projet'!$E$12+1,1))</f>
        <v>394.00476121021177</v>
      </c>
      <c r="CE114" s="59">
        <f t="shared" si="94"/>
        <v>363.10016759175278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102.44815901456747</v>
      </c>
      <c r="CL114" s="21">
        <f>EXP(-LN(2)/25)*CL113+(1-EXP(-LN(2)/25))/(LN(2)/25)*Calculateur!CG114*Calculateur!CI114*VLOOKUP('Données projet'!$B$12,Paramètres!$A$1:$I$89,3,0)*0.475*44/12</f>
        <v>24.628091173897968</v>
      </c>
      <c r="CM114" s="21">
        <f>EXP(-LN(2)/2)*CM113+(1-EXP(-LN(2)/2))/(LN(2)/2)*CG114*CJ114*VLOOKUP('Données projet'!$B$12,Paramètres!$A$1:$I$89,3,0)*0.475*44/12</f>
        <v>5.0917118325912247E-5</v>
      </c>
      <c r="CN114" s="22">
        <f t="shared" si="66"/>
        <v>127.07630110558377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68.709893752563048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3">
        <f>'Scénario référence'!$B$16*5+'Scénario référence'!$B$17*0+'Scénario référence'!$B$18*5</f>
        <v>1.7999999999999998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6.5999999999999988</v>
      </c>
      <c r="H115" s="67">
        <f t="shared" si="56"/>
        <v>230.26666666666665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1078.3946795523848</v>
      </c>
      <c r="S115" s="59">
        <f ca="1">AVERAGE(OFFSET($R$3,0,0,'Données projet'!$E$9+1,1))-AVERAGE(OFFSET($H$3,0,0,'Données projet'!$E$9+1,1))</f>
        <v>652.18744712713965</v>
      </c>
      <c r="T115" s="59">
        <f t="shared" si="88"/>
        <v>288.65635870281199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288.68500544294091</v>
      </c>
      <c r="AN115" s="59">
        <f ca="1">AVERAGE(OFFSET($AM$3,0,0,'Données projet'!$E$10+1,1))-AVERAGE(OFFSET($H$3,0,0,'Données projet'!$E$10+1,1))</f>
        <v>307.94699176410495</v>
      </c>
      <c r="AO115" s="59">
        <f t="shared" si="90"/>
        <v>314.22983137038875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49.586229234308618</v>
      </c>
      <c r="AV115" s="21">
        <f>EXP(-LN(2)/25)*AV114+(1-EXP(-LN(2)/25))/(LN(2)/25)*Calculateur!AQ115*Calculateur!AS115*VLOOKUP('Données projet'!$B$10,Paramètres!$A$1:$I$89,3,0)*0.475*44/12</f>
        <v>11.456880560459863</v>
      </c>
      <c r="AW115" s="21">
        <f>EXP(-LN(2)/2)*AW114+(1-EXP(-LN(2)/2))/(LN(2)/2)*AQ115*AT115*VLOOKUP('Données projet'!$B$10,Paramètres!$A$1:$I$89,3,0)*0.475*44/12</f>
        <v>8.9349512492647013E-7</v>
      </c>
      <c r="AX115" s="21">
        <f t="shared" si="60"/>
        <v>61.04311068826361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346.55780187946573</v>
      </c>
      <c r="BJ115" s="59">
        <f t="shared" si="92"/>
        <v>297.28652094809149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136.13485876473953</v>
      </c>
      <c r="BQ115" s="21">
        <f>EXP(-LN(2)/25)*BQ114+(1-EXP(-LN(2)/25))/(LN(2)/25)*Calculateur!BL115*Calculateur!BN115*VLOOKUP('Données projet'!$B$11,Paramètres!$A$1:$I$89,3,0)*0.475*44/12</f>
        <v>39.172069970264829</v>
      </c>
      <c r="BR115" s="21">
        <f>EXP(-LN(2)/2)*BR114+(1-EXP(-LN(2)/2))/(LN(2)/2)*BL115*BO115*VLOOKUP('Données projet'!$B$11,Paramètres!$A$1:$I$89,3,0)*0.475*44/12</f>
        <v>0.85448410616114856</v>
      </c>
      <c r="BS115" s="22">
        <f t="shared" si="63"/>
        <v>176.16141284116551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5.6843418860808015E-13</v>
      </c>
      <c r="BZ115" s="13">
        <f>BY115*VLOOKUP('Données projet'!$B$12,Paramètres!$A$1:$I$89,3,0)*VLOOKUP('Données projet'!$B$12,Paramètres!$A$1:$I$89,5,0)</f>
        <v>3.177547114319168E-13</v>
      </c>
      <c r="CA115" s="13">
        <f t="shared" si="93"/>
        <v>4.1725404435445377E-12</v>
      </c>
      <c r="CB115" s="20">
        <f t="shared" si="64"/>
        <v>7.820597394917325E-12</v>
      </c>
      <c r="CC115" s="59">
        <f t="shared" si="65"/>
        <v>288.68500544294676</v>
      </c>
      <c r="CD115" s="59">
        <f ca="1">AVERAGE(OFFSET($CC$3,0,0,'Données projet'!$E$12+1,1))-AVERAGE(OFFSET($H$3,0,0,'Données projet'!$E$12+1,1))</f>
        <v>394.00476121021177</v>
      </c>
      <c r="CE115" s="59">
        <f t="shared" si="94"/>
        <v>363.10016759175278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100.4392131034987</v>
      </c>
      <c r="CL115" s="21">
        <f>EXP(-LN(2)/25)*CL114+(1-EXP(-LN(2)/25))/(LN(2)/25)*Calculateur!CG115*Calculateur!CI115*VLOOKUP('Données projet'!$B$12,Paramètres!$A$1:$I$89,3,0)*0.475*44/12</f>
        <v>23.954634725612703</v>
      </c>
      <c r="CM115" s="21">
        <f>EXP(-LN(2)/2)*CM114+(1-EXP(-LN(2)/2))/(LN(2)/2)*CG115*CJ115*VLOOKUP('Données projet'!$B$12,Paramètres!$A$1:$I$89,3,0)*0.475*44/12</f>
        <v>3.600383964673038E-5</v>
      </c>
      <c r="CN115" s="22">
        <f t="shared" si="66"/>
        <v>124.39388383295106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68.732274211710603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3">
        <f>'Scénario référence'!$B$16*5+'Scénario référence'!$B$17*0+'Scénario référence'!$B$18*5</f>
        <v>1.7999999999999998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6.5999999999999988</v>
      </c>
      <c r="H116" s="67">
        <f t="shared" si="56"/>
        <v>230.26666666666665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1095.263468593439</v>
      </c>
      <c r="S116" s="59">
        <f ca="1">AVERAGE(OFFSET($R$3,0,0,'Données projet'!$E$9+1,1))-AVERAGE(OFFSET($H$3,0,0,'Données projet'!$E$9+1,1))</f>
        <v>652.18744712713965</v>
      </c>
      <c r="T116" s="59">
        <f t="shared" si="88"/>
        <v>288.65635870281199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288.76564353973487</v>
      </c>
      <c r="AN116" s="59">
        <f ca="1">AVERAGE(OFFSET($AM$3,0,0,'Données projet'!$E$10+1,1))-AVERAGE(OFFSET($H$3,0,0,'Données projet'!$E$10+1,1))</f>
        <v>307.94699176410495</v>
      </c>
      <c r="AO116" s="59">
        <f t="shared" si="90"/>
        <v>314.22983137038875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48.613873523637253</v>
      </c>
      <c r="AV116" s="21">
        <f>EXP(-LN(2)/25)*AV115+(1-EXP(-LN(2)/25))/(LN(2)/25)*Calculateur!AQ116*Calculateur!AS116*VLOOKUP('Données projet'!$B$10,Paramètres!$A$1:$I$89,3,0)*0.475*44/12</f>
        <v>11.143591559042925</v>
      </c>
      <c r="AW116" s="21">
        <f>EXP(-LN(2)/2)*AW115+(1-EXP(-LN(2)/2))/(LN(2)/2)*AQ116*AT116*VLOOKUP('Données projet'!$B$10,Paramètres!$A$1:$I$89,3,0)*0.475*44/12</f>
        <v>6.3179646179262845E-7</v>
      </c>
      <c r="AX116" s="21">
        <f t="shared" si="60"/>
        <v>59.757465714476638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346.55780187946573</v>
      </c>
      <c r="BJ116" s="59">
        <f t="shared" si="92"/>
        <v>297.28652094809149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133.46533721842789</v>
      </c>
      <c r="BQ116" s="21">
        <f>EXP(-LN(2)/25)*BQ115+(1-EXP(-LN(2)/25))/(LN(2)/25)*Calculateur!BL116*Calculateur!BN116*VLOOKUP('Données projet'!$B$11,Paramètres!$A$1:$I$89,3,0)*0.475*44/12</f>
        <v>38.100907656958306</v>
      </c>
      <c r="BR116" s="21">
        <f>EXP(-LN(2)/2)*BR115+(1-EXP(-LN(2)/2))/(LN(2)/2)*BL116*BO116*VLOOKUP('Données projet'!$B$11,Paramètres!$A$1:$I$89,3,0)*0.475*44/12</f>
        <v>0.60421150588267392</v>
      </c>
      <c r="BS116" s="22">
        <f t="shared" si="63"/>
        <v>172.17045638126888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5.6843418860808015E-13</v>
      </c>
      <c r="BZ116" s="13">
        <f>BY116*VLOOKUP('Données projet'!$B$12,Paramètres!$A$1:$I$89,3,0)*VLOOKUP('Données projet'!$B$12,Paramètres!$A$1:$I$89,5,0)</f>
        <v>3.177547114319168E-13</v>
      </c>
      <c r="CA116" s="13">
        <f t="shared" si="93"/>
        <v>4.1725404435445377E-12</v>
      </c>
      <c r="CB116" s="20">
        <f t="shared" si="64"/>
        <v>7.820597394917325E-12</v>
      </c>
      <c r="CC116" s="59">
        <f t="shared" si="65"/>
        <v>288.76564353974072</v>
      </c>
      <c r="CD116" s="59">
        <f ca="1">AVERAGE(OFFSET($CC$3,0,0,'Données projet'!$E$12+1,1))-AVERAGE(OFFSET($H$3,0,0,'Données projet'!$E$12+1,1))</f>
        <v>394.00476121021177</v>
      </c>
      <c r="CE116" s="59">
        <f t="shared" si="94"/>
        <v>363.10016759175278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98.469661396409975</v>
      </c>
      <c r="CL116" s="21">
        <f>EXP(-LN(2)/25)*CL115+(1-EXP(-LN(2)/25))/(LN(2)/25)*Calculateur!CG116*Calculateur!CI116*VLOOKUP('Données projet'!$B$12,Paramètres!$A$1:$I$89,3,0)*0.475*44/12</f>
        <v>23.299593979321333</v>
      </c>
      <c r="CM116" s="21">
        <f>EXP(-LN(2)/2)*CM115+(1-EXP(-LN(2)/2))/(LN(2)/2)*CG116*CJ116*VLOOKUP('Données projet'!$B$12,Paramètres!$A$1:$I$89,3,0)*0.475*44/12</f>
        <v>2.5458559162956124E-5</v>
      </c>
      <c r="CN116" s="22">
        <f t="shared" si="66"/>
        <v>121.76928083429047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68.754266419927148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3">
        <f>'Scénario référence'!$B$16*5+'Scénario référence'!$B$17*0+'Scénario référence'!$B$18*5</f>
        <v>1.7999999999999998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6.5999999999999988</v>
      </c>
      <c r="H117" s="67">
        <f t="shared" si="56"/>
        <v>230.26666666666665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1112.1238094349383</v>
      </c>
      <c r="S117" s="59">
        <f ca="1">AVERAGE(OFFSET($R$3,0,0,'Données projet'!$E$9+1,1))-AVERAGE(OFFSET($H$3,0,0,'Données projet'!$E$9+1,1))</f>
        <v>652.18744712713965</v>
      </c>
      <c r="T117" s="59">
        <f t="shared" si="88"/>
        <v>288.65635870281199</v>
      </c>
      <c r="U117" s="15">
        <f>IF(ISNA(VLOOKUP(A117,'Données projet'!$A$35:$I$55,3,0)),0,VLOOKUP(A117,'Données projet'!$A$35:$I$55,3,0))</f>
        <v>11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288.8448827458293</v>
      </c>
      <c r="AN117" s="59">
        <f ca="1">AVERAGE(OFFSET($AM$3,0,0,'Données projet'!$E$10+1,1))-AVERAGE(OFFSET($H$3,0,0,'Données projet'!$E$10+1,1))</f>
        <v>307.94699176410495</v>
      </c>
      <c r="AO117" s="59">
        <f t="shared" si="90"/>
        <v>314.22983137038875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47.660585115373728</v>
      </c>
      <c r="AV117" s="21">
        <f>EXP(-LN(2)/25)*AV116+(1-EXP(-LN(2)/25))/(LN(2)/25)*Calculateur!AQ117*Calculateur!AS117*VLOOKUP('Données projet'!$B$10,Paramètres!$A$1:$I$89,3,0)*0.475*44/12</f>
        <v>10.838869461844885</v>
      </c>
      <c r="AW117" s="21">
        <f>EXP(-LN(2)/2)*AW116+(1-EXP(-LN(2)/2))/(LN(2)/2)*AQ117*AT117*VLOOKUP('Données projet'!$B$10,Paramètres!$A$1:$I$89,3,0)*0.475*44/12</f>
        <v>4.4674756246323506E-7</v>
      </c>
      <c r="AX117" s="21">
        <f t="shared" si="60"/>
        <v>58.499455023966178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346.55780187946573</v>
      </c>
      <c r="BJ117" s="59">
        <f t="shared" si="92"/>
        <v>297.28652094809149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130.84816336139207</v>
      </c>
      <c r="BQ117" s="21">
        <f>EXP(-LN(2)/25)*BQ116+(1-EXP(-LN(2)/25))/(LN(2)/25)*Calculateur!BL117*Calculateur!BN117*VLOOKUP('Données projet'!$B$11,Paramètres!$A$1:$I$89,3,0)*0.475*44/12</f>
        <v>37.059036333439131</v>
      </c>
      <c r="BR117" s="21">
        <f>EXP(-LN(2)/2)*BR116+(1-EXP(-LN(2)/2))/(LN(2)/2)*BL117*BO117*VLOOKUP('Données projet'!$B$11,Paramètres!$A$1:$I$89,3,0)*0.475*44/12</f>
        <v>0.42724205308057428</v>
      </c>
      <c r="BS117" s="22">
        <f t="shared" si="63"/>
        <v>168.33444174791177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5.6843418860808015E-13</v>
      </c>
      <c r="BZ117" s="13">
        <f>BY117*VLOOKUP('Données projet'!$B$12,Paramètres!$A$1:$I$89,3,0)*VLOOKUP('Données projet'!$B$12,Paramètres!$A$1:$I$89,5,0)</f>
        <v>3.177547114319168E-13</v>
      </c>
      <c r="CA117" s="13">
        <f t="shared" si="93"/>
        <v>4.1725404435445377E-12</v>
      </c>
      <c r="CB117" s="20">
        <f t="shared" si="64"/>
        <v>7.820597394917325E-12</v>
      </c>
      <c r="CC117" s="59">
        <f t="shared" si="65"/>
        <v>288.84488274583515</v>
      </c>
      <c r="CD117" s="59">
        <f ca="1">AVERAGE(OFFSET($CC$3,0,0,'Données projet'!$E$12+1,1))-AVERAGE(OFFSET($H$3,0,0,'Données projet'!$E$12+1,1))</f>
        <v>394.00476121021177</v>
      </c>
      <c r="CE117" s="59">
        <f t="shared" si="94"/>
        <v>363.10016759175278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96.538731396989334</v>
      </c>
      <c r="CL117" s="21">
        <f>EXP(-LN(2)/25)*CL116+(1-EXP(-LN(2)/25))/(LN(2)/25)*Calculateur!CG117*Calculateur!CI117*VLOOKUP('Données projet'!$B$12,Paramètres!$A$1:$I$89,3,0)*0.475*44/12</f>
        <v>22.662465356684397</v>
      </c>
      <c r="CM117" s="21">
        <f>EXP(-LN(2)/2)*CM116+(1-EXP(-LN(2)/2))/(LN(2)/2)*CG117*CJ117*VLOOKUP('Données projet'!$B$12,Paramètres!$A$1:$I$89,3,0)*0.475*44/12</f>
        <v>1.800191982336519E-5</v>
      </c>
      <c r="CN117" s="22">
        <f t="shared" si="66"/>
        <v>119.20121475559355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68.775877112498364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3">
        <f>'Scénario référence'!$B$16*5+'Scénario référence'!$B$17*0+'Scénario référence'!$B$18*5</f>
        <v>1.7999999999999998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6.5999999999999988</v>
      </c>
      <c r="H118" s="67">
        <f t="shared" si="56"/>
        <v>230.26666666666665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1011.6454092381413</v>
      </c>
      <c r="S118" s="59">
        <f ca="1">AVERAGE(OFFSET($R$3,0,0,'Données projet'!$E$9+1,1))-AVERAGE(OFFSET($H$3,0,0,'Données projet'!$E$9+1,1))</f>
        <v>652.18744712713965</v>
      </c>
      <c r="T118" s="59">
        <f t="shared" si="88"/>
        <v>288.65635870281199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288.92274732885033</v>
      </c>
      <c r="AN118" s="59">
        <f ca="1">AVERAGE(OFFSET($AM$3,0,0,'Données projet'!$E$10+1,1))-AVERAGE(OFFSET($H$3,0,0,'Données projet'!$E$10+1,1))</f>
        <v>307.94699176410495</v>
      </c>
      <c r="AO118" s="59">
        <f t="shared" si="90"/>
        <v>314.22983137038875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46.725990111347734</v>
      </c>
      <c r="AV118" s="21">
        <f>EXP(-LN(2)/25)*AV117+(1-EXP(-LN(2)/25))/(LN(2)/25)*Calculateur!AQ118*Calculateur!AS118*VLOOKUP('Données projet'!$B$10,Paramètres!$A$1:$I$89,3,0)*0.475*44/12</f>
        <v>10.542480006419364</v>
      </c>
      <c r="AW118" s="21">
        <f>EXP(-LN(2)/2)*AW117+(1-EXP(-LN(2)/2))/(LN(2)/2)*AQ118*AT118*VLOOKUP('Données projet'!$B$10,Paramètres!$A$1:$I$89,3,0)*0.475*44/12</f>
        <v>3.1589823089631423E-7</v>
      </c>
      <c r="AX118" s="21">
        <f t="shared" si="60"/>
        <v>57.268470433665328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346.55780187946573</v>
      </c>
      <c r="BJ118" s="59">
        <f t="shared" si="92"/>
        <v>297.28652094809149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128.28231068737429</v>
      </c>
      <c r="BQ118" s="21">
        <f>EXP(-LN(2)/25)*BQ117+(1-EXP(-LN(2)/25))/(LN(2)/25)*Calculateur!BL118*Calculateur!BN118*VLOOKUP('Données projet'!$B$11,Paramètres!$A$1:$I$89,3,0)*0.475*44/12</f>
        <v>36.045655036051215</v>
      </c>
      <c r="BR118" s="21">
        <f>EXP(-LN(2)/2)*BR117+(1-EXP(-LN(2)/2))/(LN(2)/2)*BL118*BO118*VLOOKUP('Données projet'!$B$11,Paramètres!$A$1:$I$89,3,0)*0.475*44/12</f>
        <v>0.30210575294133696</v>
      </c>
      <c r="BS118" s="22">
        <f t="shared" si="63"/>
        <v>164.63007147636685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5.6843418860808015E-13</v>
      </c>
      <c r="BZ118" s="13">
        <f>BY118*VLOOKUP('Données projet'!$B$12,Paramètres!$A$1:$I$89,3,0)*VLOOKUP('Données projet'!$B$12,Paramètres!$A$1:$I$89,5,0)</f>
        <v>3.177547114319168E-13</v>
      </c>
      <c r="CA118" s="13">
        <f t="shared" si="93"/>
        <v>4.1725404435445377E-12</v>
      </c>
      <c r="CB118" s="20">
        <f t="shared" si="64"/>
        <v>7.820597394917325E-12</v>
      </c>
      <c r="CC118" s="59">
        <f t="shared" si="65"/>
        <v>288.92274732885619</v>
      </c>
      <c r="CD118" s="59">
        <f ca="1">AVERAGE(OFFSET($CC$3,0,0,'Données projet'!$E$12+1,1))-AVERAGE(OFFSET($H$3,0,0,'Données projet'!$E$12+1,1))</f>
        <v>394.00476121021177</v>
      </c>
      <c r="CE118" s="59">
        <f t="shared" si="94"/>
        <v>363.10016759175278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94.645665757106329</v>
      </c>
      <c r="CL118" s="21">
        <f>EXP(-LN(2)/25)*CL117+(1-EXP(-LN(2)/25))/(LN(2)/25)*Calculateur!CG118*Calculateur!CI118*VLOOKUP('Données projet'!$B$12,Paramètres!$A$1:$I$89,3,0)*0.475*44/12</f>
        <v>22.042759049738606</v>
      </c>
      <c r="CM118" s="21">
        <f>EXP(-LN(2)/2)*CM117+(1-EXP(-LN(2)/2))/(LN(2)/2)*CG118*CJ118*VLOOKUP('Données projet'!$B$12,Paramètres!$A$1:$I$89,3,0)*0.475*44/12</f>
        <v>1.2729279581478062E-5</v>
      </c>
      <c r="CN118" s="22">
        <f t="shared" si="66"/>
        <v>116.68843753612451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68.797112907867728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3">
        <f>'Scénario référence'!$B$16*5+'Scénario référence'!$B$17*0+'Scénario référence'!$B$18*5</f>
        <v>1.7999999999999998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6.5999999999999988</v>
      </c>
      <c r="H119" s="67">
        <f t="shared" si="56"/>
        <v>230.26666666666665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1028.6749246220236</v>
      </c>
      <c r="S119" s="59">
        <f ca="1">AVERAGE(OFFSET($R$3,0,0,'Données projet'!$E$9+1,1))-AVERAGE(OFFSET($H$3,0,0,'Données projet'!$E$9+1,1))</f>
        <v>652.18744712713965</v>
      </c>
      <c r="T119" s="59">
        <f t="shared" si="88"/>
        <v>288.65635870281199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288.99926113543506</v>
      </c>
      <c r="AN119" s="59">
        <f ca="1">AVERAGE(OFFSET($AM$3,0,0,'Données projet'!$E$10+1,1))-AVERAGE(OFFSET($H$3,0,0,'Données projet'!$E$10+1,1))</f>
        <v>307.94699176410495</v>
      </c>
      <c r="AO119" s="59">
        <f t="shared" si="90"/>
        <v>314.22983137038875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45.809721945304027</v>
      </c>
      <c r="AV119" s="21">
        <f>EXP(-LN(2)/25)*AV118+(1-EXP(-LN(2)/25))/(LN(2)/25)*Calculateur!AQ119*Calculateur!AS119*VLOOKUP('Données projet'!$B$10,Paramètres!$A$1:$I$89,3,0)*0.475*44/12</f>
        <v>10.254195336238897</v>
      </c>
      <c r="AW119" s="21">
        <f>EXP(-LN(2)/2)*AW118+(1-EXP(-LN(2)/2))/(LN(2)/2)*AQ119*AT119*VLOOKUP('Données projet'!$B$10,Paramètres!$A$1:$I$89,3,0)*0.475*44/12</f>
        <v>2.2337378123161753E-7</v>
      </c>
      <c r="AX119" s="21">
        <f t="shared" si="60"/>
        <v>56.063917504916709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346.55780187946573</v>
      </c>
      <c r="BJ119" s="59">
        <f t="shared" si="92"/>
        <v>297.28652094809149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125.7667728192784</v>
      </c>
      <c r="BQ119" s="21">
        <f>EXP(-LN(2)/25)*BQ118+(1-EXP(-LN(2)/25))/(LN(2)/25)*Calculateur!BL119*Calculateur!BN119*VLOOKUP('Données projet'!$B$11,Paramètres!$A$1:$I$89,3,0)*0.475*44/12</f>
        <v>35.059984703531782</v>
      </c>
      <c r="BR119" s="21">
        <f>EXP(-LN(2)/2)*BR118+(1-EXP(-LN(2)/2))/(LN(2)/2)*BL119*BO119*VLOOKUP('Données projet'!$B$11,Paramètres!$A$1:$I$89,3,0)*0.475*44/12</f>
        <v>0.21362102654028714</v>
      </c>
      <c r="BS119" s="22">
        <f t="shared" si="63"/>
        <v>161.04037854935046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5.6843418860808015E-13</v>
      </c>
      <c r="BZ119" s="13">
        <f>BY119*VLOOKUP('Données projet'!$B$12,Paramètres!$A$1:$I$89,3,0)*VLOOKUP('Données projet'!$B$12,Paramètres!$A$1:$I$89,5,0)</f>
        <v>3.177547114319168E-13</v>
      </c>
      <c r="CA119" s="13">
        <f t="shared" si="93"/>
        <v>4.1725404435445377E-12</v>
      </c>
      <c r="CB119" s="20">
        <f t="shared" si="64"/>
        <v>7.820597394917325E-12</v>
      </c>
      <c r="CC119" s="59">
        <f t="shared" si="65"/>
        <v>288.99926113544092</v>
      </c>
      <c r="CD119" s="59">
        <f ca="1">AVERAGE(OFFSET($CC$3,0,0,'Données projet'!$E$12+1,1))-AVERAGE(OFFSET($H$3,0,0,'Données projet'!$E$12+1,1))</f>
        <v>394.00476121021177</v>
      </c>
      <c r="CE119" s="59">
        <f t="shared" si="94"/>
        <v>363.10016759175278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92.789721979765403</v>
      </c>
      <c r="CL119" s="21">
        <f>EXP(-LN(2)/25)*CL118+(1-EXP(-LN(2)/25))/(LN(2)/25)*Calculateur!CG119*Calculateur!CI119*VLOOKUP('Données projet'!$B$12,Paramètres!$A$1:$I$89,3,0)*0.475*44/12</f>
        <v>21.439998644345184</v>
      </c>
      <c r="CM119" s="21">
        <f>EXP(-LN(2)/2)*CM118+(1-EXP(-LN(2)/2))/(LN(2)/2)*CG119*CJ119*VLOOKUP('Données projet'!$B$12,Paramètres!$A$1:$I$89,3,0)*0.475*44/12</f>
        <v>9.0009599116825949E-6</v>
      </c>
      <c r="CN119" s="22">
        <f t="shared" si="66"/>
        <v>114.22972962507049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68.817980309663568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3">
        <f>'Scénario référence'!$B$16*5+'Scénario référence'!$B$17*0+'Scénario référence'!$B$18*5</f>
        <v>1.7999999999999998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6.5999999999999988</v>
      </c>
      <c r="H120" s="67">
        <f t="shared" si="56"/>
        <v>230.26666666666665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1045.6952063491724</v>
      </c>
      <c r="S120" s="59">
        <f ca="1">AVERAGE(OFFSET($R$3,0,0,'Données projet'!$E$9+1,1))-AVERAGE(OFFSET($H$3,0,0,'Données projet'!$E$9+1,1))</f>
        <v>652.18744712713965</v>
      </c>
      <c r="T120" s="59">
        <f t="shared" si="88"/>
        <v>288.65635870281199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289.07444759853479</v>
      </c>
      <c r="AN120" s="59">
        <f ca="1">AVERAGE(OFFSET($AM$3,0,0,'Données projet'!$E$10+1,1))-AVERAGE(OFFSET($H$3,0,0,'Données projet'!$E$10+1,1))</f>
        <v>307.94699176410495</v>
      </c>
      <c r="AO120" s="59">
        <f t="shared" si="90"/>
        <v>314.22983137038875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44.911421239128039</v>
      </c>
      <c r="AV120" s="21">
        <f>EXP(-LN(2)/25)*AV119+(1-EXP(-LN(2)/25))/(LN(2)/25)*Calculateur!AQ120*Calculateur!AS120*VLOOKUP('Données projet'!$B$10,Paramètres!$A$1:$I$89,3,0)*0.475*44/12</f>
        <v>9.9737938255247478</v>
      </c>
      <c r="AW120" s="21">
        <f>EXP(-LN(2)/2)*AW119+(1-EXP(-LN(2)/2))/(LN(2)/2)*AQ120*AT120*VLOOKUP('Données projet'!$B$10,Paramètres!$A$1:$I$89,3,0)*0.475*44/12</f>
        <v>1.5794911544815711E-7</v>
      </c>
      <c r="AX120" s="21">
        <f t="shared" si="60"/>
        <v>54.8852152226019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346.55780187946573</v>
      </c>
      <c r="BJ120" s="59">
        <f t="shared" si="92"/>
        <v>297.28652094809149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123.30056311444928</v>
      </c>
      <c r="BQ120" s="21">
        <f>EXP(-LN(2)/25)*BQ119+(1-EXP(-LN(2)/25))/(LN(2)/25)*Calculateur!BL120*Calculateur!BN120*VLOOKUP('Données projet'!$B$11,Paramètres!$A$1:$I$89,3,0)*0.475*44/12</f>
        <v>34.101267578089242</v>
      </c>
      <c r="BR120" s="21">
        <f>EXP(-LN(2)/2)*BR119+(1-EXP(-LN(2)/2))/(LN(2)/2)*BL120*BO120*VLOOKUP('Données projet'!$B$11,Paramètres!$A$1:$I$89,3,0)*0.475*44/12</f>
        <v>0.15105287647066848</v>
      </c>
      <c r="BS120" s="22">
        <f t="shared" si="63"/>
        <v>157.55288356900917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5.6843418860808015E-13</v>
      </c>
      <c r="BZ120" s="13">
        <f>BY120*VLOOKUP('Données projet'!$B$12,Paramètres!$A$1:$I$89,3,0)*VLOOKUP('Données projet'!$B$12,Paramètres!$A$1:$I$89,5,0)</f>
        <v>3.177547114319168E-13</v>
      </c>
      <c r="CA120" s="13">
        <f t="shared" si="93"/>
        <v>4.1725404435445377E-12</v>
      </c>
      <c r="CB120" s="20">
        <f t="shared" si="64"/>
        <v>7.820597394917325E-12</v>
      </c>
      <c r="CC120" s="59">
        <f t="shared" si="65"/>
        <v>289.07444759854064</v>
      </c>
      <c r="CD120" s="59">
        <f ca="1">AVERAGE(OFFSET($CC$3,0,0,'Données projet'!$E$12+1,1))-AVERAGE(OFFSET($H$3,0,0,'Données projet'!$E$12+1,1))</f>
        <v>394.00476121021177</v>
      </c>
      <c r="CE120" s="59">
        <f t="shared" si="94"/>
        <v>363.10016759175278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90.970172127884211</v>
      </c>
      <c r="CL120" s="21">
        <f>EXP(-LN(2)/25)*CL119+(1-EXP(-LN(2)/25))/(LN(2)/25)*Calculateur!CG120*Calculateur!CI120*VLOOKUP('Données projet'!$B$12,Paramètres!$A$1:$I$89,3,0)*0.475*44/12</f>
        <v>20.85372075393504</v>
      </c>
      <c r="CM120" s="21">
        <f>EXP(-LN(2)/2)*CM119+(1-EXP(-LN(2)/2))/(LN(2)/2)*CG120*CJ120*VLOOKUP('Données projet'!$B$12,Paramètres!$A$1:$I$89,3,0)*0.475*44/12</f>
        <v>6.3646397907390309E-6</v>
      </c>
      <c r="CN120" s="22">
        <f t="shared" si="66"/>
        <v>111.82389924645904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68.838485708690769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3">
        <f>'Scénario référence'!$B$16*5+'Scénario référence'!$B$17*0+'Scénario référence'!$B$18*5</f>
        <v>1.7999999999999998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6.5999999999999988</v>
      </c>
      <c r="H121" s="67">
        <f t="shared" si="56"/>
        <v>230.26666666666665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1062.7064792885071</v>
      </c>
      <c r="S121" s="59">
        <f ca="1">AVERAGE(OFFSET($R$3,0,0,'Données projet'!$E$9+1,1))-AVERAGE(OFFSET($H$3,0,0,'Données projet'!$E$9+1,1))</f>
        <v>652.18744712713965</v>
      </c>
      <c r="T121" s="59">
        <f t="shared" si="88"/>
        <v>288.65635870281199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289.14832974459148</v>
      </c>
      <c r="AN121" s="59">
        <f ca="1">AVERAGE(OFFSET($AM$3,0,0,'Données projet'!$E$10+1,1))-AVERAGE(OFFSET($H$3,0,0,'Données projet'!$E$10+1,1))</f>
        <v>307.94699176410495</v>
      </c>
      <c r="AO121" s="59">
        <f t="shared" si="90"/>
        <v>314.22983137038875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44.030735661890837</v>
      </c>
      <c r="AV121" s="21">
        <f>EXP(-LN(2)/25)*AV120+(1-EXP(-LN(2)/25))/(LN(2)/25)*Calculateur!AQ121*Calculateur!AS121*VLOOKUP('Données projet'!$B$10,Paramètres!$A$1:$I$89,3,0)*0.475*44/12</f>
        <v>9.7010599088667515</v>
      </c>
      <c r="AW121" s="21">
        <f>EXP(-LN(2)/2)*AW120+(1-EXP(-LN(2)/2))/(LN(2)/2)*AQ121*AT121*VLOOKUP('Données projet'!$B$10,Paramètres!$A$1:$I$89,3,0)*0.475*44/12</f>
        <v>1.1168689061580877E-7</v>
      </c>
      <c r="AX121" s="21">
        <f t="shared" si="60"/>
        <v>53.731795682444478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346.55780187946573</v>
      </c>
      <c r="BJ121" s="59">
        <f t="shared" si="92"/>
        <v>297.28652094809149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120.88271427769246</v>
      </c>
      <c r="BQ121" s="21">
        <f>EXP(-LN(2)/25)*BQ120+(1-EXP(-LN(2)/25))/(LN(2)/25)*Calculateur!BL121*Calculateur!BN121*VLOOKUP('Données projet'!$B$11,Paramètres!$A$1:$I$89,3,0)*0.475*44/12</f>
        <v>33.168766622858669</v>
      </c>
      <c r="BR121" s="21">
        <f>EXP(-LN(2)/2)*BR120+(1-EXP(-LN(2)/2))/(LN(2)/2)*BL121*BO121*VLOOKUP('Données projet'!$B$11,Paramètres!$A$1:$I$89,3,0)*0.475*44/12</f>
        <v>0.10681051327014357</v>
      </c>
      <c r="BS121" s="22">
        <f t="shared" si="63"/>
        <v>154.15829141382127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5.6843418860808015E-13</v>
      </c>
      <c r="BZ121" s="13">
        <f>BY121*VLOOKUP('Données projet'!$B$12,Paramètres!$A$1:$I$89,3,0)*VLOOKUP('Données projet'!$B$12,Paramètres!$A$1:$I$89,5,0)</f>
        <v>3.177547114319168E-13</v>
      </c>
      <c r="CA121" s="13">
        <f t="shared" si="93"/>
        <v>4.1725404435445377E-12</v>
      </c>
      <c r="CB121" s="20">
        <f t="shared" si="64"/>
        <v>7.820597394917325E-12</v>
      </c>
      <c r="CC121" s="59">
        <f t="shared" si="65"/>
        <v>289.14832974459733</v>
      </c>
      <c r="CD121" s="59">
        <f ca="1">AVERAGE(OFFSET($CC$3,0,0,'Données projet'!$E$12+1,1))-AVERAGE(OFFSET($H$3,0,0,'Données projet'!$E$12+1,1))</f>
        <v>394.00476121021177</v>
      </c>
      <c r="CE121" s="59">
        <f t="shared" si="94"/>
        <v>363.10016759175278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89.186302538782584</v>
      </c>
      <c r="CL121" s="21">
        <f>EXP(-LN(2)/25)*CL120+(1-EXP(-LN(2)/25))/(LN(2)/25)*Calculateur!CG121*Calculateur!CI121*VLOOKUP('Données projet'!$B$12,Paramètres!$A$1:$I$89,3,0)*0.475*44/12</f>
        <v>20.283474663269175</v>
      </c>
      <c r="CM121" s="21">
        <f>EXP(-LN(2)/2)*CM120+(1-EXP(-LN(2)/2))/(LN(2)/2)*CG121*CJ121*VLOOKUP('Données projet'!$B$12,Paramètres!$A$1:$I$89,3,0)*0.475*44/12</f>
        <v>4.5004799558412974E-6</v>
      </c>
      <c r="CN121" s="22">
        <f t="shared" si="66"/>
        <v>109.46978170253172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68.858635384888046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3">
        <f>'Scénario référence'!$B$16*5+'Scénario référence'!$B$17*0+'Scénario référence'!$B$18*5</f>
        <v>1.7999999999999998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6.5999999999999988</v>
      </c>
      <c r="H122" s="67">
        <f t="shared" si="56"/>
        <v>230.26666666666665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1079.708958358603</v>
      </c>
      <c r="S122" s="59">
        <f ca="1">AVERAGE(OFFSET($R$3,0,0,'Données projet'!$E$9+1,1))-AVERAGE(OFFSET($H$3,0,0,'Données projet'!$E$9+1,1))</f>
        <v>652.18744712713965</v>
      </c>
      <c r="T122" s="59">
        <f t="shared" si="88"/>
        <v>288.65635870281199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289.22093020058986</v>
      </c>
      <c r="AN122" s="59">
        <f ca="1">AVERAGE(OFFSET($AM$3,0,0,'Données projet'!$E$10+1,1))-AVERAGE(OFFSET($H$3,0,0,'Données projet'!$E$10+1,1))</f>
        <v>307.94699176410495</v>
      </c>
      <c r="AO122" s="59">
        <f t="shared" si="90"/>
        <v>314.22983137038875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43.167319791658095</v>
      </c>
      <c r="AV122" s="21">
        <f>EXP(-LN(2)/25)*AV121+(1-EXP(-LN(2)/25))/(LN(2)/25)*Calculateur!AQ122*Calculateur!AS122*VLOOKUP('Données projet'!$B$10,Paramètres!$A$1:$I$89,3,0)*0.475*44/12</f>
        <v>9.4357839155022223</v>
      </c>
      <c r="AW122" s="21">
        <f>EXP(-LN(2)/2)*AW121+(1-EXP(-LN(2)/2))/(LN(2)/2)*AQ122*AT122*VLOOKUP('Données projet'!$B$10,Paramètres!$A$1:$I$89,3,0)*0.475*44/12</f>
        <v>7.8974557724078556E-8</v>
      </c>
      <c r="AX122" s="21">
        <f t="shared" si="60"/>
        <v>52.603103786134874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346.55780187946573</v>
      </c>
      <c r="BJ122" s="59">
        <f t="shared" si="92"/>
        <v>297.28652094809149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118.51227798188226</v>
      </c>
      <c r="BQ122" s="21">
        <f>EXP(-LN(2)/25)*BQ121+(1-EXP(-LN(2)/25))/(LN(2)/25)*Calculateur!BL122*Calculateur!BN122*VLOOKUP('Données projet'!$B$11,Paramètres!$A$1:$I$89,3,0)*0.475*44/12</f>
        <v>32.261764955286971</v>
      </c>
      <c r="BR122" s="21">
        <f>EXP(-LN(2)/2)*BR121+(1-EXP(-LN(2)/2))/(LN(2)/2)*BL122*BO122*VLOOKUP('Données projet'!$B$11,Paramètres!$A$1:$I$89,3,0)*0.475*44/12</f>
        <v>7.552643823533424E-2</v>
      </c>
      <c r="BS122" s="22">
        <f t="shared" si="63"/>
        <v>150.84956937540457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5.6843418860808015E-13</v>
      </c>
      <c r="BZ122" s="13">
        <f>BY122*VLOOKUP('Données projet'!$B$12,Paramètres!$A$1:$I$89,3,0)*VLOOKUP('Données projet'!$B$12,Paramètres!$A$1:$I$89,5,0)</f>
        <v>3.177547114319168E-13</v>
      </c>
      <c r="CA122" s="13">
        <f t="shared" si="93"/>
        <v>4.1725404435445377E-12</v>
      </c>
      <c r="CB122" s="20">
        <f t="shared" si="64"/>
        <v>7.820597394917325E-12</v>
      </c>
      <c r="CC122" s="59">
        <f t="shared" si="65"/>
        <v>289.22093020059572</v>
      </c>
      <c r="CD122" s="59">
        <f ca="1">AVERAGE(OFFSET($CC$3,0,0,'Données projet'!$E$12+1,1))-AVERAGE(OFFSET($H$3,0,0,'Données projet'!$E$12+1,1))</f>
        <v>394.00476121021177</v>
      </c>
      <c r="CE122" s="59">
        <f t="shared" si="94"/>
        <v>363.10016759175278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87.437413544270228</v>
      </c>
      <c r="CL122" s="21">
        <f>EXP(-LN(2)/25)*CL121+(1-EXP(-LN(2)/25))/(LN(2)/25)*Calculateur!CG122*Calculateur!CI122*VLOOKUP('Données projet'!$B$12,Paramètres!$A$1:$I$89,3,0)*0.475*44/12</f>
        <v>19.728821981940506</v>
      </c>
      <c r="CM122" s="21">
        <f>EXP(-LN(2)/2)*CM121+(1-EXP(-LN(2)/2))/(LN(2)/2)*CG122*CJ122*VLOOKUP('Données projet'!$B$12,Paramètres!$A$1:$I$89,3,0)*0.475*44/12</f>
        <v>3.1823198953695154E-6</v>
      </c>
      <c r="CN122" s="22">
        <f t="shared" si="66"/>
        <v>107.16623870853063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68.878435509251233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3">
        <f>'Scénario référence'!$B$16*5+'Scénario référence'!$B$17*0+'Scénario référence'!$B$18*5</f>
        <v>1.7999999999999998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6.5999999999999988</v>
      </c>
      <c r="H123" s="67">
        <f t="shared" si="56"/>
        <v>230.26666666666665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1096.7028491855876</v>
      </c>
      <c r="S123" s="59">
        <f ca="1">AVERAGE(OFFSET($R$3,0,0,'Données projet'!$E$9+1,1))-AVERAGE(OFFSET($H$3,0,0,'Données projet'!$E$9+1,1))</f>
        <v>652.18744712713965</v>
      </c>
      <c r="T123" s="59">
        <f t="shared" si="88"/>
        <v>288.65635870281199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289.29227120098693</v>
      </c>
      <c r="AN123" s="59">
        <f ca="1">AVERAGE(OFFSET($AM$3,0,0,'Données projet'!$E$10+1,1))-AVERAGE(OFFSET($H$3,0,0,'Données projet'!$E$10+1,1))</f>
        <v>307.94699176410495</v>
      </c>
      <c r="AO123" s="59">
        <f t="shared" si="90"/>
        <v>314.22983137038875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42.320834980008932</v>
      </c>
      <c r="AV123" s="21">
        <f>EXP(-LN(2)/25)*AV122+(1-EXP(-LN(2)/25))/(LN(2)/25)*Calculateur!AQ123*Calculateur!AS123*VLOOKUP('Données projet'!$B$10,Paramètres!$A$1:$I$89,3,0)*0.475*44/12</f>
        <v>9.1777619081265041</v>
      </c>
      <c r="AW123" s="21">
        <f>EXP(-LN(2)/2)*AW122+(1-EXP(-LN(2)/2))/(LN(2)/2)*AQ123*AT123*VLOOKUP('Données projet'!$B$10,Paramètres!$A$1:$I$89,3,0)*0.475*44/12</f>
        <v>5.5843445307904383E-8</v>
      </c>
      <c r="AX123" s="21">
        <f t="shared" si="60"/>
        <v>51.498596943978882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346.55780187946573</v>
      </c>
      <c r="BJ123" s="59">
        <f t="shared" si="92"/>
        <v>297.28652094809149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116.18832449600954</v>
      </c>
      <c r="BQ123" s="21">
        <f>EXP(-LN(2)/25)*BQ122+(1-EXP(-LN(2)/25))/(LN(2)/25)*Calculateur!BL123*Calculateur!BN123*VLOOKUP('Données projet'!$B$11,Paramètres!$A$1:$I$89,3,0)*0.475*44/12</f>
        <v>31.379565296012164</v>
      </c>
      <c r="BR123" s="21">
        <f>EXP(-LN(2)/2)*BR122+(1-EXP(-LN(2)/2))/(LN(2)/2)*BL123*BO123*VLOOKUP('Données projet'!$B$11,Paramètres!$A$1:$I$89,3,0)*0.475*44/12</f>
        <v>5.3405256635071785E-2</v>
      </c>
      <c r="BS123" s="22">
        <f t="shared" si="63"/>
        <v>147.62129504865678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5.6843418860808015E-13</v>
      </c>
      <c r="BZ123" s="13">
        <f>BY123*VLOOKUP('Données projet'!$B$12,Paramètres!$A$1:$I$89,3,0)*VLOOKUP('Données projet'!$B$12,Paramètres!$A$1:$I$89,5,0)</f>
        <v>3.177547114319168E-13</v>
      </c>
      <c r="CA123" s="13">
        <f t="shared" si="93"/>
        <v>4.1725404435445377E-12</v>
      </c>
      <c r="CB123" s="20">
        <f t="shared" si="64"/>
        <v>7.820597394917325E-12</v>
      </c>
      <c r="CC123" s="59">
        <f t="shared" si="65"/>
        <v>289.29227120099279</v>
      </c>
      <c r="CD123" s="59">
        <f ca="1">AVERAGE(OFFSET($CC$3,0,0,'Données projet'!$E$12+1,1))-AVERAGE(OFFSET($H$3,0,0,'Données projet'!$E$12+1,1))</f>
        <v>394.00476121021177</v>
      </c>
      <c r="CE123" s="59">
        <f t="shared" si="94"/>
        <v>363.10016759175278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85.722819196223298</v>
      </c>
      <c r="CL123" s="21">
        <f>EXP(-LN(2)/25)*CL122+(1-EXP(-LN(2)/25))/(LN(2)/25)*Calculateur!CG123*Calculateur!CI123*VLOOKUP('Données projet'!$B$12,Paramètres!$A$1:$I$89,3,0)*0.475*44/12</f>
        <v>19.189336307350686</v>
      </c>
      <c r="CM123" s="21">
        <f>EXP(-LN(2)/2)*CM122+(1-EXP(-LN(2)/2))/(LN(2)/2)*CG123*CJ123*VLOOKUP('Données projet'!$B$12,Paramètres!$A$1:$I$89,3,0)*0.475*44/12</f>
        <v>2.2502399779206487E-6</v>
      </c>
      <c r="CN123" s="22">
        <f t="shared" si="66"/>
        <v>104.91215775381396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68.897892145723162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3">
        <f>'Scénario référence'!$B$16*5+'Scénario référence'!$B$17*0+'Scénario référence'!$B$18*5</f>
        <v>1.7999999999999998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6.5999999999999988</v>
      </c>
      <c r="H124" s="67">
        <f t="shared" si="56"/>
        <v>230.26666666666665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1113.6883487035643</v>
      </c>
      <c r="S124" s="59">
        <f ca="1">AVERAGE(OFFSET($R$3,0,0,'Données projet'!$E$9+1,1))-AVERAGE(OFFSET($H$3,0,0,'Données projet'!$E$9+1,1))</f>
        <v>652.18744712713965</v>
      </c>
      <c r="T124" s="59">
        <f t="shared" si="88"/>
        <v>288.65635870281199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289.36237459452173</v>
      </c>
      <c r="AN124" s="59">
        <f ca="1">AVERAGE(OFFSET($AM$3,0,0,'Données projet'!$E$10+1,1))-AVERAGE(OFFSET($H$3,0,0,'Données projet'!$E$10+1,1))</f>
        <v>307.94699176410495</v>
      </c>
      <c r="AO124" s="59">
        <f t="shared" si="90"/>
        <v>314.22983137038875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41.490949219211458</v>
      </c>
      <c r="AV124" s="21">
        <f>EXP(-LN(2)/25)*AV123+(1-EXP(-LN(2)/25))/(LN(2)/25)*Calculateur!AQ124*Calculateur!AS124*VLOOKUP('Données projet'!$B$10,Paramètres!$A$1:$I$89,3,0)*0.475*44/12</f>
        <v>8.9267955261112615</v>
      </c>
      <c r="AW124" s="21">
        <f>EXP(-LN(2)/2)*AW123+(1-EXP(-LN(2)/2))/(LN(2)/2)*AQ124*AT124*VLOOKUP('Données projet'!$B$10,Paramètres!$A$1:$I$89,3,0)*0.475*44/12</f>
        <v>3.9487278862039278E-8</v>
      </c>
      <c r="AX124" s="21">
        <f t="shared" si="60"/>
        <v>50.417744784809997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346.55780187946573</v>
      </c>
      <c r="BJ124" s="59">
        <f t="shared" si="92"/>
        <v>297.28652094809149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113.90994232052311</v>
      </c>
      <c r="BQ124" s="21">
        <f>EXP(-LN(2)/25)*BQ123+(1-EXP(-LN(2)/25))/(LN(2)/25)*Calculateur!BL124*Calculateur!BN124*VLOOKUP('Données projet'!$B$11,Paramètres!$A$1:$I$89,3,0)*0.475*44/12</f>
        <v>30.521489432813091</v>
      </c>
      <c r="BR124" s="21">
        <f>EXP(-LN(2)/2)*BR123+(1-EXP(-LN(2)/2))/(LN(2)/2)*BL124*BO124*VLOOKUP('Données projet'!$B$11,Paramètres!$A$1:$I$89,3,0)*0.475*44/12</f>
        <v>3.776321911766712E-2</v>
      </c>
      <c r="BS124" s="22">
        <f t="shared" si="63"/>
        <v>144.46919497245386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5.6843418860808015E-13</v>
      </c>
      <c r="BZ124" s="13">
        <f>BY124*VLOOKUP('Données projet'!$B$12,Paramètres!$A$1:$I$89,3,0)*VLOOKUP('Données projet'!$B$12,Paramètres!$A$1:$I$89,5,0)</f>
        <v>3.177547114319168E-13</v>
      </c>
      <c r="CA124" s="13">
        <f t="shared" si="93"/>
        <v>4.1725404435445377E-12</v>
      </c>
      <c r="CB124" s="20">
        <f t="shared" si="64"/>
        <v>7.820597394917325E-12</v>
      </c>
      <c r="CC124" s="59">
        <f t="shared" si="65"/>
        <v>289.36237459452758</v>
      </c>
      <c r="CD124" s="59">
        <f ca="1">AVERAGE(OFFSET($CC$3,0,0,'Données projet'!$E$12+1,1))-AVERAGE(OFFSET($H$3,0,0,'Données projet'!$E$12+1,1))</f>
        <v>394.00476121021177</v>
      </c>
      <c r="CE124" s="59">
        <f t="shared" si="94"/>
        <v>363.10016759175278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84.041846997542279</v>
      </c>
      <c r="CL124" s="21">
        <f>EXP(-LN(2)/25)*CL123+(1-EXP(-LN(2)/25))/(LN(2)/25)*Calculateur!CG124*Calculateur!CI124*VLOOKUP('Données projet'!$B$12,Paramètres!$A$1:$I$89,3,0)*0.475*44/12</f>
        <v>18.664602896902842</v>
      </c>
      <c r="CM124" s="21">
        <f>EXP(-LN(2)/2)*CM123+(1-EXP(-LN(2)/2))/(LN(2)/2)*CG124*CJ124*VLOOKUP('Données projet'!$B$12,Paramètres!$A$1:$I$89,3,0)*0.475*44/12</f>
        <v>1.5911599476847577E-6</v>
      </c>
      <c r="CN124" s="22">
        <f t="shared" si="66"/>
        <v>102.70645148560506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68.917011253050831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3">
        <f>'Scénario référence'!$B$16*5+'Scénario référence'!$B$17*0+'Scénario référence'!$B$18*5</f>
        <v>1.7999999999999998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6.5999999999999988</v>
      </c>
      <c r="H125" s="67">
        <f t="shared" si="56"/>
        <v>230.26666666666665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1130.6656457037111</v>
      </c>
      <c r="S125" s="59">
        <f ca="1">AVERAGE(OFFSET($R$3,0,0,'Données projet'!$E$9+1,1))-AVERAGE(OFFSET($H$3,0,0,'Données projet'!$E$9+1,1))</f>
        <v>652.18744712713965</v>
      </c>
      <c r="T125" s="59">
        <f t="shared" si="88"/>
        <v>288.65635870281199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289.43126185090637</v>
      </c>
      <c r="AN125" s="59">
        <f ca="1">AVERAGE(OFFSET($AM$3,0,0,'Données projet'!$E$10+1,1))-AVERAGE(OFFSET($H$3,0,0,'Données projet'!$E$10+1,1))</f>
        <v>307.94699176410495</v>
      </c>
      <c r="AO125" s="59">
        <f t="shared" si="90"/>
        <v>314.22983137038875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40.677337012002887</v>
      </c>
      <c r="AV125" s="21">
        <f>EXP(-LN(2)/25)*AV124+(1-EXP(-LN(2)/25))/(LN(2)/25)*Calculateur!AQ125*Calculateur!AS125*VLOOKUP('Données projet'!$B$10,Paramètres!$A$1:$I$89,3,0)*0.475*44/12</f>
        <v>8.682691833009974</v>
      </c>
      <c r="AW125" s="21">
        <f>EXP(-LN(2)/2)*AW124+(1-EXP(-LN(2)/2))/(LN(2)/2)*AQ125*AT125*VLOOKUP('Données projet'!$B$10,Paramètres!$A$1:$I$89,3,0)*0.475*44/12</f>
        <v>2.7921722653952191E-8</v>
      </c>
      <c r="AX125" s="21">
        <f t="shared" si="60"/>
        <v>49.360028872934585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346.55780187946573</v>
      </c>
      <c r="BJ125" s="59">
        <f t="shared" si="92"/>
        <v>297.28652094809149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111.67623782982207</v>
      </c>
      <c r="BQ125" s="21">
        <f>EXP(-LN(2)/25)*BQ124+(1-EXP(-LN(2)/25))/(LN(2)/25)*Calculateur!BL125*Calculateur!BN125*VLOOKUP('Données projet'!$B$11,Paramètres!$A$1:$I$89,3,0)*0.475*44/12</f>
        <v>29.686877699217444</v>
      </c>
      <c r="BR125" s="21">
        <f>EXP(-LN(2)/2)*BR124+(1-EXP(-LN(2)/2))/(LN(2)/2)*BL125*BO125*VLOOKUP('Données projet'!$B$11,Paramètres!$A$1:$I$89,3,0)*0.475*44/12</f>
        <v>2.6702628317535892E-2</v>
      </c>
      <c r="BS125" s="22">
        <f t="shared" si="63"/>
        <v>141.38981815735704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5.6843418860808015E-13</v>
      </c>
      <c r="BZ125" s="13">
        <f>BY125*VLOOKUP('Données projet'!$B$12,Paramètres!$A$1:$I$89,3,0)*VLOOKUP('Données projet'!$B$12,Paramètres!$A$1:$I$89,5,0)</f>
        <v>3.177547114319168E-13</v>
      </c>
      <c r="CA125" s="13">
        <f t="shared" si="93"/>
        <v>4.1725404435445377E-12</v>
      </c>
      <c r="CB125" s="20">
        <f t="shared" si="64"/>
        <v>7.820597394917325E-12</v>
      </c>
      <c r="CC125" s="59">
        <f t="shared" si="65"/>
        <v>289.43126185091222</v>
      </c>
      <c r="CD125" s="59">
        <f ca="1">AVERAGE(OFFSET($CC$3,0,0,'Données projet'!$E$12+1,1))-AVERAGE(OFFSET($H$3,0,0,'Données projet'!$E$12+1,1))</f>
        <v>394.00476121021177</v>
      </c>
      <c r="CE125" s="59">
        <f t="shared" si="94"/>
        <v>363.10016759175278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82.393837638385591</v>
      </c>
      <c r="CL125" s="21">
        <f>EXP(-LN(2)/25)*CL124+(1-EXP(-LN(2)/25))/(LN(2)/25)*Calculateur!CG125*Calculateur!CI125*VLOOKUP('Données projet'!$B$12,Paramètres!$A$1:$I$89,3,0)*0.475*44/12</f>
        <v>18.154218349158228</v>
      </c>
      <c r="CM125" s="21">
        <f>EXP(-LN(2)/2)*CM124+(1-EXP(-LN(2)/2))/(LN(2)/2)*CG125*CJ125*VLOOKUP('Données projet'!$B$12,Paramètres!$A$1:$I$89,3,0)*0.475*44/12</f>
        <v>1.1251199889603244E-6</v>
      </c>
      <c r="CN125" s="22">
        <f t="shared" si="66"/>
        <v>100.54805711266381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68.935798686610283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3">
        <f>'Scénario référence'!$B$16*5+'Scénario référence'!$B$17*0+'Scénario référence'!$B$18*5</f>
        <v>1.7999999999999998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6.5999999999999988</v>
      </c>
      <c r="H126" s="67">
        <f t="shared" si="56"/>
        <v>230.26666666666665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1147.6349213374338</v>
      </c>
      <c r="S126" s="59">
        <f ca="1">AVERAGE(OFFSET($R$3,0,0,'Données projet'!$E$9+1,1))-AVERAGE(OFFSET($H$3,0,0,'Données projet'!$E$9+1,1))</f>
        <v>652.18744712713965</v>
      </c>
      <c r="T126" s="59">
        <f t="shared" si="88"/>
        <v>288.65635870281199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289.49895406740154</v>
      </c>
      <c r="AN126" s="59">
        <f ca="1">AVERAGE(OFFSET($AM$3,0,0,'Données projet'!$E$10+1,1))-AVERAGE(OFFSET($H$3,0,0,'Données projet'!$E$10+1,1))</f>
        <v>307.94699176410495</v>
      </c>
      <c r="AO126" s="59">
        <f t="shared" si="90"/>
        <v>314.22983137038875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39.879679243923235</v>
      </c>
      <c r="AV126" s="21">
        <f>EXP(-LN(2)/25)*AV125+(1-EXP(-LN(2)/25))/(LN(2)/25)*Calculateur!AQ126*Calculateur!AS126*VLOOKUP('Données projet'!$B$10,Paramètres!$A$1:$I$89,3,0)*0.475*44/12</f>
        <v>8.4452631682333976</v>
      </c>
      <c r="AW126" s="21">
        <f>EXP(-LN(2)/2)*AW125+(1-EXP(-LN(2)/2))/(LN(2)/2)*AQ126*AT126*VLOOKUP('Données projet'!$B$10,Paramètres!$A$1:$I$89,3,0)*0.475*44/12</f>
        <v>1.9743639431019639E-8</v>
      </c>
      <c r="AX126" s="21">
        <f t="shared" si="60"/>
        <v>48.324942431900269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346.55780187946573</v>
      </c>
      <c r="BJ126" s="59">
        <f t="shared" si="92"/>
        <v>297.28652094809149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109.48633492175846</v>
      </c>
      <c r="BQ126" s="21">
        <f>EXP(-LN(2)/25)*BQ125+(1-EXP(-LN(2)/25))/(LN(2)/25)*Calculateur!BL126*Calculateur!BN126*VLOOKUP('Données projet'!$B$11,Paramètres!$A$1:$I$89,3,0)*0.475*44/12</f>
        <v>28.875088467367295</v>
      </c>
      <c r="BR126" s="21">
        <f>EXP(-LN(2)/2)*BR125+(1-EXP(-LN(2)/2))/(LN(2)/2)*BL126*BO126*VLOOKUP('Données projet'!$B$11,Paramètres!$A$1:$I$89,3,0)*0.475*44/12</f>
        <v>1.888160955883356E-2</v>
      </c>
      <c r="BS126" s="22">
        <f t="shared" si="63"/>
        <v>138.38030499868458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5.6843418860808015E-13</v>
      </c>
      <c r="BZ126" s="13">
        <f>BY126*VLOOKUP('Données projet'!$B$12,Paramètres!$A$1:$I$89,3,0)*VLOOKUP('Données projet'!$B$12,Paramètres!$A$1:$I$89,5,0)</f>
        <v>3.177547114319168E-13</v>
      </c>
      <c r="CA126" s="13">
        <f t="shared" si="93"/>
        <v>4.1725404435445377E-12</v>
      </c>
      <c r="CB126" s="20">
        <f t="shared" si="64"/>
        <v>7.820597394917325E-12</v>
      </c>
      <c r="CC126" s="59">
        <f t="shared" si="65"/>
        <v>289.4989540674074</v>
      </c>
      <c r="CD126" s="59">
        <f ca="1">AVERAGE(OFFSET($CC$3,0,0,'Données projet'!$E$12+1,1))-AVERAGE(OFFSET($H$3,0,0,'Données projet'!$E$12+1,1))</f>
        <v>394.00476121021177</v>
      </c>
      <c r="CE126" s="59">
        <f t="shared" si="94"/>
        <v>363.10016759175278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80.778144737575516</v>
      </c>
      <c r="CL126" s="21">
        <f>EXP(-LN(2)/25)*CL125+(1-EXP(-LN(2)/25))/(LN(2)/25)*Calculateur!CG126*Calculateur!CI126*VLOOKUP('Données projet'!$B$12,Paramètres!$A$1:$I$89,3,0)*0.475*44/12</f>
        <v>17.657790293711646</v>
      </c>
      <c r="CM126" s="21">
        <f>EXP(-LN(2)/2)*CM125+(1-EXP(-LN(2)/2))/(LN(2)/2)*CG126*CJ126*VLOOKUP('Données projet'!$B$12,Paramètres!$A$1:$I$89,3,0)*0.475*44/12</f>
        <v>7.9557997384237886E-7</v>
      </c>
      <c r="CN126" s="22">
        <f t="shared" si="66"/>
        <v>98.435935826867137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68.954260200199883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3">
        <f>'Scénario référence'!$B$16*5+'Scénario référence'!$B$17*0+'Scénario référence'!$B$18*5</f>
        <v>1.7999999999999998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6.5999999999999988</v>
      </c>
      <c r="H127" s="67">
        <f t="shared" si="56"/>
        <v>230.26666666666665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1164.5963495782958</v>
      </c>
      <c r="S127" s="59">
        <f ca="1">AVERAGE(OFFSET($R$3,0,0,'Données projet'!$E$9+1,1))-AVERAGE(OFFSET($H$3,0,0,'Données projet'!$E$9+1,1))</f>
        <v>652.18744712713965</v>
      </c>
      <c r="T127" s="59">
        <f t="shared" si="88"/>
        <v>288.65635870281199</v>
      </c>
      <c r="U127" s="15">
        <f>IF(ISNA(VLOOKUP(A127,'Données projet'!$A$35:$I$55,3,0)),0,VLOOKUP(A127,'Données projet'!$A$35:$I$55,3,0))</f>
        <v>12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289.56547197527772</v>
      </c>
      <c r="AN127" s="59">
        <f ca="1">AVERAGE(OFFSET($AM$3,0,0,'Données projet'!$E$10+1,1))-AVERAGE(OFFSET($H$3,0,0,'Données projet'!$E$10+1,1))</f>
        <v>307.94699176410495</v>
      </c>
      <c r="AO127" s="59">
        <f t="shared" si="90"/>
        <v>314.22983137038875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39.09766305815242</v>
      </c>
      <c r="AV127" s="21">
        <f>EXP(-LN(2)/25)*AV126+(1-EXP(-LN(2)/25))/(LN(2)/25)*Calculateur!AQ127*Calculateur!AS127*VLOOKUP('Données projet'!$B$10,Paramètres!$A$1:$I$89,3,0)*0.475*44/12</f>
        <v>8.2143270027809674</v>
      </c>
      <c r="AW127" s="21">
        <f>EXP(-LN(2)/2)*AW126+(1-EXP(-LN(2)/2))/(LN(2)/2)*AQ127*AT127*VLOOKUP('Données projet'!$B$10,Paramètres!$A$1:$I$89,3,0)*0.475*44/12</f>
        <v>1.3960861326976096E-8</v>
      </c>
      <c r="AX127" s="21">
        <f t="shared" si="60"/>
        <v>47.311990074894254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346.55780187946573</v>
      </c>
      <c r="BJ127" s="59">
        <f t="shared" si="92"/>
        <v>297.28652094809149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107.33937467401309</v>
      </c>
      <c r="BQ127" s="21">
        <f>EXP(-LN(2)/25)*BQ126+(1-EXP(-LN(2)/25))/(LN(2)/25)*Calculateur!BL127*Calculateur!BN127*VLOOKUP('Données projet'!$B$11,Paramètres!$A$1:$I$89,3,0)*0.475*44/12</f>
        <v>28.085497654752228</v>
      </c>
      <c r="BR127" s="21">
        <f>EXP(-LN(2)/2)*BR126+(1-EXP(-LN(2)/2))/(LN(2)/2)*BL127*BO127*VLOOKUP('Données projet'!$B$11,Paramètres!$A$1:$I$89,3,0)*0.475*44/12</f>
        <v>1.3351314158767946E-2</v>
      </c>
      <c r="BS127" s="22">
        <f t="shared" si="63"/>
        <v>135.43822364292407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5.6843418860808015E-13</v>
      </c>
      <c r="BZ127" s="13">
        <f>BY127*VLOOKUP('Données projet'!$B$12,Paramètres!$A$1:$I$89,3,0)*VLOOKUP('Données projet'!$B$12,Paramètres!$A$1:$I$89,5,0)</f>
        <v>3.177547114319168E-13</v>
      </c>
      <c r="CA127" s="13">
        <f t="shared" si="93"/>
        <v>4.1725404435445377E-12</v>
      </c>
      <c r="CB127" s="20">
        <f t="shared" si="64"/>
        <v>7.820597394917325E-12</v>
      </c>
      <c r="CC127" s="59">
        <f t="shared" si="65"/>
        <v>289.56547197528357</v>
      </c>
      <c r="CD127" s="59">
        <f ca="1">AVERAGE(OFFSET($CC$3,0,0,'Données projet'!$E$12+1,1))-AVERAGE(OFFSET($H$3,0,0,'Données projet'!$E$12+1,1))</f>
        <v>394.00476121021177</v>
      </c>
      <c r="CE127" s="59">
        <f t="shared" si="94"/>
        <v>363.10016759175278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79.194134589074963</v>
      </c>
      <c r="CL127" s="21">
        <f>EXP(-LN(2)/25)*CL126+(1-EXP(-LN(2)/25))/(LN(2)/25)*Calculateur!CG127*Calculateur!CI127*VLOOKUP('Données projet'!$B$12,Paramètres!$A$1:$I$89,3,0)*0.475*44/12</f>
        <v>17.174937089547267</v>
      </c>
      <c r="CM127" s="21">
        <f>EXP(-LN(2)/2)*CM126+(1-EXP(-LN(2)/2))/(LN(2)/2)*CG127*CJ127*VLOOKUP('Données projet'!$B$12,Paramètres!$A$1:$I$89,3,0)*0.475*44/12</f>
        <v>5.6255999448016218E-7</v>
      </c>
      <c r="CN127" s="22">
        <f t="shared" si="66"/>
        <v>96.369072241182224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68.972401447802469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3">
        <f>'Scénario référence'!$B$16*5+'Scénario référence'!$B$17*0+'Scénario référence'!$B$18*5</f>
        <v>1.7999999999999998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6.5999999999999988</v>
      </c>
      <c r="H128" s="67">
        <f t="shared" si="56"/>
        <v>230.26666666666665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1072.1314528078653</v>
      </c>
      <c r="S128" s="59">
        <f ca="1">AVERAGE(OFFSET($R$3,0,0,'Données projet'!$E$9+1,1))-AVERAGE(OFFSET($H$3,0,0,'Données projet'!$E$9+1,1))</f>
        <v>652.18744712713965</v>
      </c>
      <c r="T128" s="59">
        <f t="shared" si="88"/>
        <v>288.65635870281199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289.63083594616398</v>
      </c>
      <c r="AN128" s="59">
        <f ca="1">AVERAGE(OFFSET($AM$3,0,0,'Données projet'!$E$10+1,1))-AVERAGE(OFFSET($H$3,0,0,'Données projet'!$E$10+1,1))</f>
        <v>307.94699176410495</v>
      </c>
      <c r="AO128" s="59">
        <f t="shared" si="90"/>
        <v>314.22983137038875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38.330981732801803</v>
      </c>
      <c r="AV128" s="21">
        <f>EXP(-LN(2)/25)*AV127+(1-EXP(-LN(2)/25))/(LN(2)/25)*Calculateur!AQ128*Calculateur!AS128*VLOOKUP('Données projet'!$B$10,Paramètres!$A$1:$I$89,3,0)*0.475*44/12</f>
        <v>7.9897057989172389</v>
      </c>
      <c r="AW128" s="21">
        <f>EXP(-LN(2)/2)*AW127+(1-EXP(-LN(2)/2))/(LN(2)/2)*AQ128*AT128*VLOOKUP('Données projet'!$B$10,Paramètres!$A$1:$I$89,3,0)*0.475*44/12</f>
        <v>9.8718197155098195E-9</v>
      </c>
      <c r="AX128" s="21">
        <f t="shared" si="60"/>
        <v>46.320687541590864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346.55780187946573</v>
      </c>
      <c r="BJ128" s="59">
        <f t="shared" si="92"/>
        <v>297.28652094809149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105.23451500720957</v>
      </c>
      <c r="BQ128" s="21">
        <f>EXP(-LN(2)/25)*BQ127+(1-EXP(-LN(2)/25))/(LN(2)/25)*Calculateur!BL128*Calculateur!BN128*VLOOKUP('Données projet'!$B$11,Paramètres!$A$1:$I$89,3,0)*0.475*44/12</f>
        <v>27.317498244430897</v>
      </c>
      <c r="BR128" s="21">
        <f>EXP(-LN(2)/2)*BR127+(1-EXP(-LN(2)/2))/(LN(2)/2)*BL128*BO128*VLOOKUP('Données projet'!$B$11,Paramètres!$A$1:$I$89,3,0)*0.475*44/12</f>
        <v>9.4408047794167799E-3</v>
      </c>
      <c r="BS128" s="22">
        <f t="shared" si="63"/>
        <v>132.56145405641988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5.6843418860808015E-13</v>
      </c>
      <c r="BZ128" s="13">
        <f>BY128*VLOOKUP('Données projet'!$B$12,Paramètres!$A$1:$I$89,3,0)*VLOOKUP('Données projet'!$B$12,Paramètres!$A$1:$I$89,5,0)</f>
        <v>3.177547114319168E-13</v>
      </c>
      <c r="CA128" s="13">
        <f t="shared" si="93"/>
        <v>4.1725404435445377E-12</v>
      </c>
      <c r="CB128" s="20">
        <f t="shared" si="64"/>
        <v>7.820597394917325E-12</v>
      </c>
      <c r="CC128" s="59">
        <f t="shared" si="65"/>
        <v>289.63083594616984</v>
      </c>
      <c r="CD128" s="59">
        <f ca="1">AVERAGE(OFFSET($CC$3,0,0,'Données projet'!$E$12+1,1))-AVERAGE(OFFSET($H$3,0,0,'Données projet'!$E$12+1,1))</f>
        <v>394.00476121021177</v>
      </c>
      <c r="CE128" s="59">
        <f t="shared" si="94"/>
        <v>363.10016759175278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77.641185913435706</v>
      </c>
      <c r="CL128" s="21">
        <f>EXP(-LN(2)/25)*CL127+(1-EXP(-LN(2)/25))/(LN(2)/25)*Calculateur!CG128*Calculateur!CI128*VLOOKUP('Données projet'!$B$12,Paramètres!$A$1:$I$89,3,0)*0.475*44/12</f>
        <v>16.705287531642909</v>
      </c>
      <c r="CM128" s="21">
        <f>EXP(-LN(2)/2)*CM127+(1-EXP(-LN(2)/2))/(LN(2)/2)*CG128*CJ128*VLOOKUP('Données projet'!$B$12,Paramètres!$A$1:$I$89,3,0)*0.475*44/12</f>
        <v>3.9778998692118943E-7</v>
      </c>
      <c r="CN128" s="22">
        <f t="shared" si="66"/>
        <v>94.346473842868605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68.990227985316906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3">
        <f>'Scénario référence'!$B$16*5+'Scénario référence'!$B$17*0+'Scénario référence'!$B$18*5</f>
        <v>1.7999999999999998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6.5999999999999988</v>
      </c>
      <c r="H129" s="67">
        <f t="shared" si="56"/>
        <v>230.26666666666665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1089.3247511805557</v>
      </c>
      <c r="S129" s="59">
        <f ca="1">AVERAGE(OFFSET($R$3,0,0,'Données projet'!$E$9+1,1))-AVERAGE(OFFSET($H$3,0,0,'Données projet'!$E$9+1,1))</f>
        <v>652.18744712713965</v>
      </c>
      <c r="T129" s="59">
        <f t="shared" si="88"/>
        <v>288.65635870281199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289.6950659982873</v>
      </c>
      <c r="AN129" s="59">
        <f ca="1">AVERAGE(OFFSET($AM$3,0,0,'Données projet'!$E$10+1,1))-AVERAGE(OFFSET($H$3,0,0,'Données projet'!$E$10+1,1))</f>
        <v>307.94699176410495</v>
      </c>
      <c r="AO129" s="59">
        <f t="shared" si="90"/>
        <v>314.22983137038875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37.579334560611876</v>
      </c>
      <c r="AV129" s="21">
        <f>EXP(-LN(2)/25)*AV128+(1-EXP(-LN(2)/25))/(LN(2)/25)*Calculateur!AQ129*Calculateur!AS129*VLOOKUP('Données projet'!$B$10,Paramètres!$A$1:$I$89,3,0)*0.475*44/12</f>
        <v>7.7712268736854799</v>
      </c>
      <c r="AW129" s="21">
        <f>EXP(-LN(2)/2)*AW128+(1-EXP(-LN(2)/2))/(LN(2)/2)*AQ129*AT129*VLOOKUP('Données projet'!$B$10,Paramètres!$A$1:$I$89,3,0)*0.475*44/12</f>
        <v>6.9804306634880479E-9</v>
      </c>
      <c r="AX129" s="21">
        <f t="shared" si="60"/>
        <v>45.350561441277783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346.55780187946573</v>
      </c>
      <c r="BJ129" s="59">
        <f t="shared" si="92"/>
        <v>297.28652094809149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103.17093035463444</v>
      </c>
      <c r="BQ129" s="21">
        <f>EXP(-LN(2)/25)*BQ128+(1-EXP(-LN(2)/25))/(LN(2)/25)*Calculateur!BL129*Calculateur!BN129*VLOOKUP('Données projet'!$B$11,Paramètres!$A$1:$I$89,3,0)*0.475*44/12</f>
        <v>26.570499818372138</v>
      </c>
      <c r="BR129" s="21">
        <f>EXP(-LN(2)/2)*BR128+(1-EXP(-LN(2)/2))/(LN(2)/2)*BL129*BO129*VLOOKUP('Données projet'!$B$11,Paramètres!$A$1:$I$89,3,0)*0.475*44/12</f>
        <v>6.6756570793839731E-3</v>
      </c>
      <c r="BS129" s="22">
        <f t="shared" si="63"/>
        <v>129.74810583008593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5.6843418860808015E-13</v>
      </c>
      <c r="BZ129" s="13">
        <f>BY129*VLOOKUP('Données projet'!$B$12,Paramètres!$A$1:$I$89,3,0)*VLOOKUP('Données projet'!$B$12,Paramètres!$A$1:$I$89,5,0)</f>
        <v>3.177547114319168E-13</v>
      </c>
      <c r="CA129" s="13">
        <f t="shared" si="93"/>
        <v>4.1725404435445377E-12</v>
      </c>
      <c r="CB129" s="20">
        <f t="shared" si="64"/>
        <v>7.820597394917325E-12</v>
      </c>
      <c r="CC129" s="59">
        <f t="shared" si="65"/>
        <v>289.69506599829316</v>
      </c>
      <c r="CD129" s="59">
        <f ca="1">AVERAGE(OFFSET($CC$3,0,0,'Données projet'!$E$12+1,1))-AVERAGE(OFFSET($H$3,0,0,'Données projet'!$E$12+1,1))</f>
        <v>394.00476121021177</v>
      </c>
      <c r="CE129" s="59">
        <f t="shared" si="94"/>
        <v>363.10016759175278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76.118689614120584</v>
      </c>
      <c r="CL129" s="21">
        <f>EXP(-LN(2)/25)*CL128+(1-EXP(-LN(2)/25))/(LN(2)/25)*Calculateur!CG129*Calculateur!CI129*VLOOKUP('Données projet'!$B$12,Paramètres!$A$1:$I$89,3,0)*0.475*44/12</f>
        <v>16.248480565597244</v>
      </c>
      <c r="CM129" s="21">
        <f>EXP(-LN(2)/2)*CM128+(1-EXP(-LN(2)/2))/(LN(2)/2)*CG129*CJ129*VLOOKUP('Données projet'!$B$12,Paramètres!$A$1:$I$89,3,0)*0.475*44/12</f>
        <v>2.8127999724008109E-7</v>
      </c>
      <c r="CN129" s="22">
        <f t="shared" si="66"/>
        <v>92.367170460997826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69.007745272259641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3">
        <f>'Scénario référence'!$B$16*5+'Scénario référence'!$B$17*0+'Scénario référence'!$B$18*5</f>
        <v>1.7999999999999998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6.5999999999999988</v>
      </c>
      <c r="H130" s="67">
        <f t="shared" si="56"/>
        <v>230.26666666666665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1106.5095274181547</v>
      </c>
      <c r="S130" s="59">
        <f ca="1">AVERAGE(OFFSET($R$3,0,0,'Données projet'!$E$9+1,1))-AVERAGE(OFFSET($H$3,0,0,'Données projet'!$E$9+1,1))</f>
        <v>652.18744712713965</v>
      </c>
      <c r="T130" s="59">
        <f t="shared" si="88"/>
        <v>288.65635870281199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289.75818180260319</v>
      </c>
      <c r="AN130" s="59">
        <f ca="1">AVERAGE(OFFSET($AM$3,0,0,'Données projet'!$E$10+1,1))-AVERAGE(OFFSET($H$3,0,0,'Données projet'!$E$10+1,1))</f>
        <v>307.94699176410495</v>
      </c>
      <c r="AO130" s="59">
        <f t="shared" si="90"/>
        <v>314.22983137038875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36.842426731009084</v>
      </c>
      <c r="AV130" s="21">
        <f>EXP(-LN(2)/25)*AV129+(1-EXP(-LN(2)/25))/(LN(2)/25)*Calculateur!AQ130*Calculateur!AS130*VLOOKUP('Données projet'!$B$10,Paramètres!$A$1:$I$89,3,0)*0.475*44/12</f>
        <v>7.5587222661534907</v>
      </c>
      <c r="AW130" s="21">
        <f>EXP(-LN(2)/2)*AW129+(1-EXP(-LN(2)/2))/(LN(2)/2)*AQ130*AT130*VLOOKUP('Données projet'!$B$10,Paramètres!$A$1:$I$89,3,0)*0.475*44/12</f>
        <v>4.9359098577549098E-9</v>
      </c>
      <c r="AX130" s="21">
        <f t="shared" si="60"/>
        <v>44.401149002098485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346.55780187946573</v>
      </c>
      <c r="BJ130" s="59">
        <f t="shared" si="92"/>
        <v>297.28652094809149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101.14781133843394</v>
      </c>
      <c r="BQ130" s="21">
        <f>EXP(-LN(2)/25)*BQ129+(1-EXP(-LN(2)/25))/(LN(2)/25)*Calculateur!BL130*Calculateur!BN130*VLOOKUP('Données projet'!$B$11,Paramètres!$A$1:$I$89,3,0)*0.475*44/12</f>
        <v>25.843928103556895</v>
      </c>
      <c r="BR130" s="21">
        <f>EXP(-LN(2)/2)*BR129+(1-EXP(-LN(2)/2))/(LN(2)/2)*BL130*BO130*VLOOKUP('Données projet'!$B$11,Paramètres!$A$1:$I$89,3,0)*0.475*44/12</f>
        <v>4.72040238970839E-3</v>
      </c>
      <c r="BS130" s="22">
        <f t="shared" si="63"/>
        <v>126.99645984438054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5.6843418860808015E-13</v>
      </c>
      <c r="BZ130" s="13">
        <f>BY130*VLOOKUP('Données projet'!$B$12,Paramètres!$A$1:$I$89,3,0)*VLOOKUP('Données projet'!$B$12,Paramètres!$A$1:$I$89,5,0)</f>
        <v>3.177547114319168E-13</v>
      </c>
      <c r="CA130" s="13">
        <f t="shared" si="93"/>
        <v>4.1725404435445377E-12</v>
      </c>
      <c r="CB130" s="20">
        <f t="shared" si="64"/>
        <v>7.820597394917325E-12</v>
      </c>
      <c r="CC130" s="59">
        <f t="shared" si="65"/>
        <v>289.75818180260904</v>
      </c>
      <c r="CD130" s="59">
        <f ca="1">AVERAGE(OFFSET($CC$3,0,0,'Données projet'!$E$12+1,1))-AVERAGE(OFFSET($H$3,0,0,'Données projet'!$E$12+1,1))</f>
        <v>394.00476121021177</v>
      </c>
      <c r="CE130" s="59">
        <f t="shared" si="94"/>
        <v>363.10016759175278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74.626048538603982</v>
      </c>
      <c r="CL130" s="21">
        <f>EXP(-LN(2)/25)*CL129+(1-EXP(-LN(2)/25))/(LN(2)/25)*Calculateur!CG130*Calculateur!CI130*VLOOKUP('Données projet'!$B$12,Paramètres!$A$1:$I$89,3,0)*0.475*44/12</f>
        <v>15.804165010060531</v>
      </c>
      <c r="CM130" s="21">
        <f>EXP(-LN(2)/2)*CM129+(1-EXP(-LN(2)/2))/(LN(2)/2)*CG130*CJ130*VLOOKUP('Données projet'!$B$12,Paramètres!$A$1:$I$89,3,0)*0.475*44/12</f>
        <v>1.9889499346059472E-7</v>
      </c>
      <c r="CN130" s="22">
        <f t="shared" si="66"/>
        <v>90.430213747559506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69.024958673436686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3">
        <f>'Scénario référence'!$B$16*5+'Scénario référence'!$B$17*0+'Scénario référence'!$B$18*5</f>
        <v>1.7999999999999998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6.5999999999999988</v>
      </c>
      <c r="H131" s="67">
        <f t="shared" si="56"/>
        <v>230.26666666666665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1123.6859778555497</v>
      </c>
      <c r="S131" s="59">
        <f ca="1">AVERAGE(OFFSET($R$3,0,0,'Données projet'!$E$9+1,1))-AVERAGE(OFFSET($H$3,0,0,'Données projet'!$E$9+1,1))</f>
        <v>652.18744712713965</v>
      </c>
      <c r="T131" s="59">
        <f t="shared" si="88"/>
        <v>288.65635870281199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289.82020268882002</v>
      </c>
      <c r="AN131" s="59">
        <f ca="1">AVERAGE(OFFSET($AM$3,0,0,'Données projet'!$E$10+1,1))-AVERAGE(OFFSET($H$3,0,0,'Données projet'!$E$10+1,1))</f>
        <v>307.94699176410495</v>
      </c>
      <c r="AO131" s="59">
        <f t="shared" si="90"/>
        <v>314.22983137038875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36.119969214475411</v>
      </c>
      <c r="AV131" s="21">
        <f>EXP(-LN(2)/25)*AV130+(1-EXP(-LN(2)/25))/(LN(2)/25)*Calculateur!AQ131*Calculateur!AS131*VLOOKUP('Données projet'!$B$10,Paramètres!$A$1:$I$89,3,0)*0.475*44/12</f>
        <v>7.3520286082895954</v>
      </c>
      <c r="AW131" s="21">
        <f>EXP(-LN(2)/2)*AW130+(1-EXP(-LN(2)/2))/(LN(2)/2)*AQ131*AT131*VLOOKUP('Données projet'!$B$10,Paramètres!$A$1:$I$89,3,0)*0.475*44/12</f>
        <v>3.4902153317440239E-9</v>
      </c>
      <c r="AX131" s="21">
        <f t="shared" si="60"/>
        <v>43.471997826255219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346.55780187946573</v>
      </c>
      <c r="BJ131" s="59">
        <f t="shared" si="92"/>
        <v>297.28652094809149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99.164364452160385</v>
      </c>
      <c r="BQ131" s="21">
        <f>EXP(-LN(2)/25)*BQ130+(1-EXP(-LN(2)/25))/(LN(2)/25)*Calculateur!BL131*Calculateur!BN131*VLOOKUP('Données projet'!$B$11,Paramètres!$A$1:$I$89,3,0)*0.475*44/12</f>
        <v>25.13722453049202</v>
      </c>
      <c r="BR131" s="21">
        <f>EXP(-LN(2)/2)*BR130+(1-EXP(-LN(2)/2))/(LN(2)/2)*BL131*BO131*VLOOKUP('Données projet'!$B$11,Paramètres!$A$1:$I$89,3,0)*0.475*44/12</f>
        <v>3.3378285396919866E-3</v>
      </c>
      <c r="BS131" s="22">
        <f t="shared" si="63"/>
        <v>124.30492681119209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5.6843418860808015E-13</v>
      </c>
      <c r="BZ131" s="13">
        <f>BY131*VLOOKUP('Données projet'!$B$12,Paramètres!$A$1:$I$89,3,0)*VLOOKUP('Données projet'!$B$12,Paramètres!$A$1:$I$89,5,0)</f>
        <v>3.177547114319168E-13</v>
      </c>
      <c r="CA131" s="13">
        <f t="shared" si="93"/>
        <v>4.1725404435445377E-12</v>
      </c>
      <c r="CB131" s="20">
        <f t="shared" si="64"/>
        <v>7.820597394917325E-12</v>
      </c>
      <c r="CC131" s="59">
        <f t="shared" si="65"/>
        <v>289.82020268882587</v>
      </c>
      <c r="CD131" s="59">
        <f ca="1">AVERAGE(OFFSET($CC$3,0,0,'Données projet'!$E$12+1,1))-AVERAGE(OFFSET($H$3,0,0,'Données projet'!$E$12+1,1))</f>
        <v>394.00476121021177</v>
      </c>
      <c r="CE131" s="59">
        <f t="shared" si="94"/>
        <v>363.10016759175278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73.162677244157095</v>
      </c>
      <c r="CL131" s="21">
        <f>EXP(-LN(2)/25)*CL130+(1-EXP(-LN(2)/25))/(LN(2)/25)*Calculateur!CG131*Calculateur!CI131*VLOOKUP('Données projet'!$B$12,Paramètres!$A$1:$I$89,3,0)*0.475*44/12</f>
        <v>15.371999286755509</v>
      </c>
      <c r="CM131" s="21">
        <f>EXP(-LN(2)/2)*CM130+(1-EXP(-LN(2)/2))/(LN(2)/2)*CG131*CJ131*VLOOKUP('Données projet'!$B$12,Paramètres!$A$1:$I$89,3,0)*0.475*44/12</f>
        <v>1.4063999862004055E-7</v>
      </c>
      <c r="CN131" s="22">
        <f t="shared" si="66"/>
        <v>88.534676671552603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69.041873460586729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3">
        <f>'Scénario référence'!$B$16*5+'Scénario référence'!$B$17*0+'Scénario référence'!$B$18*5</f>
        <v>1.7999999999999998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6.5999999999999988</v>
      </c>
      <c r="H132" s="67">
        <f t="shared" ref="H132:H195" si="110">(B132+E132+F132)*44/12+(C132+D132)*0.475*44/12</f>
        <v>230.26666666666665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1140.8542906419625</v>
      </c>
      <c r="S132" s="59">
        <f ca="1">AVERAGE(OFFSET($R$3,0,0,'Données projet'!$E$9+1,1))-AVERAGE(OFFSET($H$3,0,0,'Données projet'!$E$9+1,1))</f>
        <v>652.18744712713965</v>
      </c>
      <c r="T132" s="59">
        <f t="shared" si="88"/>
        <v>288.65635870281199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289.88114765131888</v>
      </c>
      <c r="AN132" s="59">
        <f ca="1">AVERAGE(OFFSET($AM$3,0,0,'Données projet'!$E$10+1,1))-AVERAGE(OFFSET($H$3,0,0,'Données projet'!$E$10+1,1))</f>
        <v>307.94699176410495</v>
      </c>
      <c r="AO132" s="59">
        <f t="shared" si="90"/>
        <v>314.22983137038875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35.41167864918539</v>
      </c>
      <c r="AV132" s="21">
        <f>EXP(-LN(2)/25)*AV131+(1-EXP(-LN(2)/25))/(LN(2)/25)*Calculateur!AQ132*Calculateur!AS132*VLOOKUP('Données projet'!$B$10,Paramètres!$A$1:$I$89,3,0)*0.475*44/12</f>
        <v>7.1509869993695352</v>
      </c>
      <c r="AW132" s="21">
        <f>EXP(-LN(2)/2)*AW131+(1-EXP(-LN(2)/2))/(LN(2)/2)*AQ132*AT132*VLOOKUP('Données projet'!$B$10,Paramètres!$A$1:$I$89,3,0)*0.475*44/12</f>
        <v>2.4679549288774549E-9</v>
      </c>
      <c r="AX132" s="21">
        <f t="shared" ref="AX132:AX153" si="114">SUM(AU132:AW132)</f>
        <v>42.562665651022883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346.55780187946573</v>
      </c>
      <c r="BJ132" s="59">
        <f t="shared" si="92"/>
        <v>297.28652094809149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97.21981174954351</v>
      </c>
      <c r="BQ132" s="21">
        <f>EXP(-LN(2)/25)*BQ131+(1-EXP(-LN(2)/25))/(LN(2)/25)*Calculateur!BL132*Calculateur!BN132*VLOOKUP('Données projet'!$B$11,Paramètres!$A$1:$I$89,3,0)*0.475*44/12</f>
        <v>24.449845803796528</v>
      </c>
      <c r="BR132" s="21">
        <f>EXP(-LN(2)/2)*BR131+(1-EXP(-LN(2)/2))/(LN(2)/2)*BL132*BO132*VLOOKUP('Données projet'!$B$11,Paramètres!$A$1:$I$89,3,0)*0.475*44/12</f>
        <v>2.360201194854195E-3</v>
      </c>
      <c r="BS132" s="22">
        <f t="shared" ref="BS132:BS153" si="117">SUM(BP132:BR132)</f>
        <v>121.67201775453491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5.6843418860808015E-13</v>
      </c>
      <c r="BZ132" s="13">
        <f>BY132*VLOOKUP('Données projet'!$B$12,Paramètres!$A$1:$I$89,3,0)*VLOOKUP('Données projet'!$B$12,Paramètres!$A$1:$I$89,5,0)</f>
        <v>3.177547114319168E-13</v>
      </c>
      <c r="CA132" s="13">
        <f t="shared" si="93"/>
        <v>4.1725404435445377E-12</v>
      </c>
      <c r="CB132" s="20">
        <f t="shared" ref="CB132:CB153" si="118">(BZ132+CA132)*0.475*44/12</f>
        <v>7.820597394917325E-12</v>
      </c>
      <c r="CC132" s="59">
        <f t="shared" ref="CC132:CC195" si="119">CB132+(BT132+BU132)*44/12</f>
        <v>289.88114765132474</v>
      </c>
      <c r="CD132" s="59">
        <f ca="1">AVERAGE(OFFSET($CC$3,0,0,'Données projet'!$E$12+1,1))-AVERAGE(OFFSET($H$3,0,0,'Données projet'!$E$12+1,1))</f>
        <v>394.00476121021177</v>
      </c>
      <c r="CE132" s="59">
        <f t="shared" si="94"/>
        <v>363.10016759175278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71.728001768225951</v>
      </c>
      <c r="CL132" s="21">
        <f>EXP(-LN(2)/25)*CL131+(1-EXP(-LN(2)/25))/(LN(2)/25)*Calculateur!CG132*Calculateur!CI132*VLOOKUP('Données projet'!$B$12,Paramètres!$A$1:$I$89,3,0)*0.475*44/12</f>
        <v>14.951651157880869</v>
      </c>
      <c r="CM132" s="21">
        <f>EXP(-LN(2)/2)*CM131+(1-EXP(-LN(2)/2))/(LN(2)/2)*CG132*CJ132*VLOOKUP('Données projet'!$B$12,Paramètres!$A$1:$I$89,3,0)*0.475*44/12</f>
        <v>9.9447496730297358E-8</v>
      </c>
      <c r="CN132" s="22">
        <f t="shared" ref="CN132:CN153" si="120">SUM(CK132:CM132)</f>
        <v>86.679653025554316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69.058494813995509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3">
        <f>'Scénario référence'!$B$16*5+'Scénario référence'!$B$17*0+'Scénario référence'!$B$18*5</f>
        <v>1.7999999999999998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6.5999999999999988</v>
      </c>
      <c r="H133" s="67">
        <f t="shared" si="110"/>
        <v>230.26666666666665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1158.0146462489572</v>
      </c>
      <c r="S133" s="59">
        <f ca="1">AVERAGE(OFFSET($R$3,0,0,'Données projet'!$E$9+1,1))-AVERAGE(OFFSET($H$3,0,0,'Données projet'!$E$9+1,1))</f>
        <v>652.18744712713965</v>
      </c>
      <c r="T133" s="59">
        <f t="shared" ref="T133:T196" si="142">$T$3</f>
        <v>288.65635870281199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289.94103535497095</v>
      </c>
      <c r="AN133" s="59">
        <f ca="1">AVERAGE(OFFSET($AM$3,0,0,'Données projet'!$E$10+1,1))-AVERAGE(OFFSET($H$3,0,0,'Données projet'!$E$10+1,1))</f>
        <v>307.94699176410495</v>
      </c>
      <c r="AO133" s="59">
        <f t="shared" ref="AO133:AO196" si="144">$AO$3</f>
        <v>314.22983137038875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34.71727722986612</v>
      </c>
      <c r="AV133" s="21">
        <f>EXP(-LN(2)/25)*AV132+(1-EXP(-LN(2)/25))/(LN(2)/25)*Calculateur!AQ133*Calculateur!AS133*VLOOKUP('Données projet'!$B$10,Paramètres!$A$1:$I$89,3,0)*0.475*44/12</f>
        <v>6.9554428838177129</v>
      </c>
      <c r="AW133" s="21">
        <f>EXP(-LN(2)/2)*AW132+(1-EXP(-LN(2)/2))/(LN(2)/2)*AQ133*AT133*VLOOKUP('Données projet'!$B$10,Paramètres!$A$1:$I$89,3,0)*0.475*44/12</f>
        <v>1.745107665872012E-9</v>
      </c>
      <c r="AX133" s="21">
        <f t="shared" si="114"/>
        <v>41.672720115428938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346.55780187946573</v>
      </c>
      <c r="BJ133" s="59">
        <f t="shared" ref="BJ133:BJ196" si="146">$BJ$3</f>
        <v>297.28652094809149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95.313390539364917</v>
      </c>
      <c r="BQ133" s="21">
        <f>EXP(-LN(2)/25)*BQ132+(1-EXP(-LN(2)/25))/(LN(2)/25)*Calculateur!BL133*Calculateur!BN133*VLOOKUP('Données projet'!$B$11,Paramètres!$A$1:$I$89,3,0)*0.475*44/12</f>
        <v>23.781263484530204</v>
      </c>
      <c r="BR133" s="21">
        <f>EXP(-LN(2)/2)*BR132+(1-EXP(-LN(2)/2))/(LN(2)/2)*BL133*BO133*VLOOKUP('Données projet'!$B$11,Paramètres!$A$1:$I$89,3,0)*0.475*44/12</f>
        <v>1.6689142698459933E-3</v>
      </c>
      <c r="BS133" s="22">
        <f t="shared" si="117"/>
        <v>119.09632293816496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5.6843418860808015E-13</v>
      </c>
      <c r="BZ133" s="13">
        <f>BY133*VLOOKUP('Données projet'!$B$12,Paramètres!$A$1:$I$89,3,0)*VLOOKUP('Données projet'!$B$12,Paramètres!$A$1:$I$89,5,0)</f>
        <v>3.177547114319168E-13</v>
      </c>
      <c r="CA133" s="13">
        <f t="shared" ref="CA133:CA153" si="147">EXP(-1.0587+0.8836*LN(BZ133)+0.284)</f>
        <v>4.1725404435445377E-12</v>
      </c>
      <c r="CB133" s="20">
        <f t="shared" si="118"/>
        <v>7.820597394917325E-12</v>
      </c>
      <c r="CC133" s="59">
        <f t="shared" si="119"/>
        <v>289.9410353549768</v>
      </c>
      <c r="CD133" s="59">
        <f ca="1">AVERAGE(OFFSET($CC$3,0,0,'Données projet'!$E$12+1,1))-AVERAGE(OFFSET($H$3,0,0,'Données projet'!$E$12+1,1))</f>
        <v>394.00476121021177</v>
      </c>
      <c r="CE133" s="59">
        <f t="shared" ref="CE133:CE196" si="148">$CE$3</f>
        <v>363.10016759175278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70.32145940331219</v>
      </c>
      <c r="CL133" s="21">
        <f>EXP(-LN(2)/25)*CL132+(1-EXP(-LN(2)/25))/(LN(2)/25)*Calculateur!CG133*Calculateur!CI133*VLOOKUP('Données projet'!$B$12,Paramètres!$A$1:$I$89,3,0)*0.475*44/12</f>
        <v>14.542797470695454</v>
      </c>
      <c r="CM133" s="21">
        <f>EXP(-LN(2)/2)*CM132+(1-EXP(-LN(2)/2))/(LN(2)/2)*CG133*CJ133*VLOOKUP('Données projet'!$B$12,Paramètres!$A$1:$I$89,3,0)*0.475*44/12</f>
        <v>7.0319999310020273E-8</v>
      </c>
      <c r="CN133" s="22">
        <f t="shared" si="120"/>
        <v>84.86425694432765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69.074827824082433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3">
        <f>'Scénario référence'!$B$16*5+'Scénario référence'!$B$17*0+'Scénario référence'!$B$18*5</f>
        <v>1.7999999999999998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6.5999999999999988</v>
      </c>
      <c r="H134" s="67">
        <f t="shared" si="110"/>
        <v>230.26666666666665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1175.167217936762</v>
      </c>
      <c r="S134" s="59">
        <f ca="1">AVERAGE(OFFSET($R$3,0,0,'Données projet'!$E$9+1,1))-AVERAGE(OFFSET($H$3,0,0,'Données projet'!$E$9+1,1))</f>
        <v>652.18744712713965</v>
      </c>
      <c r="T134" s="59">
        <f t="shared" si="142"/>
        <v>288.65635870281199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289.9998841408534</v>
      </c>
      <c r="AN134" s="59">
        <f ca="1">AVERAGE(OFFSET($AM$3,0,0,'Données projet'!$E$10+1,1))-AVERAGE(OFFSET($H$3,0,0,'Données projet'!$E$10+1,1))</f>
        <v>307.94699176410495</v>
      </c>
      <c r="AO134" s="59">
        <f t="shared" si="144"/>
        <v>314.22983137038875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34.036492598836652</v>
      </c>
      <c r="AV134" s="21">
        <f>EXP(-LN(2)/25)*AV133+(1-EXP(-LN(2)/25))/(LN(2)/25)*Calculateur!AQ134*Calculateur!AS134*VLOOKUP('Données projet'!$B$10,Paramètres!$A$1:$I$89,3,0)*0.475*44/12</f>
        <v>6.765245932388873</v>
      </c>
      <c r="AW134" s="21">
        <f>EXP(-LN(2)/2)*AW133+(1-EXP(-LN(2)/2))/(LN(2)/2)*AQ134*AT134*VLOOKUP('Données projet'!$B$10,Paramètres!$A$1:$I$89,3,0)*0.475*44/12</f>
        <v>1.2339774644387274E-9</v>
      </c>
      <c r="AX134" s="21">
        <f t="shared" si="114"/>
        <v>40.801738532459503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346.55780187946573</v>
      </c>
      <c r="BJ134" s="59">
        <f t="shared" si="146"/>
        <v>297.28652094809149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93.4443530863158</v>
      </c>
      <c r="BQ134" s="21">
        <f>EXP(-LN(2)/25)*BQ133+(1-EXP(-LN(2)/25))/(LN(2)/25)*Calculateur!BL134*Calculateur!BN134*VLOOKUP('Données projet'!$B$11,Paramètres!$A$1:$I$89,3,0)*0.475*44/12</f>
        <v>23.13096358394343</v>
      </c>
      <c r="BR134" s="21">
        <f>EXP(-LN(2)/2)*BR133+(1-EXP(-LN(2)/2))/(LN(2)/2)*BL134*BO134*VLOOKUP('Données projet'!$B$11,Paramètres!$A$1:$I$89,3,0)*0.475*44/12</f>
        <v>1.1801005974270975E-3</v>
      </c>
      <c r="BS134" s="22">
        <f t="shared" si="117"/>
        <v>116.57649677085665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5.6843418860808015E-13</v>
      </c>
      <c r="BZ134" s="13">
        <f>BY134*VLOOKUP('Données projet'!$B$12,Paramètres!$A$1:$I$89,3,0)*VLOOKUP('Données projet'!$B$12,Paramètres!$A$1:$I$89,5,0)</f>
        <v>3.177547114319168E-13</v>
      </c>
      <c r="CA134" s="13">
        <f t="shared" si="147"/>
        <v>4.1725404435445377E-12</v>
      </c>
      <c r="CB134" s="20">
        <f t="shared" si="118"/>
        <v>7.820597394917325E-12</v>
      </c>
      <c r="CC134" s="59">
        <f t="shared" si="119"/>
        <v>289.99988414085925</v>
      </c>
      <c r="CD134" s="59">
        <f ca="1">AVERAGE(OFFSET($CC$3,0,0,'Données projet'!$E$12+1,1))-AVERAGE(OFFSET($H$3,0,0,'Données projet'!$E$12+1,1))</f>
        <v>394.00476121021177</v>
      </c>
      <c r="CE134" s="59">
        <f t="shared" si="148"/>
        <v>363.10016759175278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68.942498476268256</v>
      </c>
      <c r="CL134" s="21">
        <f>EXP(-LN(2)/25)*CL133+(1-EXP(-LN(2)/25))/(LN(2)/25)*Calculateur!CG134*Calculateur!CI134*VLOOKUP('Données projet'!$B$12,Paramètres!$A$1:$I$89,3,0)*0.475*44/12</f>
        <v>14.145123909086806</v>
      </c>
      <c r="CM134" s="21">
        <f>EXP(-LN(2)/2)*CM133+(1-EXP(-LN(2)/2))/(LN(2)/2)*CG134*CJ134*VLOOKUP('Données projet'!$B$12,Paramètres!$A$1:$I$89,3,0)*0.475*44/12</f>
        <v>4.9723748365148679E-8</v>
      </c>
      <c r="CN134" s="22">
        <f t="shared" si="120"/>
        <v>83.087622435078814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69.090877492959478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3">
        <f>'Scénario référence'!$B$16*5+'Scénario référence'!$B$17*0+'Scénario référence'!$B$18*5</f>
        <v>1.7999999999999998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6.5999999999999988</v>
      </c>
      <c r="H135" s="67">
        <f t="shared" si="110"/>
        <v>230.26666666666665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1192.3121721831069</v>
      </c>
      <c r="S135" s="59">
        <f ca="1">AVERAGE(OFFSET($R$3,0,0,'Données projet'!$E$9+1,1))-AVERAGE(OFFSET($H$3,0,0,'Données projet'!$E$9+1,1))</f>
        <v>652.18744712713965</v>
      </c>
      <c r="T135" s="59">
        <f t="shared" si="142"/>
        <v>288.65635870281199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290.05771203186703</v>
      </c>
      <c r="AN135" s="59">
        <f ca="1">AVERAGE(OFFSET($AM$3,0,0,'Données projet'!$E$10+1,1))-AVERAGE(OFFSET($H$3,0,0,'Données projet'!$E$10+1,1))</f>
        <v>307.94699176410495</v>
      </c>
      <c r="AO135" s="59">
        <f t="shared" si="144"/>
        <v>314.22983137038875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33.369057739184051</v>
      </c>
      <c r="AV135" s="21">
        <f>EXP(-LN(2)/25)*AV134+(1-EXP(-LN(2)/25))/(LN(2)/25)*Calculateur!AQ135*Calculateur!AS135*VLOOKUP('Données projet'!$B$10,Paramètres!$A$1:$I$89,3,0)*0.475*44/12</f>
        <v>6.5802499265988779</v>
      </c>
      <c r="AW135" s="21">
        <f>EXP(-LN(2)/2)*AW134+(1-EXP(-LN(2)/2))/(LN(2)/2)*AQ135*AT135*VLOOKUP('Données projet'!$B$10,Paramètres!$A$1:$I$89,3,0)*0.475*44/12</f>
        <v>8.7255383293600598E-10</v>
      </c>
      <c r="AX135" s="21">
        <f t="shared" si="114"/>
        <v>39.949307666655478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346.55780187946573</v>
      </c>
      <c r="BJ135" s="59">
        <f t="shared" si="146"/>
        <v>297.28652094809149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91.6119663177207</v>
      </c>
      <c r="BQ135" s="21">
        <f>EXP(-LN(2)/25)*BQ134+(1-EXP(-LN(2)/25))/(LN(2)/25)*Calculateur!BL135*Calculateur!BN135*VLOOKUP('Données projet'!$B$11,Paramètres!$A$1:$I$89,3,0)*0.475*44/12</f>
        <v>22.498446168335988</v>
      </c>
      <c r="BR135" s="21">
        <f>EXP(-LN(2)/2)*BR134+(1-EXP(-LN(2)/2))/(LN(2)/2)*BL135*BO135*VLOOKUP('Données projet'!$B$11,Paramètres!$A$1:$I$89,3,0)*0.475*44/12</f>
        <v>8.3445713492299664E-4</v>
      </c>
      <c r="BS135" s="22">
        <f t="shared" si="117"/>
        <v>114.11124694319162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5.6843418860808015E-13</v>
      </c>
      <c r="BZ135" s="13">
        <f>BY135*VLOOKUP('Données projet'!$B$12,Paramètres!$A$1:$I$89,3,0)*VLOOKUP('Données projet'!$B$12,Paramètres!$A$1:$I$89,5,0)</f>
        <v>3.177547114319168E-13</v>
      </c>
      <c r="CA135" s="13">
        <f t="shared" si="147"/>
        <v>4.1725404435445377E-12</v>
      </c>
      <c r="CB135" s="20">
        <f t="shared" si="118"/>
        <v>7.820597394917325E-12</v>
      </c>
      <c r="CC135" s="59">
        <f t="shared" si="119"/>
        <v>290.05771203187288</v>
      </c>
      <c r="CD135" s="59">
        <f ca="1">AVERAGE(OFFSET($CC$3,0,0,'Données projet'!$E$12+1,1))-AVERAGE(OFFSET($H$3,0,0,'Données projet'!$E$12+1,1))</f>
        <v>394.00476121021177</v>
      </c>
      <c r="CE135" s="59">
        <f t="shared" si="148"/>
        <v>363.10016759175278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67.590578131920537</v>
      </c>
      <c r="CL135" s="21">
        <f>EXP(-LN(2)/25)*CL134+(1-EXP(-LN(2)/25))/(LN(2)/25)*Calculateur!CG135*Calculateur!CI135*VLOOKUP('Données projet'!$B$12,Paramètres!$A$1:$I$89,3,0)*0.475*44/12</f>
        <v>13.75832475193309</v>
      </c>
      <c r="CM135" s="21">
        <f>EXP(-LN(2)/2)*CM134+(1-EXP(-LN(2)/2))/(LN(2)/2)*CG135*CJ135*VLOOKUP('Données projet'!$B$12,Paramètres!$A$1:$I$89,3,0)*0.475*44/12</f>
        <v>3.5159999655010136E-8</v>
      </c>
      <c r="CN135" s="22">
        <f t="shared" si="120"/>
        <v>81.348902919013625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69.106648735963191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3">
        <f>'Scénario référence'!$B$16*5+'Scénario référence'!$B$17*0+'Scénario référence'!$B$18*5</f>
        <v>1.7999999999999998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6.5999999999999988</v>
      </c>
      <c r="H136" s="67">
        <f t="shared" si="110"/>
        <v>230.26666666666665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1209.4496690782748</v>
      </c>
      <c r="S136" s="59">
        <f ca="1">AVERAGE(OFFSET($R$3,0,0,'Données projet'!$E$9+1,1))-AVERAGE(OFFSET($H$3,0,0,'Données projet'!$E$9+1,1))</f>
        <v>652.18744712713965</v>
      </c>
      <c r="T136" s="59">
        <f t="shared" si="142"/>
        <v>288.65635870281199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290.11453673825537</v>
      </c>
      <c r="AN136" s="59">
        <f ca="1">AVERAGE(OFFSET($AM$3,0,0,'Données projet'!$E$10+1,1))-AVERAGE(OFFSET($H$3,0,0,'Données projet'!$E$10+1,1))</f>
        <v>307.94699176410495</v>
      </c>
      <c r="AO136" s="59">
        <f t="shared" si="144"/>
        <v>314.22983137038875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32.714710870034168</v>
      </c>
      <c r="AV136" s="21">
        <f>EXP(-LN(2)/25)*AV135+(1-EXP(-LN(2)/25))/(LN(2)/25)*Calculateur!AQ136*Calculateur!AS136*VLOOKUP('Données projet'!$B$10,Paramètres!$A$1:$I$89,3,0)*0.475*44/12</f>
        <v>6.4003126463157276</v>
      </c>
      <c r="AW136" s="21">
        <f>EXP(-LN(2)/2)*AW135+(1-EXP(-LN(2)/2))/(LN(2)/2)*AQ136*AT136*VLOOKUP('Données projet'!$B$10,Paramètres!$A$1:$I$89,3,0)*0.475*44/12</f>
        <v>6.1698873221936372E-10</v>
      </c>
      <c r="AX136" s="21">
        <f t="shared" si="114"/>
        <v>39.115023516966879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346.55780187946573</v>
      </c>
      <c r="BJ136" s="59">
        <f t="shared" si="146"/>
        <v>297.28652094809149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89.815511536012181</v>
      </c>
      <c r="BQ136" s="21">
        <f>EXP(-LN(2)/25)*BQ135+(1-EXP(-LN(2)/25))/(LN(2)/25)*Calculateur!BL136*Calculateur!BN136*VLOOKUP('Données projet'!$B$11,Paramètres!$A$1:$I$89,3,0)*0.475*44/12</f>
        <v>21.883224974720978</v>
      </c>
      <c r="BR136" s="21">
        <f>EXP(-LN(2)/2)*BR135+(1-EXP(-LN(2)/2))/(LN(2)/2)*BL136*BO136*VLOOKUP('Données projet'!$B$11,Paramètres!$A$1:$I$89,3,0)*0.475*44/12</f>
        <v>5.9005029871354875E-4</v>
      </c>
      <c r="BS136" s="22">
        <f t="shared" si="117"/>
        <v>111.69932656103187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5.6843418860808015E-13</v>
      </c>
      <c r="BZ136" s="13">
        <f>BY136*VLOOKUP('Données projet'!$B$12,Paramètres!$A$1:$I$89,3,0)*VLOOKUP('Données projet'!$B$12,Paramètres!$A$1:$I$89,5,0)</f>
        <v>3.177547114319168E-13</v>
      </c>
      <c r="CA136" s="13">
        <f t="shared" si="147"/>
        <v>4.1725404435445377E-12</v>
      </c>
      <c r="CB136" s="20">
        <f t="shared" si="118"/>
        <v>7.820597394917325E-12</v>
      </c>
      <c r="CC136" s="59">
        <f t="shared" si="119"/>
        <v>290.11453673826122</v>
      </c>
      <c r="CD136" s="59">
        <f ca="1">AVERAGE(OFFSET($CC$3,0,0,'Données projet'!$E$12+1,1))-AVERAGE(OFFSET($H$3,0,0,'Données projet'!$E$12+1,1))</f>
        <v>394.00476121021177</v>
      </c>
      <c r="CE136" s="59">
        <f t="shared" si="148"/>
        <v>363.10016759175278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66.265168120935485</v>
      </c>
      <c r="CL136" s="21">
        <f>EXP(-LN(2)/25)*CL135+(1-EXP(-LN(2)/25))/(LN(2)/25)*Calculateur!CG136*Calculateur!CI136*VLOOKUP('Données projet'!$B$12,Paramètres!$A$1:$I$89,3,0)*0.475*44/12</f>
        <v>13.382102638072626</v>
      </c>
      <c r="CM136" s="21">
        <f>EXP(-LN(2)/2)*CM135+(1-EXP(-LN(2)/2))/(LN(2)/2)*CG136*CJ136*VLOOKUP('Données projet'!$B$12,Paramètres!$A$1:$I$89,3,0)*0.475*44/12</f>
        <v>2.4861874182574339E-8</v>
      </c>
      <c r="CN136" s="22">
        <f t="shared" si="120"/>
        <v>79.647270783869985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69.122146383160015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3">
        <f>'Scénario référence'!$B$16*5+'Scénario référence'!$B$17*0+'Scénario référence'!$B$18*5</f>
        <v>1.7999999999999998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6.5999999999999988</v>
      </c>
      <c r="H137" s="67">
        <f t="shared" si="110"/>
        <v>230.26666666666665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1226.5798626896378</v>
      </c>
      <c r="S137" s="59">
        <f ca="1">AVERAGE(OFFSET($R$3,0,0,'Données projet'!$E$9+1,1))-AVERAGE(OFFSET($H$3,0,0,'Données projet'!$E$9+1,1))</f>
        <v>652.18744712713965</v>
      </c>
      <c r="T137" s="59">
        <f t="shared" si="142"/>
        <v>288.65635870281199</v>
      </c>
      <c r="U137" s="15">
        <f>IF(ISNA(VLOOKUP(A137,'Données projet'!$A$35:$I$55,3,0)),0,VLOOKUP(A137,'Données projet'!$A$35:$I$55,3,0))</f>
        <v>13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290.17037566302889</v>
      </c>
      <c r="AN137" s="59">
        <f ca="1">AVERAGE(OFFSET($AM$3,0,0,'Données projet'!$E$10+1,1))-AVERAGE(OFFSET($H$3,0,0,'Données projet'!$E$10+1,1))</f>
        <v>307.94699176410495</v>
      </c>
      <c r="AO137" s="59">
        <f t="shared" si="144"/>
        <v>314.22983137038875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32.073195343876137</v>
      </c>
      <c r="AV137" s="21">
        <f>EXP(-LN(2)/25)*AV136+(1-EXP(-LN(2)/25))/(LN(2)/25)*Calculateur!AQ137*Calculateur!AS137*VLOOKUP('Données projet'!$B$10,Paramètres!$A$1:$I$89,3,0)*0.475*44/12</f>
        <v>6.2252957604244097</v>
      </c>
      <c r="AW137" s="21">
        <f>EXP(-LN(2)/2)*AW136+(1-EXP(-LN(2)/2))/(LN(2)/2)*AQ137*AT137*VLOOKUP('Données projet'!$B$10,Paramètres!$A$1:$I$89,3,0)*0.475*44/12</f>
        <v>4.3627691646800299E-10</v>
      </c>
      <c r="AX137" s="21">
        <f t="shared" si="114"/>
        <v>38.298491104736826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346.55780187946573</v>
      </c>
      <c r="BJ137" s="59">
        <f t="shared" si="146"/>
        <v>297.28652094809149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88.054284136843748</v>
      </c>
      <c r="BQ137" s="21">
        <f>EXP(-LN(2)/25)*BQ136+(1-EXP(-LN(2)/25))/(LN(2)/25)*Calculateur!BL137*Calculateur!BN137*VLOOKUP('Données projet'!$B$11,Paramètres!$A$1:$I$89,3,0)*0.475*44/12</f>
        <v>21.284827036998447</v>
      </c>
      <c r="BR137" s="21">
        <f>EXP(-LN(2)/2)*BR136+(1-EXP(-LN(2)/2))/(LN(2)/2)*BL137*BO137*VLOOKUP('Données projet'!$B$11,Paramètres!$A$1:$I$89,3,0)*0.475*44/12</f>
        <v>4.1722856746149832E-4</v>
      </c>
      <c r="BS137" s="22">
        <f t="shared" si="117"/>
        <v>109.33952840240966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5.6843418860808015E-13</v>
      </c>
      <c r="BZ137" s="13">
        <f>BY137*VLOOKUP('Données projet'!$B$12,Paramètres!$A$1:$I$89,3,0)*VLOOKUP('Données projet'!$B$12,Paramètres!$A$1:$I$89,5,0)</f>
        <v>3.177547114319168E-13</v>
      </c>
      <c r="CA137" s="13">
        <f t="shared" si="147"/>
        <v>4.1725404435445377E-12</v>
      </c>
      <c r="CB137" s="20">
        <f t="shared" si="118"/>
        <v>7.820597394917325E-12</v>
      </c>
      <c r="CC137" s="59">
        <f t="shared" si="119"/>
        <v>290.17037566303475</v>
      </c>
      <c r="CD137" s="59">
        <f ca="1">AVERAGE(OFFSET($CC$3,0,0,'Données projet'!$E$12+1,1))-AVERAGE(OFFSET($H$3,0,0,'Données projet'!$E$12+1,1))</f>
        <v>394.00476121021177</v>
      </c>
      <c r="CE137" s="59">
        <f t="shared" si="148"/>
        <v>363.10016759175278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64.965748591845568</v>
      </c>
      <c r="CL137" s="21">
        <f>EXP(-LN(2)/25)*CL136+(1-EXP(-LN(2)/25))/(LN(2)/25)*Calculateur!CG137*Calculateur!CI137*VLOOKUP('Données projet'!$B$12,Paramètres!$A$1:$I$89,3,0)*0.475*44/12</f>
        <v>13.016168337700337</v>
      </c>
      <c r="CM137" s="21">
        <f>EXP(-LN(2)/2)*CM136+(1-EXP(-LN(2)/2))/(LN(2)/2)*CG137*CJ137*VLOOKUP('Données projet'!$B$12,Paramètres!$A$1:$I$89,3,0)*0.475*44/12</f>
        <v>1.7579999827505068E-8</v>
      </c>
      <c r="CN137" s="22">
        <f t="shared" si="120"/>
        <v>77.98191694712591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69.137375180825515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3">
        <f>'Scénario référence'!$B$16*5+'Scénario référence'!$B$17*0+'Scénario référence'!$B$18*5</f>
        <v>1.7999999999999998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6.5999999999999988</v>
      </c>
      <c r="H138" s="67">
        <f t="shared" si="110"/>
        <v>230.26666666666665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1128.8354470294371</v>
      </c>
      <c r="S138" s="59">
        <f ca="1">AVERAGE(OFFSET($R$3,0,0,'Données projet'!$E$9+1,1))-AVERAGE(OFFSET($H$3,0,0,'Données projet'!$E$9+1,1))</f>
        <v>652.18744712713965</v>
      </c>
      <c r="T138" s="59">
        <f t="shared" si="142"/>
        <v>288.65635870281199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290.22524590729466</v>
      </c>
      <c r="AN138" s="59">
        <f ca="1">AVERAGE(OFFSET($AM$3,0,0,'Données projet'!$E$10+1,1))-AVERAGE(OFFSET($H$3,0,0,'Données projet'!$E$10+1,1))</f>
        <v>307.94699176410495</v>
      </c>
      <c r="AO138" s="59">
        <f t="shared" si="144"/>
        <v>314.22983137038875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31.444259545900227</v>
      </c>
      <c r="AV138" s="21">
        <f>EXP(-LN(2)/25)*AV137+(1-EXP(-LN(2)/25))/(LN(2)/25)*Calculateur!AQ138*Calculateur!AS138*VLOOKUP('Données projet'!$B$10,Paramètres!$A$1:$I$89,3,0)*0.475*44/12</f>
        <v>6.0550647204815284</v>
      </c>
      <c r="AW138" s="21">
        <f>EXP(-LN(2)/2)*AW137+(1-EXP(-LN(2)/2))/(LN(2)/2)*AQ138*AT138*VLOOKUP('Données projet'!$B$10,Paramètres!$A$1:$I$89,3,0)*0.475*44/12</f>
        <v>3.0849436610968186E-10</v>
      </c>
      <c r="AX138" s="21">
        <f t="shared" si="114"/>
        <v>37.499324266690252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346.55780187946573</v>
      </c>
      <c r="BJ138" s="59">
        <f t="shared" si="146"/>
        <v>297.28652094809149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86.327593332730359</v>
      </c>
      <c r="BQ138" s="21">
        <f>EXP(-LN(2)/25)*BQ137+(1-EXP(-LN(2)/25))/(LN(2)/25)*Calculateur!BL138*Calculateur!BN138*VLOOKUP('Données projet'!$B$11,Paramètres!$A$1:$I$89,3,0)*0.475*44/12</f>
        <v>20.702792322351318</v>
      </c>
      <c r="BR138" s="21">
        <f>EXP(-LN(2)/2)*BR137+(1-EXP(-LN(2)/2))/(LN(2)/2)*BL138*BO138*VLOOKUP('Données projet'!$B$11,Paramètres!$A$1:$I$89,3,0)*0.475*44/12</f>
        <v>2.9502514935677437E-4</v>
      </c>
      <c r="BS138" s="22">
        <f t="shared" si="117"/>
        <v>107.03068068023103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5.6843418860808015E-13</v>
      </c>
      <c r="BZ138" s="13">
        <f>BY138*VLOOKUP('Données projet'!$B$12,Paramètres!$A$1:$I$89,3,0)*VLOOKUP('Données projet'!$B$12,Paramètres!$A$1:$I$89,5,0)</f>
        <v>3.177547114319168E-13</v>
      </c>
      <c r="CA138" s="13">
        <f t="shared" si="147"/>
        <v>4.1725404435445377E-12</v>
      </c>
      <c r="CB138" s="20">
        <f t="shared" si="118"/>
        <v>7.820597394917325E-12</v>
      </c>
      <c r="CC138" s="59">
        <f t="shared" si="119"/>
        <v>290.22524590730052</v>
      </c>
      <c r="CD138" s="59">
        <f ca="1">AVERAGE(OFFSET($CC$3,0,0,'Données projet'!$E$12+1,1))-AVERAGE(OFFSET($H$3,0,0,'Données projet'!$E$12+1,1))</f>
        <v>394.00476121021177</v>
      </c>
      <c r="CE138" s="59">
        <f t="shared" si="148"/>
        <v>363.10016759175278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63.691809887153454</v>
      </c>
      <c r="CL138" s="21">
        <f>EXP(-LN(2)/25)*CL137+(1-EXP(-LN(2)/25))/(LN(2)/25)*Calculateur!CG138*Calculateur!CI138*VLOOKUP('Données projet'!$B$12,Paramètres!$A$1:$I$89,3,0)*0.475*44/12</f>
        <v>12.660240530015377</v>
      </c>
      <c r="CM138" s="21">
        <f>EXP(-LN(2)/2)*CM137+(1-EXP(-LN(2)/2))/(LN(2)/2)*CG138*CJ138*VLOOKUP('Données projet'!$B$12,Paramètres!$A$1:$I$89,3,0)*0.475*44/12</f>
        <v>1.243093709128717E-8</v>
      </c>
      <c r="CN138" s="22">
        <f t="shared" si="120"/>
        <v>76.352050429599757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69.152339792898005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3">
        <f>'Scénario référence'!$B$16*5+'Scénario référence'!$B$17*0+'Scénario référence'!$B$18*5</f>
        <v>1.7999999999999998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6.5999999999999988</v>
      </c>
      <c r="H139" s="67">
        <f t="shared" si="110"/>
        <v>230.26666666666665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1146.2241439923803</v>
      </c>
      <c r="S139" s="59">
        <f ca="1">AVERAGE(OFFSET($R$3,0,0,'Données projet'!$E$9+1,1))-AVERAGE(OFFSET($H$3,0,0,'Données projet'!$E$9+1,1))</f>
        <v>652.18744712713965</v>
      </c>
      <c r="T139" s="59">
        <f t="shared" si="142"/>
        <v>288.65635870281199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290.27916427549405</v>
      </c>
      <c r="AN139" s="59">
        <f ca="1">AVERAGE(OFFSET($AM$3,0,0,'Données projet'!$E$10+1,1))-AVERAGE(OFFSET($H$3,0,0,'Données projet'!$E$10+1,1))</f>
        <v>307.94699176410495</v>
      </c>
      <c r="AO139" s="59">
        <f t="shared" si="144"/>
        <v>314.22983137038875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30.827656795309668</v>
      </c>
      <c r="AV139" s="21">
        <f>EXP(-LN(2)/25)*AV138+(1-EXP(-LN(2)/25))/(LN(2)/25)*Calculateur!AQ139*Calculateur!AS139*VLOOKUP('Données projet'!$B$10,Paramètres!$A$1:$I$89,3,0)*0.475*44/12</f>
        <v>5.8894886572779468</v>
      </c>
      <c r="AW139" s="21">
        <f>EXP(-LN(2)/2)*AW138+(1-EXP(-LN(2)/2))/(LN(2)/2)*AQ139*AT139*VLOOKUP('Données projet'!$B$10,Paramètres!$A$1:$I$89,3,0)*0.475*44/12</f>
        <v>2.181384582340015E-10</v>
      </c>
      <c r="AX139" s="21">
        <f t="shared" si="114"/>
        <v>36.717145452805752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346.55780187946573</v>
      </c>
      <c r="BJ139" s="59">
        <f t="shared" si="146"/>
        <v>297.28652094809149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84.634761882108236</v>
      </c>
      <c r="BQ139" s="21">
        <f>EXP(-LN(2)/25)*BQ138+(1-EXP(-LN(2)/25))/(LN(2)/25)*Calculateur!BL139*Calculateur!BN139*VLOOKUP('Données projet'!$B$11,Paramètres!$A$1:$I$89,3,0)*0.475*44/12</f>
        <v>20.136673377584088</v>
      </c>
      <c r="BR139" s="21">
        <f>EXP(-LN(2)/2)*BR138+(1-EXP(-LN(2)/2))/(LN(2)/2)*BL139*BO139*VLOOKUP('Données projet'!$B$11,Paramètres!$A$1:$I$89,3,0)*0.475*44/12</f>
        <v>2.0861428373074916E-4</v>
      </c>
      <c r="BS139" s="22">
        <f t="shared" si="117"/>
        <v>104.77164387397606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5.6843418860808015E-13</v>
      </c>
      <c r="BZ139" s="13">
        <f>BY139*VLOOKUP('Données projet'!$B$12,Paramètres!$A$1:$I$89,3,0)*VLOOKUP('Données projet'!$B$12,Paramètres!$A$1:$I$89,5,0)</f>
        <v>3.177547114319168E-13</v>
      </c>
      <c r="CA139" s="13">
        <f t="shared" si="147"/>
        <v>4.1725404435445377E-12</v>
      </c>
      <c r="CB139" s="20">
        <f t="shared" si="118"/>
        <v>7.820597394917325E-12</v>
      </c>
      <c r="CC139" s="59">
        <f t="shared" si="119"/>
        <v>290.27916427549991</v>
      </c>
      <c r="CD139" s="59">
        <f ca="1">AVERAGE(OFFSET($CC$3,0,0,'Données projet'!$E$12+1,1))-AVERAGE(OFFSET($H$3,0,0,'Données projet'!$E$12+1,1))</f>
        <v>394.00476121021177</v>
      </c>
      <c r="CE139" s="59">
        <f t="shared" si="148"/>
        <v>363.10016759175278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62.442852343434467</v>
      </c>
      <c r="CL139" s="21">
        <f>EXP(-LN(2)/25)*CL138+(1-EXP(-LN(2)/25))/(LN(2)/25)*Calculateur!CG139*Calculateur!CI139*VLOOKUP('Données projet'!$B$12,Paramètres!$A$1:$I$89,3,0)*0.475*44/12</f>
        <v>12.314045586948993</v>
      </c>
      <c r="CM139" s="21">
        <f>EXP(-LN(2)/2)*CM138+(1-EXP(-LN(2)/2))/(LN(2)/2)*CG139*CJ139*VLOOKUP('Données projet'!$B$12,Paramètres!$A$1:$I$89,3,0)*0.475*44/12</f>
        <v>8.7899999137525341E-9</v>
      </c>
      <c r="CN139" s="22">
        <f t="shared" si="120"/>
        <v>74.756897939173456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69.16704480240692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3">
        <f>'Scénario référence'!$B$16*5+'Scénario référence'!$B$17*0+'Scénario référence'!$B$18*5</f>
        <v>1.7999999999999998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6.5999999999999988</v>
      </c>
      <c r="H140" s="67">
        <f t="shared" si="110"/>
        <v>230.26666666666665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1163.6048663173717</v>
      </c>
      <c r="S140" s="59">
        <f ca="1">AVERAGE(OFFSET($R$3,0,0,'Données projet'!$E$9+1,1))-AVERAGE(OFFSET($H$3,0,0,'Données projet'!$E$9+1,1))</f>
        <v>652.18744712713965</v>
      </c>
      <c r="T140" s="59">
        <f t="shared" si="142"/>
        <v>288.65635870281199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290.3321472805485</v>
      </c>
      <c r="AN140" s="59">
        <f ca="1">AVERAGE(OFFSET($AM$3,0,0,'Données projet'!$E$10+1,1))-AVERAGE(OFFSET($H$3,0,0,'Données projet'!$E$10+1,1))</f>
        <v>307.94699176410495</v>
      </c>
      <c r="AO140" s="59">
        <f t="shared" si="144"/>
        <v>314.22983137038875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30.223145248567647</v>
      </c>
      <c r="AV140" s="21">
        <f>EXP(-LN(2)/25)*AV139+(1-EXP(-LN(2)/25))/(LN(2)/25)*Calculateur!AQ140*Calculateur!AS140*VLOOKUP('Données projet'!$B$10,Paramètres!$A$1:$I$89,3,0)*0.475*44/12</f>
        <v>5.7284402802299335</v>
      </c>
      <c r="AW140" s="21">
        <f>EXP(-LN(2)/2)*AW139+(1-EXP(-LN(2)/2))/(LN(2)/2)*AQ140*AT140*VLOOKUP('Données projet'!$B$10,Paramètres!$A$1:$I$89,3,0)*0.475*44/12</f>
        <v>1.5424718305484093E-10</v>
      </c>
      <c r="AX140" s="21">
        <f t="shared" si="114"/>
        <v>35.951585528951824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346.55780187946573</v>
      </c>
      <c r="BJ140" s="59">
        <f t="shared" si="146"/>
        <v>297.28652094809149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82.975125823707586</v>
      </c>
      <c r="BQ140" s="21">
        <f>EXP(-LN(2)/25)*BQ139+(1-EXP(-LN(2)/25))/(LN(2)/25)*Calculateur!BL140*Calculateur!BN140*VLOOKUP('Données projet'!$B$11,Paramètres!$A$1:$I$89,3,0)*0.475*44/12</f>
        <v>19.586034985132422</v>
      </c>
      <c r="BR140" s="21">
        <f>EXP(-LN(2)/2)*BR139+(1-EXP(-LN(2)/2))/(LN(2)/2)*BL140*BO140*VLOOKUP('Données projet'!$B$11,Paramètres!$A$1:$I$89,3,0)*0.475*44/12</f>
        <v>1.4751257467838719E-4</v>
      </c>
      <c r="BS140" s="22">
        <f t="shared" si="117"/>
        <v>102.5613083214147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5.6843418860808015E-13</v>
      </c>
      <c r="BZ140" s="13">
        <f>BY140*VLOOKUP('Données projet'!$B$12,Paramètres!$A$1:$I$89,3,0)*VLOOKUP('Données projet'!$B$12,Paramètres!$A$1:$I$89,5,0)</f>
        <v>3.177547114319168E-13</v>
      </c>
      <c r="CA140" s="13">
        <f t="shared" si="147"/>
        <v>4.1725404435445377E-12</v>
      </c>
      <c r="CB140" s="20">
        <f t="shared" si="118"/>
        <v>7.820597394917325E-12</v>
      </c>
      <c r="CC140" s="59">
        <f t="shared" si="119"/>
        <v>290.33214728055435</v>
      </c>
      <c r="CD140" s="59">
        <f ca="1">AVERAGE(OFFSET($CC$3,0,0,'Données projet'!$E$12+1,1))-AVERAGE(OFFSET($H$3,0,0,'Données projet'!$E$12+1,1))</f>
        <v>394.00476121021177</v>
      </c>
      <c r="CE140" s="59">
        <f t="shared" si="148"/>
        <v>363.10016759175278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61.21838609535893</v>
      </c>
      <c r="CL140" s="21">
        <f>EXP(-LN(2)/25)*CL139+(1-EXP(-LN(2)/25))/(LN(2)/25)*Calculateur!CG140*Calculateur!CI140*VLOOKUP('Données projet'!$B$12,Paramètres!$A$1:$I$89,3,0)*0.475*44/12</f>
        <v>11.977317362806359</v>
      </c>
      <c r="CM140" s="21">
        <f>EXP(-LN(2)/2)*CM139+(1-EXP(-LN(2)/2))/(LN(2)/2)*CG140*CJ140*VLOOKUP('Données projet'!$B$12,Paramètres!$A$1:$I$89,3,0)*0.475*44/12</f>
        <v>6.2154685456435849E-9</v>
      </c>
      <c r="CN140" s="22">
        <f t="shared" si="120"/>
        <v>73.195703464380756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69.181494712876315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3">
        <f>'Scénario référence'!$B$16*5+'Scénario référence'!$B$17*0+'Scénario référence'!$B$18*5</f>
        <v>1.7999999999999998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6.5999999999999988</v>
      </c>
      <c r="H141" s="67">
        <f t="shared" si="110"/>
        <v>230.26666666666665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1180.9777894226163</v>
      </c>
      <c r="S141" s="59">
        <f ca="1">AVERAGE(OFFSET($R$3,0,0,'Données projet'!$E$9+1,1))-AVERAGE(OFFSET($H$3,0,0,'Données projet'!$E$9+1,1))</f>
        <v>652.18744712713965</v>
      </c>
      <c r="T141" s="59">
        <f t="shared" si="142"/>
        <v>288.65635870281199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290.38421114891747</v>
      </c>
      <c r="AN141" s="59">
        <f ca="1">AVERAGE(OFFSET($AM$3,0,0,'Données projet'!$E$10+1,1))-AVERAGE(OFFSET($H$3,0,0,'Données projet'!$E$10+1,1))</f>
        <v>307.94699176410495</v>
      </c>
      <c r="AO141" s="59">
        <f t="shared" si="144"/>
        <v>314.22983137038875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29.630487804541602</v>
      </c>
      <c r="AV141" s="21">
        <f>EXP(-LN(2)/25)*AV140+(1-EXP(-LN(2)/25))/(LN(2)/25)*Calculateur!AQ141*Calculateur!AS141*VLOOKUP('Données projet'!$B$10,Paramètres!$A$1:$I$89,3,0)*0.475*44/12</f>
        <v>5.5717957795214641</v>
      </c>
      <c r="AW141" s="21">
        <f>EXP(-LN(2)/2)*AW140+(1-EXP(-LN(2)/2))/(LN(2)/2)*AQ141*AT141*VLOOKUP('Données projet'!$B$10,Paramètres!$A$1:$I$89,3,0)*0.475*44/12</f>
        <v>1.0906922911700075E-10</v>
      </c>
      <c r="AX141" s="21">
        <f t="shared" si="114"/>
        <v>35.202283584172136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346.55780187946573</v>
      </c>
      <c r="BJ141" s="59">
        <f t="shared" si="146"/>
        <v>297.28652094809149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81.348034216134124</v>
      </c>
      <c r="BQ141" s="21">
        <f>EXP(-LN(2)/25)*BQ140+(1-EXP(-LN(2)/25))/(LN(2)/25)*Calculateur!BL141*Calculateur!BN141*VLOOKUP('Données projet'!$B$11,Paramètres!$A$1:$I$89,3,0)*0.475*44/12</f>
        <v>19.05045382847916</v>
      </c>
      <c r="BR141" s="21">
        <f>EXP(-LN(2)/2)*BR140+(1-EXP(-LN(2)/2))/(LN(2)/2)*BL141*BO141*VLOOKUP('Données projet'!$B$11,Paramètres!$A$1:$I$89,3,0)*0.475*44/12</f>
        <v>1.0430714186537458E-4</v>
      </c>
      <c r="BS141" s="22">
        <f t="shared" si="117"/>
        <v>100.39859235175516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5.6843418860808015E-13</v>
      </c>
      <c r="BZ141" s="13">
        <f>BY141*VLOOKUP('Données projet'!$B$12,Paramètres!$A$1:$I$89,3,0)*VLOOKUP('Données projet'!$B$12,Paramètres!$A$1:$I$89,5,0)</f>
        <v>3.177547114319168E-13</v>
      </c>
      <c r="CA141" s="13">
        <f t="shared" si="147"/>
        <v>4.1725404435445377E-12</v>
      </c>
      <c r="CB141" s="20">
        <f t="shared" si="118"/>
        <v>7.820597394917325E-12</v>
      </c>
      <c r="CC141" s="59">
        <f t="shared" si="119"/>
        <v>290.38421114892333</v>
      </c>
      <c r="CD141" s="59">
        <f ca="1">AVERAGE(OFFSET($CC$3,0,0,'Données projet'!$E$12+1,1))-AVERAGE(OFFSET($H$3,0,0,'Données projet'!$E$12+1,1))</f>
        <v>394.00476121021177</v>
      </c>
      <c r="CE141" s="59">
        <f t="shared" si="148"/>
        <v>363.10016759175278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60.01793088355749</v>
      </c>
      <c r="CL141" s="21">
        <f>EXP(-LN(2)/25)*CL140+(1-EXP(-LN(2)/25))/(LN(2)/25)*Calculateur!CG141*Calculateur!CI141*VLOOKUP('Données projet'!$B$12,Paramètres!$A$1:$I$89,3,0)*0.475*44/12</f>
        <v>11.649796989660674</v>
      </c>
      <c r="CM141" s="21">
        <f>EXP(-LN(2)/2)*CM140+(1-EXP(-LN(2)/2))/(LN(2)/2)*CG141*CJ141*VLOOKUP('Données projet'!$B$12,Paramètres!$A$1:$I$89,3,0)*0.475*44/12</f>
        <v>4.394999956876267E-9</v>
      </c>
      <c r="CN141" s="22">
        <f t="shared" si="120"/>
        <v>71.667727877613174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69.195693949704221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3">
        <f>'Scénario référence'!$B$16*5+'Scénario référence'!$B$17*0+'Scénario référence'!$B$18*5</f>
        <v>1.7999999999999998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6.5999999999999988</v>
      </c>
      <c r="H142" s="67">
        <f t="shared" si="110"/>
        <v>230.26666666666665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1198.3430817550998</v>
      </c>
      <c r="S142" s="59">
        <f ca="1">AVERAGE(OFFSET($R$3,0,0,'Données projet'!$E$9+1,1))-AVERAGE(OFFSET($H$3,0,0,'Données projet'!$E$9+1,1))</f>
        <v>652.18744712713965</v>
      </c>
      <c r="T142" s="59">
        <f t="shared" si="142"/>
        <v>288.65635870281199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290.43537182556764</v>
      </c>
      <c r="AN142" s="59">
        <f ca="1">AVERAGE(OFFSET($AM$3,0,0,'Données projet'!$E$10+1,1))-AVERAGE(OFFSET($H$3,0,0,'Données projet'!$E$10+1,1))</f>
        <v>307.94699176410495</v>
      </c>
      <c r="AO142" s="59">
        <f t="shared" si="144"/>
        <v>314.22983137038875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29.049452011507558</v>
      </c>
      <c r="AV142" s="21">
        <f>EXP(-LN(2)/25)*AV141+(1-EXP(-LN(2)/25))/(LN(2)/25)*Calculateur!AQ142*Calculateur!AS142*VLOOKUP('Données projet'!$B$10,Paramètres!$A$1:$I$89,3,0)*0.475*44/12</f>
        <v>5.4194347309224442</v>
      </c>
      <c r="AW142" s="21">
        <f>EXP(-LN(2)/2)*AW141+(1-EXP(-LN(2)/2))/(LN(2)/2)*AQ142*AT142*VLOOKUP('Données projet'!$B$10,Paramètres!$A$1:$I$89,3,0)*0.475*44/12</f>
        <v>7.7123591527420465E-11</v>
      </c>
      <c r="AX142" s="21">
        <f t="shared" si="114"/>
        <v>34.468886742507124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346.55780187946573</v>
      </c>
      <c r="BJ142" s="59">
        <f t="shared" si="146"/>
        <v>297.28652094809149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79.752848882557288</v>
      </c>
      <c r="BQ142" s="21">
        <f>EXP(-LN(2)/25)*BQ141+(1-EXP(-LN(2)/25))/(LN(2)/25)*Calculateur!BL142*Calculateur!BN142*VLOOKUP('Données projet'!$B$11,Paramètres!$A$1:$I$89,3,0)*0.475*44/12</f>
        <v>18.529518166719569</v>
      </c>
      <c r="BR142" s="21">
        <f>EXP(-LN(2)/2)*BR141+(1-EXP(-LN(2)/2))/(LN(2)/2)*BL142*BO142*VLOOKUP('Données projet'!$B$11,Paramètres!$A$1:$I$89,3,0)*0.475*44/12</f>
        <v>7.3756287339193593E-5</v>
      </c>
      <c r="BS142" s="22">
        <f t="shared" si="117"/>
        <v>98.282440805564192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5.6843418860808015E-13</v>
      </c>
      <c r="BZ142" s="13">
        <f>BY142*VLOOKUP('Données projet'!$B$12,Paramètres!$A$1:$I$89,3,0)*VLOOKUP('Données projet'!$B$12,Paramètres!$A$1:$I$89,5,0)</f>
        <v>3.177547114319168E-13</v>
      </c>
      <c r="CA142" s="13">
        <f t="shared" si="147"/>
        <v>4.1725404435445377E-12</v>
      </c>
      <c r="CB142" s="20">
        <f t="shared" si="118"/>
        <v>7.820597394917325E-12</v>
      </c>
      <c r="CC142" s="59">
        <f t="shared" si="119"/>
        <v>290.4353718255735</v>
      </c>
      <c r="CD142" s="59">
        <f ca="1">AVERAGE(OFFSET($CC$3,0,0,'Données projet'!$E$12+1,1))-AVERAGE(OFFSET($H$3,0,0,'Données projet'!$E$12+1,1))</f>
        <v>394.00476121021177</v>
      </c>
      <c r="CE142" s="59">
        <f t="shared" si="148"/>
        <v>363.10016759175278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58.841015866254097</v>
      </c>
      <c r="CL142" s="21">
        <f>EXP(-LN(2)/25)*CL141+(1-EXP(-LN(2)/25))/(LN(2)/25)*Calculateur!CG142*Calculateur!CI142*VLOOKUP('Données projet'!$B$12,Paramètres!$A$1:$I$89,3,0)*0.475*44/12</f>
        <v>11.331232678342205</v>
      </c>
      <c r="CM142" s="21">
        <f>EXP(-LN(2)/2)*CM141+(1-EXP(-LN(2)/2))/(LN(2)/2)*CG142*CJ142*VLOOKUP('Données projet'!$B$12,Paramètres!$A$1:$I$89,3,0)*0.475*44/12</f>
        <v>3.1077342728217924E-9</v>
      </c>
      <c r="CN142" s="22">
        <f t="shared" si="120"/>
        <v>70.172248547704029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69.209646861517911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3">
        <f>'Scénario référence'!$B$16*5+'Scénario référence'!$B$17*0+'Scénario référence'!$B$18*5</f>
        <v>1.7999999999999998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6.5999999999999988</v>
      </c>
      <c r="H143" s="67">
        <f t="shared" si="110"/>
        <v>230.26666666666665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1215.7009052013884</v>
      </c>
      <c r="S143" s="59">
        <f ca="1">AVERAGE(OFFSET($R$3,0,0,'Données projet'!$E$9+1,1))-AVERAGE(OFFSET($H$3,0,0,'Données projet'!$E$9+1,1))</f>
        <v>652.18744712713965</v>
      </c>
      <c r="T143" s="59">
        <f t="shared" si="142"/>
        <v>288.65635870281199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290.4856449788561</v>
      </c>
      <c r="AN143" s="59">
        <f ca="1">AVERAGE(OFFSET($AM$3,0,0,'Données projet'!$E$10+1,1))-AVERAGE(OFFSET($H$3,0,0,'Données projet'!$E$10+1,1))</f>
        <v>307.94699176410495</v>
      </c>
      <c r="AO143" s="59">
        <f t="shared" si="144"/>
        <v>314.22983137038875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28.479809975978075</v>
      </c>
      <c r="AV143" s="21">
        <f>EXP(-LN(2)/25)*AV142+(1-EXP(-LN(2)/25))/(LN(2)/25)*Calculateur!AQ143*Calculateur!AS143*VLOOKUP('Données projet'!$B$10,Paramètres!$A$1:$I$89,3,0)*0.475*44/12</f>
        <v>5.2712400032096838</v>
      </c>
      <c r="AW143" s="21">
        <f>EXP(-LN(2)/2)*AW142+(1-EXP(-LN(2)/2))/(LN(2)/2)*AQ143*AT143*VLOOKUP('Données projet'!$B$10,Paramètres!$A$1:$I$89,3,0)*0.475*44/12</f>
        <v>5.4534614558500374E-11</v>
      </c>
      <c r="AX143" s="21">
        <f t="shared" si="114"/>
        <v>33.751049979242289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346.55780187946573</v>
      </c>
      <c r="BJ143" s="59">
        <f t="shared" si="146"/>
        <v>297.28652094809149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78.188944160404915</v>
      </c>
      <c r="BQ143" s="21">
        <f>EXP(-LN(2)/25)*BQ142+(1-EXP(-LN(2)/25))/(LN(2)/25)*Calculateur!BL143*Calculateur!BN143*VLOOKUP('Données projet'!$B$11,Paramètres!$A$1:$I$89,3,0)*0.475*44/12</f>
        <v>18.022827518025611</v>
      </c>
      <c r="BR143" s="21">
        <f>EXP(-LN(2)/2)*BR142+(1-EXP(-LN(2)/2))/(LN(2)/2)*BL143*BO143*VLOOKUP('Données projet'!$B$11,Paramètres!$A$1:$I$89,3,0)*0.475*44/12</f>
        <v>5.215357093268729E-5</v>
      </c>
      <c r="BS143" s="22">
        <f t="shared" si="117"/>
        <v>96.211823832001457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5.6843418860808015E-13</v>
      </c>
      <c r="BZ143" s="13">
        <f>BY143*VLOOKUP('Données projet'!$B$12,Paramètres!$A$1:$I$89,3,0)*VLOOKUP('Données projet'!$B$12,Paramètres!$A$1:$I$89,5,0)</f>
        <v>3.177547114319168E-13</v>
      </c>
      <c r="CA143" s="13">
        <f t="shared" si="147"/>
        <v>4.1725404435445377E-12</v>
      </c>
      <c r="CB143" s="20">
        <f t="shared" si="118"/>
        <v>7.820597394917325E-12</v>
      </c>
      <c r="CC143" s="59">
        <f t="shared" si="119"/>
        <v>290.48564497886196</v>
      </c>
      <c r="CD143" s="59">
        <f ca="1">AVERAGE(OFFSET($CC$3,0,0,'Données projet'!$E$12+1,1))-AVERAGE(OFFSET($H$3,0,0,'Données projet'!$E$12+1,1))</f>
        <v>394.00476121021177</v>
      </c>
      <c r="CE143" s="59">
        <f t="shared" si="148"/>
        <v>363.10016759175278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57.687179434592743</v>
      </c>
      <c r="CL143" s="21">
        <f>EXP(-LN(2)/25)*CL142+(1-EXP(-LN(2)/25))/(LN(2)/25)*Calculateur!CG143*Calculateur!CI143*VLOOKUP('Données projet'!$B$12,Paramètres!$A$1:$I$89,3,0)*0.475*44/12</f>
        <v>11.021379524869308</v>
      </c>
      <c r="CM143" s="21">
        <f>EXP(-LN(2)/2)*CM142+(1-EXP(-LN(2)/2))/(LN(2)/2)*CG143*CJ143*VLOOKUP('Données projet'!$B$12,Paramètres!$A$1:$I$89,3,0)*0.475*44/12</f>
        <v>2.1974999784381335E-9</v>
      </c>
      <c r="CN143" s="22">
        <f t="shared" si="120"/>
        <v>68.708558961659548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69.223357721505664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3">
        <f>'Scénario référence'!$B$16*5+'Scénario référence'!$B$17*0+'Scénario référence'!$B$18*5</f>
        <v>1.7999999999999998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6.5999999999999988</v>
      </c>
      <c r="H144" s="67">
        <f t="shared" si="110"/>
        <v>230.26666666666665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1233.0514154664331</v>
      </c>
      <c r="S144" s="59">
        <f ca="1">AVERAGE(OFFSET($R$3,0,0,'Données projet'!$E$9+1,1))-AVERAGE(OFFSET($H$3,0,0,'Données projet'!$E$9+1,1))</f>
        <v>652.18744712713965</v>
      </c>
      <c r="T144" s="59">
        <f t="shared" si="142"/>
        <v>288.65635870281199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290.53504600532892</v>
      </c>
      <c r="AN144" s="59">
        <f ca="1">AVERAGE(OFFSET($AM$3,0,0,'Données projet'!$E$10+1,1))-AVERAGE(OFFSET($H$3,0,0,'Données projet'!$E$10+1,1))</f>
        <v>307.94699176410495</v>
      </c>
      <c r="AO144" s="59">
        <f t="shared" si="144"/>
        <v>314.22983137038875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27.921338273317989</v>
      </c>
      <c r="AV144" s="21">
        <f>EXP(-LN(2)/25)*AV143+(1-EXP(-LN(2)/25))/(LN(2)/25)*Calculateur!AQ144*Calculateur!AS144*VLOOKUP('Données projet'!$B$10,Paramètres!$A$1:$I$89,3,0)*0.475*44/12</f>
        <v>5.1270976681194504</v>
      </c>
      <c r="AW144" s="21">
        <f>EXP(-LN(2)/2)*AW143+(1-EXP(-LN(2)/2))/(LN(2)/2)*AQ144*AT144*VLOOKUP('Données projet'!$B$10,Paramètres!$A$1:$I$89,3,0)*0.475*44/12</f>
        <v>3.8561795763710233E-11</v>
      </c>
      <c r="AX144" s="21">
        <f t="shared" si="114"/>
        <v>33.048435941476001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346.55780187946573</v>
      </c>
      <c r="BJ144" s="59">
        <f t="shared" si="146"/>
        <v>297.28652094809149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76.655706655966256</v>
      </c>
      <c r="BQ144" s="21">
        <f>EXP(-LN(2)/25)*BQ143+(1-EXP(-LN(2)/25))/(LN(2)/25)*Calculateur!BL144*Calculateur!BN144*VLOOKUP('Données projet'!$B$11,Paramètres!$A$1:$I$89,3,0)*0.475*44/12</f>
        <v>17.529992351765895</v>
      </c>
      <c r="BR144" s="21">
        <f>EXP(-LN(2)/2)*BR143+(1-EXP(-LN(2)/2))/(LN(2)/2)*BL144*BO144*VLOOKUP('Données projet'!$B$11,Paramètres!$A$1:$I$89,3,0)*0.475*44/12</f>
        <v>3.6878143669596797E-5</v>
      </c>
      <c r="BS144" s="22">
        <f t="shared" si="117"/>
        <v>94.185735885875829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5.6843418860808015E-13</v>
      </c>
      <c r="BZ144" s="13">
        <f>BY144*VLOOKUP('Données projet'!$B$12,Paramètres!$A$1:$I$89,3,0)*VLOOKUP('Données projet'!$B$12,Paramètres!$A$1:$I$89,5,0)</f>
        <v>3.177547114319168E-13</v>
      </c>
      <c r="CA144" s="13">
        <f t="shared" si="147"/>
        <v>4.1725404435445377E-12</v>
      </c>
      <c r="CB144" s="20">
        <f t="shared" si="118"/>
        <v>7.820597394917325E-12</v>
      </c>
      <c r="CC144" s="59">
        <f t="shared" si="119"/>
        <v>290.53504600533478</v>
      </c>
      <c r="CD144" s="59">
        <f ca="1">AVERAGE(OFFSET($CC$3,0,0,'Données projet'!$E$12+1,1))-AVERAGE(OFFSET($H$3,0,0,'Données projet'!$E$12+1,1))</f>
        <v>394.00476121021177</v>
      </c>
      <c r="CE144" s="59">
        <f t="shared" si="148"/>
        <v>363.10016759175278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56.555969031585533</v>
      </c>
      <c r="CL144" s="21">
        <f>EXP(-LN(2)/25)*CL143+(1-EXP(-LN(2)/25))/(LN(2)/25)*Calculateur!CG144*Calculateur!CI144*VLOOKUP('Données projet'!$B$12,Paramètres!$A$1:$I$89,3,0)*0.475*44/12</f>
        <v>10.719999322172598</v>
      </c>
      <c r="CM144" s="21">
        <f>EXP(-LN(2)/2)*CM143+(1-EXP(-LN(2)/2))/(LN(2)/2)*CG144*CJ144*VLOOKUP('Données projet'!$B$12,Paramètres!$A$1:$I$89,3,0)*0.475*44/12</f>
        <v>1.5538671364108962E-9</v>
      </c>
      <c r="CN144" s="22">
        <f t="shared" si="120"/>
        <v>67.275968355312003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69.236830728725522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3">
        <f>'Scénario référence'!$B$16*5+'Scénario référence'!$B$17*0+'Scénario référence'!$B$18*5</f>
        <v>1.7999999999999998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6.5999999999999988</v>
      </c>
      <c r="H145" s="67">
        <f t="shared" si="110"/>
        <v>230.26666666666665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1250.3947624234345</v>
      </c>
      <c r="S145" s="59">
        <f ca="1">AVERAGE(OFFSET($R$3,0,0,'Données projet'!$E$9+1,1))-AVERAGE(OFFSET($H$3,0,0,'Données projet'!$E$9+1,1))</f>
        <v>652.18744712713965</v>
      </c>
      <c r="T145" s="59">
        <f t="shared" si="142"/>
        <v>288.65635870281199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290.58359003443661</v>
      </c>
      <c r="AN145" s="59">
        <f ca="1">AVERAGE(OFFSET($AM$3,0,0,'Données projet'!$E$10+1,1))-AVERAGE(OFFSET($H$3,0,0,'Données projet'!$E$10+1,1))</f>
        <v>307.94699176410495</v>
      </c>
      <c r="AO145" s="59">
        <f t="shared" si="144"/>
        <v>314.22983137038875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27.373817860112965</v>
      </c>
      <c r="AV145" s="21">
        <f>EXP(-LN(2)/25)*AV144+(1-EXP(-LN(2)/25))/(LN(2)/25)*Calculateur!AQ145*Calculateur!AS145*VLOOKUP('Données projet'!$B$10,Paramètres!$A$1:$I$89,3,0)*0.475*44/12</f>
        <v>4.9868969127623757</v>
      </c>
      <c r="AW145" s="21">
        <f>EXP(-LN(2)/2)*AW144+(1-EXP(-LN(2)/2))/(LN(2)/2)*AQ145*AT145*VLOOKUP('Données projet'!$B$10,Paramètres!$A$1:$I$89,3,0)*0.475*44/12</f>
        <v>2.7267307279250187E-11</v>
      </c>
      <c r="AX145" s="21">
        <f t="shared" si="114"/>
        <v>32.360714772902611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346.55780187946573</v>
      </c>
      <c r="BJ145" s="59">
        <f t="shared" si="146"/>
        <v>297.28652094809149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75.152535003807102</v>
      </c>
      <c r="BQ145" s="21">
        <f>EXP(-LN(2)/25)*BQ144+(1-EXP(-LN(2)/25))/(LN(2)/25)*Calculateur!BL145*Calculateur!BN145*VLOOKUP('Données projet'!$B$11,Paramètres!$A$1:$I$89,3,0)*0.475*44/12</f>
        <v>17.050633789044625</v>
      </c>
      <c r="BR145" s="21">
        <f>EXP(-LN(2)/2)*BR144+(1-EXP(-LN(2)/2))/(LN(2)/2)*BL145*BO145*VLOOKUP('Données projet'!$B$11,Paramètres!$A$1:$I$89,3,0)*0.475*44/12</f>
        <v>2.6076785466343645E-5</v>
      </c>
      <c r="BS145" s="22">
        <f t="shared" si="117"/>
        <v>92.203194869637187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5.6843418860808015E-13</v>
      </c>
      <c r="BZ145" s="13">
        <f>BY145*VLOOKUP('Données projet'!$B$12,Paramètres!$A$1:$I$89,3,0)*VLOOKUP('Données projet'!$B$12,Paramètres!$A$1:$I$89,5,0)</f>
        <v>3.177547114319168E-13</v>
      </c>
      <c r="CA145" s="13">
        <f t="shared" si="147"/>
        <v>4.1725404435445377E-12</v>
      </c>
      <c r="CB145" s="20">
        <f t="shared" si="118"/>
        <v>7.820597394917325E-12</v>
      </c>
      <c r="CC145" s="59">
        <f t="shared" si="119"/>
        <v>290.58359003444247</v>
      </c>
      <c r="CD145" s="59">
        <f ca="1">AVERAGE(OFFSET($CC$3,0,0,'Données projet'!$E$12+1,1))-AVERAGE(OFFSET($H$3,0,0,'Données projet'!$E$12+1,1))</f>
        <v>394.00476121021177</v>
      </c>
      <c r="CE145" s="59">
        <f t="shared" si="148"/>
        <v>363.10016759175278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55.446940974611081</v>
      </c>
      <c r="CL145" s="21">
        <f>EXP(-LN(2)/25)*CL144+(1-EXP(-LN(2)/25))/(LN(2)/25)*Calculateur!CG145*Calculateur!CI145*VLOOKUP('Données projet'!$B$12,Paramètres!$A$1:$I$89,3,0)*0.475*44/12</f>
        <v>10.426860376967525</v>
      </c>
      <c r="CM145" s="21">
        <f>EXP(-LN(2)/2)*CM144+(1-EXP(-LN(2)/2))/(LN(2)/2)*CG145*CJ145*VLOOKUP('Données projet'!$B$12,Paramètres!$A$1:$I$89,3,0)*0.475*44/12</f>
        <v>1.0987499892190668E-9</v>
      </c>
      <c r="CN145" s="22">
        <f t="shared" si="120"/>
        <v>65.873801352677361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69.250070009391266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3">
        <f>'Scénario référence'!$B$16*5+'Scénario référence'!$B$17*0+'Scénario référence'!$B$18*5</f>
        <v>1.7999999999999998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6.5999999999999988</v>
      </c>
      <c r="H146" s="67">
        <f t="shared" si="110"/>
        <v>230.26666666666665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1267.7310904374888</v>
      </c>
      <c r="S146" s="59">
        <f ca="1">AVERAGE(OFFSET($R$3,0,0,'Données projet'!$E$9+1,1))-AVERAGE(OFFSET($H$3,0,0,'Données projet'!$E$9+1,1))</f>
        <v>652.18744712713965</v>
      </c>
      <c r="T146" s="59">
        <f t="shared" si="142"/>
        <v>288.65635870281199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290.6312919331674</v>
      </c>
      <c r="AN146" s="59">
        <f ca="1">AVERAGE(OFFSET($AM$3,0,0,'Données projet'!$E$10+1,1))-AVERAGE(OFFSET($H$3,0,0,'Données projet'!$E$10+1,1))</f>
        <v>307.94699176410495</v>
      </c>
      <c r="AO146" s="59">
        <f t="shared" si="144"/>
        <v>314.22983137038875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26.837033988256415</v>
      </c>
      <c r="AV146" s="21">
        <f>EXP(-LN(2)/25)*AV145+(1-EXP(-LN(2)/25))/(LN(2)/25)*Calculateur!AQ146*Calculateur!AS146*VLOOKUP('Données projet'!$B$10,Paramètres!$A$1:$I$89,3,0)*0.475*44/12</f>
        <v>4.8505299544333775</v>
      </c>
      <c r="AW146" s="21">
        <f>EXP(-LN(2)/2)*AW145+(1-EXP(-LN(2)/2))/(LN(2)/2)*AQ146*AT146*VLOOKUP('Données projet'!$B$10,Paramètres!$A$1:$I$89,3,0)*0.475*44/12</f>
        <v>1.9280897881855116E-11</v>
      </c>
      <c r="AX146" s="21">
        <f t="shared" si="114"/>
        <v>31.687563942709073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346.55780187946573</v>
      </c>
      <c r="BJ146" s="59">
        <f t="shared" si="146"/>
        <v>297.28652094809149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73.678839630902615</v>
      </c>
      <c r="BQ146" s="21">
        <f>EXP(-LN(2)/25)*BQ145+(1-EXP(-LN(2)/25))/(LN(2)/25)*Calculateur!BL146*Calculateur!BN146*VLOOKUP('Données projet'!$B$11,Paramètres!$A$1:$I$89,3,0)*0.475*44/12</f>
        <v>16.584383311429338</v>
      </c>
      <c r="BR146" s="21">
        <f>EXP(-LN(2)/2)*BR145+(1-EXP(-LN(2)/2))/(LN(2)/2)*BL146*BO146*VLOOKUP('Données projet'!$B$11,Paramètres!$A$1:$I$89,3,0)*0.475*44/12</f>
        <v>1.8439071834798398E-5</v>
      </c>
      <c r="BS146" s="22">
        <f t="shared" si="117"/>
        <v>90.263241381403787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5.6843418860808015E-13</v>
      </c>
      <c r="BZ146" s="13">
        <f>BY146*VLOOKUP('Données projet'!$B$12,Paramètres!$A$1:$I$89,3,0)*VLOOKUP('Données projet'!$B$12,Paramètres!$A$1:$I$89,5,0)</f>
        <v>3.177547114319168E-13</v>
      </c>
      <c r="CA146" s="13">
        <f t="shared" si="147"/>
        <v>4.1725404435445377E-12</v>
      </c>
      <c r="CB146" s="20">
        <f t="shared" si="118"/>
        <v>7.820597394917325E-12</v>
      </c>
      <c r="CC146" s="59">
        <f t="shared" si="119"/>
        <v>290.63129193317326</v>
      </c>
      <c r="CD146" s="59">
        <f ca="1">AVERAGE(OFFSET($CC$3,0,0,'Données projet'!$E$12+1,1))-AVERAGE(OFFSET($H$3,0,0,'Données projet'!$E$12+1,1))</f>
        <v>394.00476121021177</v>
      </c>
      <c r="CE146" s="59">
        <f t="shared" si="148"/>
        <v>363.10016759175278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54.359660281393573</v>
      </c>
      <c r="CL146" s="21">
        <f>EXP(-LN(2)/25)*CL145+(1-EXP(-LN(2)/25))/(LN(2)/25)*Calculateur!CG146*Calculateur!CI146*VLOOKUP('Données projet'!$B$12,Paramètres!$A$1:$I$89,3,0)*0.475*44/12</f>
        <v>10.141737331634593</v>
      </c>
      <c r="CM146" s="21">
        <f>EXP(-LN(2)/2)*CM145+(1-EXP(-LN(2)/2))/(LN(2)/2)*CG146*CJ146*VLOOKUP('Données projet'!$B$12,Paramètres!$A$1:$I$89,3,0)*0.475*44/12</f>
        <v>7.7693356820544811E-10</v>
      </c>
      <c r="CN146" s="22">
        <f t="shared" si="120"/>
        <v>64.501397613805096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69.263079618136032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3">
        <f>'Scénario référence'!$B$16*5+'Scénario référence'!$B$17*0+'Scénario référence'!$B$18*5</f>
        <v>1.7999999999999998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6.5999999999999988</v>
      </c>
      <c r="H147" s="67">
        <f t="shared" si="110"/>
        <v>230.26666666666665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1285.0605386654338</v>
      </c>
      <c r="S147" s="59">
        <f ca="1">AVERAGE(OFFSET($R$3,0,0,'Données projet'!$E$9+1,1))-AVERAGE(OFFSET($H$3,0,0,'Données projet'!$E$9+1,1))</f>
        <v>652.18744712713965</v>
      </c>
      <c r="T147" s="59">
        <f t="shared" si="142"/>
        <v>288.65635870281199</v>
      </c>
      <c r="U147" s="15">
        <f>IF(ISNA(VLOOKUP(A147,'Données projet'!$A$35:$I$55,3,0)),0,VLOOKUP(A147,'Données projet'!$A$35:$I$55,3,0))</f>
        <v>14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290.67816631060077</v>
      </c>
      <c r="AN147" s="59">
        <f ca="1">AVERAGE(OFFSET($AM$3,0,0,'Données projet'!$E$10+1,1))-AVERAGE(OFFSET($H$3,0,0,'Données projet'!$E$10+1,1))</f>
        <v>307.94699176410495</v>
      </c>
      <c r="AO147" s="59">
        <f t="shared" si="144"/>
        <v>314.22983137038875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26.310776120721137</v>
      </c>
      <c r="AV147" s="21">
        <f>EXP(-LN(2)/25)*AV146+(1-EXP(-LN(2)/25))/(LN(2)/25)*Calculateur!AQ147*Calculateur!AS147*VLOOKUP('Données projet'!$B$10,Paramètres!$A$1:$I$89,3,0)*0.475*44/12</f>
        <v>4.7178919577511129</v>
      </c>
      <c r="AW147" s="21">
        <f>EXP(-LN(2)/2)*AW146+(1-EXP(-LN(2)/2))/(LN(2)/2)*AQ147*AT147*VLOOKUP('Données projet'!$B$10,Paramètres!$A$1:$I$89,3,0)*0.475*44/12</f>
        <v>1.3633653639625093E-11</v>
      </c>
      <c r="AX147" s="21">
        <f t="shared" si="114"/>
        <v>31.028668078485886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346.55780187946573</v>
      </c>
      <c r="BJ147" s="59">
        <f t="shared" si="146"/>
        <v>297.28652094809149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72.234042525395367</v>
      </c>
      <c r="BQ147" s="21">
        <f>EXP(-LN(2)/25)*BQ146+(1-EXP(-LN(2)/25))/(LN(2)/25)*Calculateur!BL147*Calculateur!BN147*VLOOKUP('Données projet'!$B$11,Paramètres!$A$1:$I$89,3,0)*0.475*44/12</f>
        <v>16.130882477643489</v>
      </c>
      <c r="BR147" s="21">
        <f>EXP(-LN(2)/2)*BR146+(1-EXP(-LN(2)/2))/(LN(2)/2)*BL147*BO147*VLOOKUP('Données projet'!$B$11,Paramètres!$A$1:$I$89,3,0)*0.475*44/12</f>
        <v>1.3038392733171823E-5</v>
      </c>
      <c r="BS147" s="22">
        <f t="shared" si="117"/>
        <v>88.364938041431586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5.6843418860808015E-13</v>
      </c>
      <c r="BZ147" s="13">
        <f>BY147*VLOOKUP('Données projet'!$B$12,Paramètres!$A$1:$I$89,3,0)*VLOOKUP('Données projet'!$B$12,Paramètres!$A$1:$I$89,5,0)</f>
        <v>3.177547114319168E-13</v>
      </c>
      <c r="CA147" s="13">
        <f t="shared" si="147"/>
        <v>4.1725404435445377E-12</v>
      </c>
      <c r="CB147" s="20">
        <f t="shared" si="118"/>
        <v>7.820597394917325E-12</v>
      </c>
      <c r="CC147" s="59">
        <f t="shared" si="119"/>
        <v>290.67816631060663</v>
      </c>
      <c r="CD147" s="59">
        <f ca="1">AVERAGE(OFFSET($CC$3,0,0,'Données projet'!$E$12+1,1))-AVERAGE(OFFSET($H$3,0,0,'Données projet'!$E$12+1,1))</f>
        <v>394.00476121021177</v>
      </c>
      <c r="CE147" s="59">
        <f t="shared" si="148"/>
        <v>363.10016759175278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53.293700499394319</v>
      </c>
      <c r="CL147" s="21">
        <f>EXP(-LN(2)/25)*CL146+(1-EXP(-LN(2)/25))/(LN(2)/25)*Calculateur!CG147*Calculateur!CI147*VLOOKUP('Données projet'!$B$12,Paramètres!$A$1:$I$89,3,0)*0.475*44/12</f>
        <v>9.8644109909702582</v>
      </c>
      <c r="CM147" s="21">
        <f>EXP(-LN(2)/2)*CM146+(1-EXP(-LN(2)/2))/(LN(2)/2)*CG147*CJ147*VLOOKUP('Données projet'!$B$12,Paramètres!$A$1:$I$89,3,0)*0.475*44/12</f>
        <v>5.4937499460953338E-10</v>
      </c>
      <c r="CN147" s="22">
        <f t="shared" si="120"/>
        <v>63.158111490913953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69.275863539254217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3">
        <f>'Scénario référence'!$B$16*5+'Scénario référence'!$B$17*0+'Scénario référence'!$B$18*5</f>
        <v>1.7999999999999998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6.5999999999999988</v>
      </c>
      <c r="H148" s="67">
        <f t="shared" si="110"/>
        <v>230.26666666666665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1185.8609487303856</v>
      </c>
      <c r="S148" s="59">
        <f ca="1">AVERAGE(OFFSET($R$3,0,0,'Données projet'!$E$9+1,1))-AVERAGE(OFFSET($H$3,0,0,'Données projet'!$E$9+1,1))</f>
        <v>652.18744712713965</v>
      </c>
      <c r="T148" s="59">
        <f t="shared" si="142"/>
        <v>288.65635870281199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290.72422752238106</v>
      </c>
      <c r="AN148" s="59">
        <f ca="1">AVERAGE(OFFSET($AM$3,0,0,'Données projet'!$E$10+1,1))-AVERAGE(OFFSET($H$3,0,0,'Données projet'!$E$10+1,1))</f>
        <v>307.94699176410495</v>
      </c>
      <c r="AO148" s="59">
        <f t="shared" si="144"/>
        <v>314.22983137038875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25.79483784898262</v>
      </c>
      <c r="AV148" s="21">
        <f>EXP(-LN(2)/25)*AV147+(1-EXP(-LN(2)/25))/(LN(2)/25)*Calculateur!AQ148*Calculateur!AS148*VLOOKUP('Données projet'!$B$10,Paramètres!$A$1:$I$89,3,0)*0.475*44/12</f>
        <v>4.5888809540632538</v>
      </c>
      <c r="AW148" s="21">
        <f>EXP(-LN(2)/2)*AW147+(1-EXP(-LN(2)/2))/(LN(2)/2)*AQ148*AT148*VLOOKUP('Données projet'!$B$10,Paramètres!$A$1:$I$89,3,0)*0.475*44/12</f>
        <v>9.6404489409275581E-12</v>
      </c>
      <c r="AX148" s="21">
        <f t="shared" si="114"/>
        <v>30.383718803055515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346.55780187946573</v>
      </c>
      <c r="BJ148" s="59">
        <f t="shared" si="146"/>
        <v>297.28652094809149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70.817577009887898</v>
      </c>
      <c r="BQ148" s="21">
        <f>EXP(-LN(2)/25)*BQ147+(1-EXP(-LN(2)/25))/(LN(2)/25)*Calculateur!BL148*Calculateur!BN148*VLOOKUP('Données projet'!$B$11,Paramètres!$A$1:$I$89,3,0)*0.475*44/12</f>
        <v>15.689782648006085</v>
      </c>
      <c r="BR148" s="21">
        <f>EXP(-LN(2)/2)*BR147+(1-EXP(-LN(2)/2))/(LN(2)/2)*BL148*BO148*VLOOKUP('Données projet'!$B$11,Paramètres!$A$1:$I$89,3,0)*0.475*44/12</f>
        <v>9.2195359173991992E-6</v>
      </c>
      <c r="BS148" s="22">
        <f t="shared" si="117"/>
        <v>86.507368877429897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5.6843418860808015E-13</v>
      </c>
      <c r="BZ148" s="13">
        <f>BY148*VLOOKUP('Données projet'!$B$12,Paramètres!$A$1:$I$89,3,0)*VLOOKUP('Données projet'!$B$12,Paramètres!$A$1:$I$89,5,0)</f>
        <v>3.177547114319168E-13</v>
      </c>
      <c r="CA148" s="13">
        <f t="shared" si="147"/>
        <v>4.1725404435445377E-12</v>
      </c>
      <c r="CB148" s="20">
        <f t="shared" si="118"/>
        <v>7.820597394917325E-12</v>
      </c>
      <c r="CC148" s="59">
        <f t="shared" si="119"/>
        <v>290.72422752238691</v>
      </c>
      <c r="CD148" s="59">
        <f ca="1">AVERAGE(OFFSET($CC$3,0,0,'Données projet'!$E$12+1,1))-AVERAGE(OFFSET($H$3,0,0,'Données projet'!$E$12+1,1))</f>
        <v>394.00476121021177</v>
      </c>
      <c r="CE148" s="59">
        <f t="shared" si="148"/>
        <v>363.10016759175278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52.248643538548805</v>
      </c>
      <c r="CL148" s="21">
        <f>EXP(-LN(2)/25)*CL147+(1-EXP(-LN(2)/25))/(LN(2)/25)*Calculateur!CG148*Calculateur!CI148*VLOOKUP('Données projet'!$B$12,Paramètres!$A$1:$I$89,3,0)*0.475*44/12</f>
        <v>9.5946681536753484</v>
      </c>
      <c r="CM148" s="21">
        <f>EXP(-LN(2)/2)*CM147+(1-EXP(-LN(2)/2))/(LN(2)/2)*CG148*CJ148*VLOOKUP('Données projet'!$B$12,Paramètres!$A$1:$I$89,3,0)*0.475*44/12</f>
        <v>3.8846678410272405E-10</v>
      </c>
      <c r="CN148" s="22">
        <f t="shared" si="120"/>
        <v>61.843311692612623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69.28842568792156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3">
        <f>'Scénario référence'!$B$16*5+'Scénario référence'!$B$17*0+'Scénario référence'!$B$18*5</f>
        <v>1.7999999999999998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6.5999999999999988</v>
      </c>
      <c r="H149" s="67">
        <f t="shared" si="110"/>
        <v>230.26666666666665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1203.5801531666698</v>
      </c>
      <c r="S149" s="59">
        <f ca="1">AVERAGE(OFFSET($R$3,0,0,'Données projet'!$E$9+1,1))-AVERAGE(OFFSET($H$3,0,0,'Données projet'!$E$9+1,1))</f>
        <v>652.18744712713965</v>
      </c>
      <c r="T149" s="59">
        <f t="shared" si="142"/>
        <v>288.65635870281199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290.76948967511436</v>
      </c>
      <c r="AN149" s="59">
        <f ca="1">AVERAGE(OFFSET($AM$3,0,0,'Données projet'!$E$10+1,1))-AVERAGE(OFFSET($H$3,0,0,'Données projet'!$E$10+1,1))</f>
        <v>307.94699176410495</v>
      </c>
      <c r="AO149" s="59">
        <f t="shared" si="144"/>
        <v>314.22983137038875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25.289016812061625</v>
      </c>
      <c r="AV149" s="21">
        <f>EXP(-LN(2)/25)*AV148+(1-EXP(-LN(2)/25))/(LN(2)/25)*Calculateur!AQ149*Calculateur!AS149*VLOOKUP('Données projet'!$B$10,Paramètres!$A$1:$I$89,3,0)*0.475*44/12</f>
        <v>4.4633977630556325</v>
      </c>
      <c r="AW149" s="21">
        <f>EXP(-LN(2)/2)*AW148+(1-EXP(-LN(2)/2))/(LN(2)/2)*AQ149*AT149*VLOOKUP('Données projet'!$B$10,Paramètres!$A$1:$I$89,3,0)*0.475*44/12</f>
        <v>6.8168268198125467E-12</v>
      </c>
      <c r="AX149" s="21">
        <f t="shared" si="114"/>
        <v>29.752414575124075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346.55780187946573</v>
      </c>
      <c r="BJ149" s="59">
        <f t="shared" si="146"/>
        <v>297.28652094809149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69.428887519180876</v>
      </c>
      <c r="BQ149" s="21">
        <f>EXP(-LN(2)/25)*BQ148+(1-EXP(-LN(2)/25))/(LN(2)/25)*Calculateur!BL149*Calculateur!BN149*VLOOKUP('Données projet'!$B$11,Paramètres!$A$1:$I$89,3,0)*0.475*44/12</f>
        <v>15.260744716406549</v>
      </c>
      <c r="BR149" s="21">
        <f>EXP(-LN(2)/2)*BR148+(1-EXP(-LN(2)/2))/(LN(2)/2)*BL149*BO149*VLOOKUP('Données projet'!$B$11,Paramètres!$A$1:$I$89,3,0)*0.475*44/12</f>
        <v>6.5191963665859113E-6</v>
      </c>
      <c r="BS149" s="22">
        <f t="shared" si="117"/>
        <v>84.689638754783786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5.6843418860808015E-13</v>
      </c>
      <c r="BZ149" s="13">
        <f>BY149*VLOOKUP('Données projet'!$B$12,Paramètres!$A$1:$I$89,3,0)*VLOOKUP('Données projet'!$B$12,Paramètres!$A$1:$I$89,5,0)</f>
        <v>3.177547114319168E-13</v>
      </c>
      <c r="CA149" s="13">
        <f t="shared" si="147"/>
        <v>4.1725404435445377E-12</v>
      </c>
      <c r="CB149" s="20">
        <f t="shared" si="118"/>
        <v>7.820597394917325E-12</v>
      </c>
      <c r="CC149" s="59">
        <f t="shared" si="119"/>
        <v>290.76948967512021</v>
      </c>
      <c r="CD149" s="59">
        <f ca="1">AVERAGE(OFFSET($CC$3,0,0,'Données projet'!$E$12+1,1))-AVERAGE(OFFSET($H$3,0,0,'Données projet'!$E$12+1,1))</f>
        <v>394.00476121021177</v>
      </c>
      <c r="CE149" s="59">
        <f t="shared" si="148"/>
        <v>363.10016759175278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51.224079507283669</v>
      </c>
      <c r="CL149" s="21">
        <f>EXP(-LN(2)/25)*CL148+(1-EXP(-LN(2)/25))/(LN(2)/25)*Calculateur!CG149*Calculateur!CI149*VLOOKUP('Données projet'!$B$12,Paramètres!$A$1:$I$89,3,0)*0.475*44/12</f>
        <v>9.3323014484514264</v>
      </c>
      <c r="CM149" s="21">
        <f>EXP(-LN(2)/2)*CM148+(1-EXP(-LN(2)/2))/(LN(2)/2)*CG149*CJ149*VLOOKUP('Données projet'!$B$12,Paramètres!$A$1:$I$89,3,0)*0.475*44/12</f>
        <v>2.7468749730476669E-10</v>
      </c>
      <c r="CN149" s="22">
        <f t="shared" si="120"/>
        <v>60.556380956009782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69.300769911394283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3">
        <f>'Scénario référence'!$B$16*5+'Scénario référence'!$B$17*0+'Scénario référence'!$B$18*5</f>
        <v>1.7999999999999998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6.5999999999999988</v>
      </c>
      <c r="H150" s="67">
        <f t="shared" si="110"/>
        <v>230.26666666666665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1221.2917552353993</v>
      </c>
      <c r="S150" s="59">
        <f ca="1">AVERAGE(OFFSET($R$3,0,0,'Données projet'!$E$9+1,1))-AVERAGE(OFFSET($H$3,0,0,'Données projet'!$E$9+1,1))</f>
        <v>652.18744712713965</v>
      </c>
      <c r="T150" s="59">
        <f t="shared" si="142"/>
        <v>288.65635870281199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290.81396663068875</v>
      </c>
      <c r="AN150" s="59">
        <f ca="1">AVERAGE(OFFSET($AM$3,0,0,'Données projet'!$E$10+1,1))-AVERAGE(OFFSET($H$3,0,0,'Données projet'!$E$10+1,1))</f>
        <v>307.94699176410495</v>
      </c>
      <c r="AO150" s="59">
        <f t="shared" si="144"/>
        <v>314.22983137038875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24.793114617154281</v>
      </c>
      <c r="AV150" s="21">
        <f>EXP(-LN(2)/25)*AV149+(1-EXP(-LN(2)/25))/(LN(2)/25)*Calculateur!AQ150*Calculateur!AS150*VLOOKUP('Données projet'!$B$10,Paramètres!$A$1:$I$89,3,0)*0.475*44/12</f>
        <v>4.3413459165049888</v>
      </c>
      <c r="AW150" s="21">
        <f>EXP(-LN(2)/2)*AW149+(1-EXP(-LN(2)/2))/(LN(2)/2)*AQ150*AT150*VLOOKUP('Données projet'!$B$10,Paramètres!$A$1:$I$89,3,0)*0.475*44/12</f>
        <v>4.8202244704637791E-12</v>
      </c>
      <c r="AX150" s="21">
        <f t="shared" si="114"/>
        <v>29.13446053366409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346.55780187946573</v>
      </c>
      <c r="BJ150" s="59">
        <f t="shared" si="146"/>
        <v>297.28652094809149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68.067429382369667</v>
      </c>
      <c r="BQ150" s="21">
        <f>EXP(-LN(2)/25)*BQ149+(1-EXP(-LN(2)/25))/(LN(2)/25)*Calculateur!BL150*Calculateur!BN150*VLOOKUP('Données projet'!$B$11,Paramètres!$A$1:$I$89,3,0)*0.475*44/12</f>
        <v>14.843438849608726</v>
      </c>
      <c r="BR150" s="21">
        <f>EXP(-LN(2)/2)*BR149+(1-EXP(-LN(2)/2))/(LN(2)/2)*BL150*BO150*VLOOKUP('Données projet'!$B$11,Paramètres!$A$1:$I$89,3,0)*0.475*44/12</f>
        <v>4.6097679586995996E-6</v>
      </c>
      <c r="BS150" s="22">
        <f t="shared" si="117"/>
        <v>82.910872841746354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5.6843418860808015E-13</v>
      </c>
      <c r="BZ150" s="13">
        <f>BY150*VLOOKUP('Données projet'!$B$12,Paramètres!$A$1:$I$89,3,0)*VLOOKUP('Données projet'!$B$12,Paramètres!$A$1:$I$89,5,0)</f>
        <v>3.177547114319168E-13</v>
      </c>
      <c r="CA150" s="13">
        <f t="shared" si="147"/>
        <v>4.1725404435445377E-12</v>
      </c>
      <c r="CB150" s="20">
        <f t="shared" si="118"/>
        <v>7.820597394917325E-12</v>
      </c>
      <c r="CC150" s="59">
        <f t="shared" si="119"/>
        <v>290.81396663069461</v>
      </c>
      <c r="CD150" s="59">
        <f ca="1">AVERAGE(OFFSET($CC$3,0,0,'Données projet'!$E$12+1,1))-AVERAGE(OFFSET($H$3,0,0,'Données projet'!$E$12+1,1))</f>
        <v>394.00476121021177</v>
      </c>
      <c r="CE150" s="59">
        <f t="shared" si="148"/>
        <v>363.10016759175278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50.219606551749287</v>
      </c>
      <c r="CL150" s="21">
        <f>EXP(-LN(2)/25)*CL149+(1-EXP(-LN(2)/25))/(LN(2)/25)*Calculateur!CG150*Calculateur!CI150*VLOOKUP('Données projet'!$B$12,Paramètres!$A$1:$I$89,3,0)*0.475*44/12</f>
        <v>9.0771091745791175</v>
      </c>
      <c r="CM150" s="21">
        <f>EXP(-LN(2)/2)*CM149+(1-EXP(-LN(2)/2))/(LN(2)/2)*CG150*CJ150*VLOOKUP('Données projet'!$B$12,Paramètres!$A$1:$I$89,3,0)*0.475*44/12</f>
        <v>1.9423339205136203E-10</v>
      </c>
      <c r="CN150" s="22">
        <f t="shared" si="120"/>
        <v>59.296715726522635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69.312899990187304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3">
        <f>'Scénario référence'!$B$16*5+'Scénario référence'!$B$17*0+'Scénario référence'!$B$18*5</f>
        <v>1.7999999999999998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6.5999999999999988</v>
      </c>
      <c r="H151" s="67">
        <f t="shared" si="110"/>
        <v>230.26666666666665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1238.9959160698702</v>
      </c>
      <c r="S151" s="59">
        <f ca="1">AVERAGE(OFFSET($R$3,0,0,'Données projet'!$E$9+1,1))-AVERAGE(OFFSET($H$3,0,0,'Données projet'!$E$9+1,1))</f>
        <v>652.18744712713965</v>
      </c>
      <c r="T151" s="59">
        <f t="shared" si="142"/>
        <v>288.65635870281199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290.85767201051954</v>
      </c>
      <c r="AN151" s="59">
        <f ca="1">AVERAGE(OFFSET($AM$3,0,0,'Données projet'!$E$10+1,1))-AVERAGE(OFFSET($H$3,0,0,'Données projet'!$E$10+1,1))</f>
        <v>307.94699176410495</v>
      </c>
      <c r="AO151" s="59">
        <f t="shared" si="144"/>
        <v>314.22983137038875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24.306936761818598</v>
      </c>
      <c r="AV151" s="21">
        <f>EXP(-LN(2)/25)*AV150+(1-EXP(-LN(2)/25))/(LN(2)/25)*Calculateur!AQ151*Calculateur!AS151*VLOOKUP('Données projet'!$B$10,Paramètres!$A$1:$I$89,3,0)*0.475*44/12</f>
        <v>4.2226315841167006</v>
      </c>
      <c r="AW151" s="21">
        <f>EXP(-LN(2)/2)*AW150+(1-EXP(-LN(2)/2))/(LN(2)/2)*AQ151*AT151*VLOOKUP('Données projet'!$B$10,Paramètres!$A$1:$I$89,3,0)*0.475*44/12</f>
        <v>3.4084134099062734E-12</v>
      </c>
      <c r="AX151" s="21">
        <f t="shared" si="114"/>
        <v>28.529568345938706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346.55780187946573</v>
      </c>
      <c r="BJ151" s="59">
        <f t="shared" si="146"/>
        <v>297.28652094809149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66.73266860921386</v>
      </c>
      <c r="BQ151" s="21">
        <f>EXP(-LN(2)/25)*BQ150+(1-EXP(-LN(2)/25))/(LN(2)/25)*Calculateur!BL151*Calculateur!BN151*VLOOKUP('Données projet'!$B$11,Paramètres!$A$1:$I$89,3,0)*0.475*44/12</f>
        <v>14.437544233683651</v>
      </c>
      <c r="BR151" s="21">
        <f>EXP(-LN(2)/2)*BR150+(1-EXP(-LN(2)/2))/(LN(2)/2)*BL151*BO151*VLOOKUP('Données projet'!$B$11,Paramètres!$A$1:$I$89,3,0)*0.475*44/12</f>
        <v>3.2595981832929556E-6</v>
      </c>
      <c r="BS151" s="22">
        <f t="shared" si="117"/>
        <v>81.170216102495701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5.6843418860808015E-13</v>
      </c>
      <c r="BZ151" s="13">
        <f>BY151*VLOOKUP('Données projet'!$B$12,Paramètres!$A$1:$I$89,3,0)*VLOOKUP('Données projet'!$B$12,Paramètres!$A$1:$I$89,5,0)</f>
        <v>3.177547114319168E-13</v>
      </c>
      <c r="CA151" s="13">
        <f t="shared" si="147"/>
        <v>4.1725404435445377E-12</v>
      </c>
      <c r="CB151" s="20">
        <f t="shared" si="118"/>
        <v>7.820597394917325E-12</v>
      </c>
      <c r="CC151" s="59">
        <f t="shared" si="119"/>
        <v>290.85767201052539</v>
      </c>
      <c r="CD151" s="59">
        <f ca="1">AVERAGE(OFFSET($CC$3,0,0,'Données projet'!$E$12+1,1))-AVERAGE(OFFSET($H$3,0,0,'Données projet'!$E$12+1,1))</f>
        <v>394.00476121021177</v>
      </c>
      <c r="CE151" s="59">
        <f t="shared" si="148"/>
        <v>363.10016759175278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49.234830698204924</v>
      </c>
      <c r="CL151" s="21">
        <f>EXP(-LN(2)/25)*CL150+(1-EXP(-LN(2)/25))/(LN(2)/25)*Calculateur!CG151*Calculateur!CI151*VLOOKUP('Données projet'!$B$12,Paramètres!$A$1:$I$89,3,0)*0.475*44/12</f>
        <v>8.8288951468558263</v>
      </c>
      <c r="CM151" s="21">
        <f>EXP(-LN(2)/2)*CM150+(1-EXP(-LN(2)/2))/(LN(2)/2)*CG151*CJ151*VLOOKUP('Données projet'!$B$12,Paramètres!$A$1:$I$89,3,0)*0.475*44/12</f>
        <v>1.3734374865238334E-10</v>
      </c>
      <c r="CN151" s="22">
        <f t="shared" si="120"/>
        <v>58.063725845198093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69.324819639232061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3">
        <f>'Scénario référence'!$B$16*5+'Scénario référence'!$B$17*0+'Scénario référence'!$B$18*5</f>
        <v>1.7999999999999998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6.5999999999999988</v>
      </c>
      <c r="H152" s="67">
        <f t="shared" si="110"/>
        <v>230.26666666666665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1256.6927906307826</v>
      </c>
      <c r="S152" s="59">
        <f ca="1">AVERAGE(OFFSET($R$3,0,0,'Données projet'!$E$9+1,1))-AVERAGE(OFFSET($H$3,0,0,'Données projet'!$E$9+1,1))</f>
        <v>652.18744712713965</v>
      </c>
      <c r="T152" s="59">
        <f t="shared" si="142"/>
        <v>288.65635870281199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290.90061919972084</v>
      </c>
      <c r="AN152" s="59">
        <f ca="1">AVERAGE(OFFSET($AM$3,0,0,'Données projet'!$E$10+1,1))-AVERAGE(OFFSET($H$3,0,0,'Données projet'!$E$10+1,1))</f>
        <v>307.94699176410495</v>
      </c>
      <c r="AO152" s="59">
        <f t="shared" si="144"/>
        <v>314.22983137038875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23.830292557686835</v>
      </c>
      <c r="AV152" s="21">
        <f>EXP(-LN(2)/25)*AV151+(1-EXP(-LN(2)/25))/(LN(2)/25)*Calculateur!AQ152*Calculateur!AS152*VLOOKUP('Données projet'!$B$10,Paramètres!$A$1:$I$89,3,0)*0.475*44/12</f>
        <v>4.1071635013904855</v>
      </c>
      <c r="AW152" s="21">
        <f>EXP(-LN(2)/2)*AW151+(1-EXP(-LN(2)/2))/(LN(2)/2)*AQ152*AT152*VLOOKUP('Données projet'!$B$10,Paramètres!$A$1:$I$89,3,0)*0.475*44/12</f>
        <v>2.4101122352318895E-12</v>
      </c>
      <c r="AX152" s="21">
        <f t="shared" si="114"/>
        <v>27.937456059079729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346.55780187946573</v>
      </c>
      <c r="BJ152" s="59">
        <f t="shared" si="146"/>
        <v>297.28652094809149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65.424081680695949</v>
      </c>
      <c r="BQ152" s="21">
        <f>EXP(-LN(2)/25)*BQ151+(1-EXP(-LN(2)/25))/(LN(2)/25)*Calculateur!BL152*Calculateur!BN152*VLOOKUP('Données projet'!$B$11,Paramètres!$A$1:$I$89,3,0)*0.475*44/12</f>
        <v>14.042748827376117</v>
      </c>
      <c r="BR152" s="21">
        <f>EXP(-LN(2)/2)*BR151+(1-EXP(-LN(2)/2))/(LN(2)/2)*BL152*BO152*VLOOKUP('Données projet'!$B$11,Paramètres!$A$1:$I$89,3,0)*0.475*44/12</f>
        <v>2.3048839793497998E-6</v>
      </c>
      <c r="BS152" s="22">
        <f t="shared" si="117"/>
        <v>79.466832812956042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5.6843418860808015E-13</v>
      </c>
      <c r="BZ152" s="13">
        <f>BY152*VLOOKUP('Données projet'!$B$12,Paramètres!$A$1:$I$89,3,0)*VLOOKUP('Données projet'!$B$12,Paramètres!$A$1:$I$89,5,0)</f>
        <v>3.177547114319168E-13</v>
      </c>
      <c r="CA152" s="13">
        <f t="shared" si="147"/>
        <v>4.1725404435445377E-12</v>
      </c>
      <c r="CB152" s="20">
        <f t="shared" si="118"/>
        <v>7.820597394917325E-12</v>
      </c>
      <c r="CC152" s="59">
        <f t="shared" si="119"/>
        <v>290.90061919972669</v>
      </c>
      <c r="CD152" s="59">
        <f ca="1">AVERAGE(OFFSET($CC$3,0,0,'Données projet'!$E$12+1,1))-AVERAGE(OFFSET($H$3,0,0,'Données projet'!$E$12+1,1))</f>
        <v>394.00476121021177</v>
      </c>
      <c r="CE152" s="59">
        <f t="shared" si="148"/>
        <v>363.10016759175278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48.26936569849461</v>
      </c>
      <c r="CL152" s="21">
        <f>EXP(-LN(2)/25)*CL151+(1-EXP(-LN(2)/25))/(LN(2)/25)*Calculateur!CG152*Calculateur!CI152*VLOOKUP('Données projet'!$B$12,Paramètres!$A$1:$I$89,3,0)*0.475*44/12</f>
        <v>8.5874685447736372</v>
      </c>
      <c r="CM152" s="21">
        <f>EXP(-LN(2)/2)*CM151+(1-EXP(-LN(2)/2))/(LN(2)/2)*CG152*CJ152*VLOOKUP('Données projet'!$B$12,Paramètres!$A$1:$I$89,3,0)*0.475*44/12</f>
        <v>9.7116696025681013E-11</v>
      </c>
      <c r="CN152" s="22">
        <f t="shared" si="120"/>
        <v>56.856834243365363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69.336532509014233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3">
        <f>'Scénario référence'!$B$16*5+'Scénario référence'!$B$17*0+'Scénario référence'!$B$18*5</f>
        <v>1.7999999999999998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6.5999999999999988</v>
      </c>
      <c r="H153" s="67">
        <f t="shared" si="110"/>
        <v>230.26666666666665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1274.3825280555675</v>
      </c>
      <c r="S153" s="59">
        <f ca="1">AVERAGE(OFFSET($R$3,0,0,'Données projet'!$E$9+1,1))-AVERAGE(OFFSET($H$3,0,0,'Données projet'!$E$9+1,1))</f>
        <v>652.18744712713965</v>
      </c>
      <c r="T153" s="59">
        <f t="shared" si="142"/>
        <v>288.65635870281199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290.94282135120505</v>
      </c>
      <c r="AN153" s="59">
        <f ca="1">AVERAGE(OFFSET($AM$3,0,0,'Données projet'!$E$10+1,1))-AVERAGE(OFFSET($H$3,0,0,'Données projet'!$E$10+1,1))</f>
        <v>307.94699176410495</v>
      </c>
      <c r="AO153" s="59">
        <f t="shared" si="144"/>
        <v>314.22983137038875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23.362995055673842</v>
      </c>
      <c r="AV153" s="21">
        <f>EXP(-LN(2)/25)*AV152+(1-EXP(-LN(2)/25))/(LN(2)/25)*Calculateur!AQ153*Calculateur!AS153*VLOOKUP('Données projet'!$B$10,Paramètres!$A$1:$I$89,3,0)*0.475*44/12</f>
        <v>3.9948528994586212</v>
      </c>
      <c r="AW153" s="21">
        <f>EXP(-LN(2)/2)*AW152+(1-EXP(-LN(2)/2))/(LN(2)/2)*AQ153*AT153*VLOOKUP('Données projet'!$B$10,Paramètres!$A$1:$I$89,3,0)*0.475*44/12</f>
        <v>1.7042067049531367E-12</v>
      </c>
      <c r="AX153" s="21">
        <f t="shared" si="114"/>
        <v>27.357847955134169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346.55780187946573</v>
      </c>
      <c r="BJ153" s="59">
        <f t="shared" si="146"/>
        <v>297.28652094809149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64.141155343687061</v>
      </c>
      <c r="BQ153" s="21">
        <f>EXP(-LN(2)/25)*BQ152+(1-EXP(-LN(2)/25))/(LN(2)/25)*Calculateur!BL153*Calculateur!BN153*VLOOKUP('Données projet'!$B$11,Paramètres!$A$1:$I$89,3,0)*0.475*44/12</f>
        <v>13.658749122215452</v>
      </c>
      <c r="BR153" s="21">
        <f>EXP(-LN(2)/2)*BR152+(1-EXP(-LN(2)/2))/(LN(2)/2)*BL153*BO153*VLOOKUP('Données projet'!$B$11,Paramètres!$A$1:$I$89,3,0)*0.475*44/12</f>
        <v>1.6297990916464778E-6</v>
      </c>
      <c r="BS153" s="22">
        <f t="shared" si="117"/>
        <v>77.799906095701601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5.6843418860808015E-13</v>
      </c>
      <c r="BZ153" s="13">
        <f>BY153*VLOOKUP('Données projet'!$B$12,Paramètres!$A$1:$I$89,3,0)*VLOOKUP('Données projet'!$B$12,Paramètres!$A$1:$I$89,5,0)</f>
        <v>3.177547114319168E-13</v>
      </c>
      <c r="CA153" s="13">
        <f t="shared" si="147"/>
        <v>4.1725404435445377E-12</v>
      </c>
      <c r="CB153" s="20">
        <f t="shared" si="118"/>
        <v>7.820597394917325E-12</v>
      </c>
      <c r="CC153" s="59">
        <f t="shared" si="119"/>
        <v>290.94282135121091</v>
      </c>
      <c r="CD153" s="59">
        <f ca="1">AVERAGE(OFFSET($CC$3,0,0,'Données projet'!$E$12+1,1))-AVERAGE(OFFSET($H$3,0,0,'Données projet'!$E$12+1,1))</f>
        <v>394.00476121021177</v>
      </c>
      <c r="CE153" s="59">
        <f t="shared" si="148"/>
        <v>363.10016759175278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47.322832878553108</v>
      </c>
      <c r="CL153" s="21">
        <f>EXP(-LN(2)/25)*CL152+(1-EXP(-LN(2)/25))/(LN(2)/25)*Calculateur!CG153*Calculateur!CI153*VLOOKUP('Données projet'!$B$12,Paramètres!$A$1:$I$89,3,0)*0.475*44/12</f>
        <v>8.3526437658214583</v>
      </c>
      <c r="CM153" s="21">
        <f>EXP(-LN(2)/2)*CM152+(1-EXP(-LN(2)/2))/(LN(2)/2)*CG153*CJ153*VLOOKUP('Données projet'!$B$12,Paramètres!$A$1:$I$89,3,0)*0.475*44/12</f>
        <v>6.8671874326191672E-11</v>
      </c>
      <c r="CN153" s="22">
        <f t="shared" si="120"/>
        <v>55.675476644443243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69.348042186691742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3">
        <f>'Scénario référence'!$B$16*5+'Scénario référence'!$B$17*0+'Scénario référence'!$B$18*5</f>
        <v>1.7999999999999998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6.5999999999999988</v>
      </c>
      <c r="H154" s="67">
        <f t="shared" si="110"/>
        <v>230.26666666666665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1292.0652719816032</v>
      </c>
      <c r="S154" s="59">
        <f ca="1">AVERAGE(OFFSET($R$3,0,0,'Données projet'!$E$9+1,1))-AVERAGE(OFFSET($H$3,0,0,'Données projet'!$E$9+1,1))</f>
        <v>652.18744712713965</v>
      </c>
      <c r="T154" s="59">
        <f t="shared" si="142"/>
        <v>288.65635870281199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290.98429138971085</v>
      </c>
      <c r="AN154" s="59">
        <f ca="1">AVERAGE(OFFSET($AM$3,0,0,'Données projet'!$E$10+1,1))-AVERAGE(OFFSET($H$3,0,0,'Données projet'!$E$10+1,1))</f>
        <v>307.94699176410495</v>
      </c>
      <c r="AO154" s="59">
        <f t="shared" si="144"/>
        <v>314.22983137038875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22.904860972651989</v>
      </c>
      <c r="AV154" s="21">
        <f>EXP(-LN(2)/25)*AV153+(1-EXP(-LN(2)/25))/(LN(2)/25)*Calculateur!AQ154*Calculateur!AS154*VLOOKUP('Données projet'!$B$10,Paramètres!$A$1:$I$89,3,0)*0.475*44/12</f>
        <v>3.8856134368427417</v>
      </c>
      <c r="AW154" s="21">
        <f>EXP(-LN(2)/2)*AW153+(1-EXP(-LN(2)/2))/(LN(2)/2)*AQ154*AT154*VLOOKUP('Données projet'!$B$10,Paramètres!$A$1:$I$89,3,0)*0.475*44/12</f>
        <v>1.2050561176159448E-12</v>
      </c>
      <c r="AX154" s="21">
        <f t="shared" ref="AX154:AX203" si="166">SUM(AU154:AW154)</f>
        <v>26.790474409495936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346.55780187946573</v>
      </c>
      <c r="BJ154" s="59">
        <f t="shared" si="146"/>
        <v>297.28652094809149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62.883386409639115</v>
      </c>
      <c r="BQ154" s="21">
        <f>EXP(-LN(2)/25)*BQ153+(1-EXP(-LN(2)/25))/(LN(2)/25)*Calculateur!BL154*Calculateur!BN154*VLOOKUP('Données projet'!$B$11,Paramètres!$A$1:$I$89,3,0)*0.475*44/12</f>
        <v>13.285249909186073</v>
      </c>
      <c r="BR154" s="21">
        <f>EXP(-LN(2)/2)*BR153+(1-EXP(-LN(2)/2))/(LN(2)/2)*BL154*BO154*VLOOKUP('Données projet'!$B$11,Paramètres!$A$1:$I$89,3,0)*0.475*44/12</f>
        <v>1.1524419896748999E-6</v>
      </c>
      <c r="BS154" s="22">
        <f t="shared" ref="BS154:BS203" si="169">SUM(BP154:BR154)</f>
        <v>76.168637471267189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5.6843418860808015E-13</v>
      </c>
      <c r="BZ154" s="13">
        <f>BY154*VLOOKUP('Données projet'!$B$12,Paramètres!$A$1:$I$89,3,0)*VLOOKUP('Données projet'!$B$12,Paramètres!$A$1:$I$89,5,0)</f>
        <v>3.177547114319168E-13</v>
      </c>
      <c r="CA154" s="13">
        <f t="shared" ref="CA154:CA203" si="170">EXP(-1.0587+0.8836*LN(BZ154)+0.284)</f>
        <v>4.1725404435445377E-12</v>
      </c>
      <c r="CB154" s="20">
        <f t="shared" ref="CB154:CB203" si="171">(BZ154+CA154)*0.475*44/12</f>
        <v>7.820597394917325E-12</v>
      </c>
      <c r="CC154" s="59">
        <f t="shared" si="119"/>
        <v>290.9842913897167</v>
      </c>
      <c r="CD154" s="59">
        <f ca="1">AVERAGE(OFFSET($CC$3,0,0,'Données projet'!$E$12+1,1))-AVERAGE(OFFSET($H$3,0,0,'Données projet'!$E$12+1,1))</f>
        <v>394.00476121021177</v>
      </c>
      <c r="CE154" s="59">
        <f t="shared" si="148"/>
        <v>363.10016759175278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46.394860989882645</v>
      </c>
      <c r="CL154" s="21">
        <f>EXP(-LN(2)/25)*CL153+(1-EXP(-LN(2)/25))/(LN(2)/25)*Calculateur!CG154*Calculateur!CI154*VLOOKUP('Données projet'!$B$12,Paramètres!$A$1:$I$89,3,0)*0.475*44/12</f>
        <v>8.1242402827986258</v>
      </c>
      <c r="CM154" s="21">
        <f>EXP(-LN(2)/2)*CM153+(1-EXP(-LN(2)/2))/(LN(2)/2)*CG154*CJ154*VLOOKUP('Données projet'!$B$12,Paramètres!$A$1:$I$89,3,0)*0.475*44/12</f>
        <v>4.8558348012840507E-11</v>
      </c>
      <c r="CN154" s="22">
        <f t="shared" ref="CN154:CN203" si="172">SUM(CK154:CM154)</f>
        <v>54.519101272729827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69.359352197193331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3">
        <f>'Scénario référence'!$B$16*5+'Scénario référence'!$B$17*0+'Scénario référence'!$B$18*5</f>
        <v>1.7999999999999998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6.5999999999999988</v>
      </c>
      <c r="H155" s="67">
        <f t="shared" si="110"/>
        <v>230.26666666666665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1309.7411608457298</v>
      </c>
      <c r="S155" s="59">
        <f ca="1">AVERAGE(OFFSET($R$3,0,0,'Données projet'!$E$9+1,1))-AVERAGE(OFFSET($H$3,0,0,'Données projet'!$E$9+1,1))</f>
        <v>652.18744712713965</v>
      </c>
      <c r="T155" s="59">
        <f t="shared" si="142"/>
        <v>288.65635870281199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291.02504201576176</v>
      </c>
      <c r="AN155" s="59">
        <f ca="1">AVERAGE(OFFSET($AM$3,0,0,'Données projet'!$E$10+1,1))-AVERAGE(OFFSET($H$3,0,0,'Données projet'!$E$10+1,1))</f>
        <v>307.94699176410495</v>
      </c>
      <c r="AO155" s="59">
        <f t="shared" si="144"/>
        <v>314.22983137038875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22.455710619563995</v>
      </c>
      <c r="AV155" s="21">
        <f>EXP(-LN(2)/25)*AV154+(1-EXP(-LN(2)/25))/(LN(2)/25)*Calculateur!AQ155*Calculateur!AS155*VLOOKUP('Données projet'!$B$10,Paramètres!$A$1:$I$89,3,0)*0.475*44/12</f>
        <v>3.7793611330767471</v>
      </c>
      <c r="AW155" s="21">
        <f>EXP(-LN(2)/2)*AW154+(1-EXP(-LN(2)/2))/(LN(2)/2)*AQ155*AT155*VLOOKUP('Données projet'!$B$10,Paramètres!$A$1:$I$89,3,0)*0.475*44/12</f>
        <v>8.5210335247656834E-13</v>
      </c>
      <c r="AX155" s="21">
        <f t="shared" si="166"/>
        <v>26.235071752641595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346.55780187946573</v>
      </c>
      <c r="BJ155" s="59">
        <f t="shared" si="146"/>
        <v>297.28652094809149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61.650281557224552</v>
      </c>
      <c r="BQ155" s="21">
        <f>EXP(-LN(2)/25)*BQ154+(1-EXP(-LN(2)/25))/(LN(2)/25)*Calculateur!BL155*Calculateur!BN155*VLOOKUP('Données projet'!$B$11,Paramètres!$A$1:$I$89,3,0)*0.475*44/12</f>
        <v>12.921964051778451</v>
      </c>
      <c r="BR155" s="21">
        <f>EXP(-LN(2)/2)*BR154+(1-EXP(-LN(2)/2))/(LN(2)/2)*BL155*BO155*VLOOKUP('Données projet'!$B$11,Paramètres!$A$1:$I$89,3,0)*0.475*44/12</f>
        <v>8.1489954582323891E-7</v>
      </c>
      <c r="BS155" s="22">
        <f t="shared" si="169"/>
        <v>74.572246423902556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5.6843418860808015E-13</v>
      </c>
      <c r="BZ155" s="13">
        <f>BY155*VLOOKUP('Données projet'!$B$12,Paramètres!$A$1:$I$89,3,0)*VLOOKUP('Données projet'!$B$12,Paramètres!$A$1:$I$89,5,0)</f>
        <v>3.177547114319168E-13</v>
      </c>
      <c r="CA155" s="13">
        <f t="shared" si="170"/>
        <v>4.1725404435445377E-12</v>
      </c>
      <c r="CB155" s="20">
        <f t="shared" si="171"/>
        <v>7.820597394917325E-12</v>
      </c>
      <c r="CC155" s="59">
        <f t="shared" si="119"/>
        <v>291.02504201576761</v>
      </c>
      <c r="CD155" s="59">
        <f ca="1">AVERAGE(OFFSET($CC$3,0,0,'Données projet'!$E$12+1,1))-AVERAGE(OFFSET($H$3,0,0,'Données projet'!$E$12+1,1))</f>
        <v>394.00476121021177</v>
      </c>
      <c r="CE155" s="59">
        <f t="shared" si="148"/>
        <v>363.10016759175278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45.485086063942049</v>
      </c>
      <c r="CL155" s="21">
        <f>EXP(-LN(2)/25)*CL154+(1-EXP(-LN(2)/25))/(LN(2)/25)*Calculateur!CG155*Calculateur!CI155*VLOOKUP('Données projet'!$B$12,Paramètres!$A$1:$I$89,3,0)*0.475*44/12</f>
        <v>7.9020825050302692</v>
      </c>
      <c r="CM155" s="21">
        <f>EXP(-LN(2)/2)*CM154+(1-EXP(-LN(2)/2))/(LN(2)/2)*CG155*CJ155*VLOOKUP('Données projet'!$B$12,Paramètres!$A$1:$I$89,3,0)*0.475*44/12</f>
        <v>3.4335937163095836E-11</v>
      </c>
      <c r="CN155" s="22">
        <f t="shared" si="172"/>
        <v>53.387168569006654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69.370466004298109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3">
        <f>'Scénario référence'!$B$16*5+'Scénario référence'!$B$17*0+'Scénario référence'!$B$18*5</f>
        <v>1.7999999999999998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6.5999999999999988</v>
      </c>
      <c r="H156" s="67">
        <f t="shared" si="110"/>
        <v>230.26666666666665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1327.4103281621876</v>
      </c>
      <c r="S156" s="59">
        <f ca="1">AVERAGE(OFFSET($R$3,0,0,'Données projet'!$E$9+1,1))-AVERAGE(OFFSET($H$3,0,0,'Données projet'!$E$9+1,1))</f>
        <v>652.18744712713965</v>
      </c>
      <c r="T156" s="59">
        <f t="shared" si="142"/>
        <v>288.65635870281199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291.06508570955538</v>
      </c>
      <c r="AN156" s="59">
        <f ca="1">AVERAGE(OFFSET($AM$3,0,0,'Données projet'!$E$10+1,1))-AVERAGE(OFFSET($H$3,0,0,'Données projet'!$E$10+1,1))</f>
        <v>307.94699176410495</v>
      </c>
      <c r="AO156" s="59">
        <f t="shared" si="144"/>
        <v>314.22983137038875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22.015367830945394</v>
      </c>
      <c r="AV156" s="21">
        <f>EXP(-LN(2)/25)*AV155+(1-EXP(-LN(2)/25))/(LN(2)/25)*Calculateur!AQ156*Calculateur!AS156*VLOOKUP('Données projet'!$B$10,Paramètres!$A$1:$I$89,3,0)*0.475*44/12</f>
        <v>3.6760143041447995</v>
      </c>
      <c r="AW156" s="21">
        <f>EXP(-LN(2)/2)*AW155+(1-EXP(-LN(2)/2))/(LN(2)/2)*AQ156*AT156*VLOOKUP('Données projet'!$B$10,Paramètres!$A$1:$I$89,3,0)*0.475*44/12</f>
        <v>6.0252805880797238E-13</v>
      </c>
      <c r="AX156" s="21">
        <f t="shared" si="166"/>
        <v>25.691382135090798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346.55780187946573</v>
      </c>
      <c r="BJ156" s="59">
        <f t="shared" si="146"/>
        <v>297.28652094809149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60.441357138846143</v>
      </c>
      <c r="BQ156" s="21">
        <f>EXP(-LN(2)/25)*BQ155+(1-EXP(-LN(2)/25))/(LN(2)/25)*Calculateur!BL156*Calculateur!BN156*VLOOKUP('Données projet'!$B$11,Paramètres!$A$1:$I$89,3,0)*0.475*44/12</f>
        <v>12.568612265246013</v>
      </c>
      <c r="BR156" s="21">
        <f>EXP(-LN(2)/2)*BR155+(1-EXP(-LN(2)/2))/(LN(2)/2)*BL156*BO156*VLOOKUP('Données projet'!$B$11,Paramètres!$A$1:$I$89,3,0)*0.475*44/12</f>
        <v>5.7622099483744995E-7</v>
      </c>
      <c r="BS156" s="22">
        <f t="shared" si="169"/>
        <v>73.009969980313159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5.6843418860808015E-13</v>
      </c>
      <c r="BZ156" s="13">
        <f>BY156*VLOOKUP('Données projet'!$B$12,Paramètres!$A$1:$I$89,3,0)*VLOOKUP('Données projet'!$B$12,Paramètres!$A$1:$I$89,5,0)</f>
        <v>3.177547114319168E-13</v>
      </c>
      <c r="CA156" s="13">
        <f t="shared" si="170"/>
        <v>4.1725404435445377E-12</v>
      </c>
      <c r="CB156" s="20">
        <f t="shared" si="171"/>
        <v>7.820597394917325E-12</v>
      </c>
      <c r="CC156" s="59">
        <f t="shared" si="119"/>
        <v>291.06508570956123</v>
      </c>
      <c r="CD156" s="59">
        <f ca="1">AVERAGE(OFFSET($CC$3,0,0,'Données projet'!$E$12+1,1))-AVERAGE(OFFSET($H$3,0,0,'Données projet'!$E$12+1,1))</f>
        <v>394.00476121021177</v>
      </c>
      <c r="CE156" s="59">
        <f t="shared" si="148"/>
        <v>363.10016759175278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44.593151269391235</v>
      </c>
      <c r="CL156" s="21">
        <f>EXP(-LN(2)/25)*CL155+(1-EXP(-LN(2)/25))/(LN(2)/25)*Calculateur!CG156*Calculateur!CI156*VLOOKUP('Données projet'!$B$12,Paramètres!$A$1:$I$89,3,0)*0.475*44/12</f>
        <v>7.685999643377758</v>
      </c>
      <c r="CM156" s="21">
        <f>EXP(-LN(2)/2)*CM155+(1-EXP(-LN(2)/2))/(LN(2)/2)*CG156*CJ156*VLOOKUP('Données projet'!$B$12,Paramètres!$A$1:$I$89,3,0)*0.475*44/12</f>
        <v>2.4279174006420253E-11</v>
      </c>
      <c r="CN156" s="22">
        <f t="shared" si="172"/>
        <v>52.27915091279327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69.381387011696376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3">
        <f>'Scénario référence'!$B$16*5+'Scénario référence'!$B$17*0+'Scénario référence'!$B$18*5</f>
        <v>1.7999999999999998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6.5999999999999988</v>
      </c>
      <c r="H157" s="67">
        <f t="shared" si="110"/>
        <v>230.26666666666665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1345.0729027809055</v>
      </c>
      <c r="S157" s="59">
        <f ca="1">AVERAGE(OFFSET($R$3,0,0,'Données projet'!$E$9+1,1))-AVERAGE(OFFSET($H$3,0,0,'Données projet'!$E$9+1,1))</f>
        <v>652.18744712713965</v>
      </c>
      <c r="T157" s="59">
        <f t="shared" si="142"/>
        <v>288.65635870281199</v>
      </c>
      <c r="U157" s="15">
        <f>IF(ISNA(VLOOKUP(A157,'Données projet'!$A$35:$I$55,3,0)),0,VLOOKUP(A157,'Données projet'!$A$35:$I$55,3,0))</f>
        <v>15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291.10443473478597</v>
      </c>
      <c r="AN157" s="59">
        <f ca="1">AVERAGE(OFFSET($AM$3,0,0,'Données projet'!$E$10+1,1))-AVERAGE(OFFSET($H$3,0,0,'Données projet'!$E$10+1,1))</f>
        <v>307.94699176410495</v>
      </c>
      <c r="AO157" s="59">
        <f t="shared" si="144"/>
        <v>314.22983137038875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21.583659895829022</v>
      </c>
      <c r="AV157" s="21">
        <f>EXP(-LN(2)/25)*AV156+(1-EXP(-LN(2)/25))/(LN(2)/25)*Calculateur!AQ157*Calculateur!AS157*VLOOKUP('Données projet'!$B$10,Paramètres!$A$1:$I$89,3,0)*0.475*44/12</f>
        <v>3.5754934996847694</v>
      </c>
      <c r="AW157" s="21">
        <f>EXP(-LN(2)/2)*AW156+(1-EXP(-LN(2)/2))/(LN(2)/2)*AQ157*AT157*VLOOKUP('Données projet'!$B$10,Paramètres!$A$1:$I$89,3,0)*0.475*44/12</f>
        <v>4.2605167623828417E-13</v>
      </c>
      <c r="AX157" s="21">
        <f t="shared" si="166"/>
        <v>25.159153395514217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346.55780187946573</v>
      </c>
      <c r="BJ157" s="59">
        <f t="shared" si="146"/>
        <v>297.28652094809149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59.256138990941054</v>
      </c>
      <c r="BQ157" s="21">
        <f>EXP(-LN(2)/25)*BQ156+(1-EXP(-LN(2)/25))/(LN(2)/25)*Calculateur!BL157*Calculateur!BN157*VLOOKUP('Données projet'!$B$11,Paramètres!$A$1:$I$89,3,0)*0.475*44/12</f>
        <v>12.224922901898267</v>
      </c>
      <c r="BR157" s="21">
        <f>EXP(-LN(2)/2)*BR156+(1-EXP(-LN(2)/2))/(LN(2)/2)*BL157*BO157*VLOOKUP('Données projet'!$B$11,Paramètres!$A$1:$I$89,3,0)*0.475*44/12</f>
        <v>4.0744977291161945E-7</v>
      </c>
      <c r="BS157" s="22">
        <f t="shared" si="169"/>
        <v>71.481062300289096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5.6843418860808015E-13</v>
      </c>
      <c r="BZ157" s="13">
        <f>BY157*VLOOKUP('Données projet'!$B$12,Paramètres!$A$1:$I$89,3,0)*VLOOKUP('Données projet'!$B$12,Paramètres!$A$1:$I$89,5,0)</f>
        <v>3.177547114319168E-13</v>
      </c>
      <c r="CA157" s="13">
        <f t="shared" si="170"/>
        <v>4.1725404435445377E-12</v>
      </c>
      <c r="CB157" s="20">
        <f t="shared" si="171"/>
        <v>7.820597394917325E-12</v>
      </c>
      <c r="CC157" s="59">
        <f t="shared" si="119"/>
        <v>291.10443473479182</v>
      </c>
      <c r="CD157" s="59">
        <f ca="1">AVERAGE(OFFSET($CC$3,0,0,'Données projet'!$E$12+1,1))-AVERAGE(OFFSET($H$3,0,0,'Données projet'!$E$12+1,1))</f>
        <v>394.00476121021177</v>
      </c>
      <c r="CE157" s="59">
        <f t="shared" si="148"/>
        <v>363.10016759175278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43.718706772135057</v>
      </c>
      <c r="CL157" s="21">
        <f>EXP(-LN(2)/25)*CL156+(1-EXP(-LN(2)/25))/(LN(2)/25)*Calculateur!CG157*Calculateur!CI157*VLOOKUP('Données projet'!$B$12,Paramètres!$A$1:$I$89,3,0)*0.475*44/12</f>
        <v>7.4758255789404382</v>
      </c>
      <c r="CM157" s="21">
        <f>EXP(-LN(2)/2)*CM156+(1-EXP(-LN(2)/2))/(LN(2)/2)*CG157*CJ157*VLOOKUP('Données projet'!$B$12,Paramètres!$A$1:$I$89,3,0)*0.475*44/12</f>
        <v>1.7167968581547918E-11</v>
      </c>
      <c r="CN157" s="22">
        <f t="shared" si="172"/>
        <v>51.194532351092661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69.392118564031989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3">
        <f>'Scénario référence'!$B$16*5+'Scénario référence'!$B$17*0+'Scénario référence'!$B$18*5</f>
        <v>1.7999999999999998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6.5999999999999988</v>
      </c>
      <c r="H158" s="67">
        <f t="shared" si="110"/>
        <v>230.26666666666665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1247.6940062036704</v>
      </c>
      <c r="S158" s="59">
        <f ca="1">AVERAGE(OFFSET($R$3,0,0,'Données projet'!$E$9+1,1))-AVERAGE(OFFSET($H$3,0,0,'Données projet'!$E$9+1,1))</f>
        <v>652.18744712713965</v>
      </c>
      <c r="T158" s="59">
        <f t="shared" si="142"/>
        <v>288.65635870281199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291.14310114239998</v>
      </c>
      <c r="AN158" s="59">
        <f ca="1">AVERAGE(OFFSET($AM$3,0,0,'Données projet'!$E$10+1,1))-AVERAGE(OFFSET($H$3,0,0,'Données projet'!$E$10+1,1))</f>
        <v>307.94699176410495</v>
      </c>
      <c r="AO158" s="59">
        <f t="shared" si="144"/>
        <v>314.22983137038875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21.160417490004441</v>
      </c>
      <c r="AV158" s="21">
        <f>EXP(-LN(2)/25)*AV157+(1-EXP(-LN(2)/25))/(LN(2)/25)*Calculateur!AQ158*Calculateur!AS158*VLOOKUP('Données projet'!$B$10,Paramètres!$A$1:$I$89,3,0)*0.475*44/12</f>
        <v>3.4777214419088582</v>
      </c>
      <c r="AW158" s="21">
        <f>EXP(-LN(2)/2)*AW157+(1-EXP(-LN(2)/2))/(LN(2)/2)*AQ158*AT158*VLOOKUP('Données projet'!$B$10,Paramètres!$A$1:$I$89,3,0)*0.475*44/12</f>
        <v>3.0126402940398619E-13</v>
      </c>
      <c r="AX158" s="21">
        <f t="shared" si="166"/>
        <v>24.638138931913602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346.55780187946573</v>
      </c>
      <c r="BJ158" s="59">
        <f t="shared" si="146"/>
        <v>297.28652094809149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58.094162248004693</v>
      </c>
      <c r="BQ158" s="21">
        <f>EXP(-LN(2)/25)*BQ157+(1-EXP(-LN(2)/25))/(LN(2)/25)*Calculateur!BL158*Calculateur!BN158*VLOOKUP('Données projet'!$B$11,Paramètres!$A$1:$I$89,3,0)*0.475*44/12</f>
        <v>11.890631742265104</v>
      </c>
      <c r="BR158" s="21">
        <f>EXP(-LN(2)/2)*BR157+(1-EXP(-LN(2)/2))/(LN(2)/2)*BL158*BO158*VLOOKUP('Données projet'!$B$11,Paramètres!$A$1:$I$89,3,0)*0.475*44/12</f>
        <v>2.8811049741872497E-7</v>
      </c>
      <c r="BS158" s="22">
        <f t="shared" si="169"/>
        <v>69.984794278380292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5.6843418860808015E-13</v>
      </c>
      <c r="BZ158" s="13">
        <f>BY158*VLOOKUP('Données projet'!$B$12,Paramètres!$A$1:$I$89,3,0)*VLOOKUP('Données projet'!$B$12,Paramètres!$A$1:$I$89,5,0)</f>
        <v>3.177547114319168E-13</v>
      </c>
      <c r="CA158" s="13">
        <f t="shared" si="170"/>
        <v>4.1725404435445377E-12</v>
      </c>
      <c r="CB158" s="20">
        <f t="shared" si="171"/>
        <v>7.820597394917325E-12</v>
      </c>
      <c r="CC158" s="59">
        <f t="shared" si="119"/>
        <v>291.14310114240584</v>
      </c>
      <c r="CD158" s="59">
        <f ca="1">AVERAGE(OFFSET($CC$3,0,0,'Données projet'!$E$12+1,1))-AVERAGE(OFFSET($H$3,0,0,'Données projet'!$E$12+1,1))</f>
        <v>394.00476121021177</v>
      </c>
      <c r="CE158" s="59">
        <f t="shared" si="148"/>
        <v>363.10016759175278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42.861409598111592</v>
      </c>
      <c r="CL158" s="21">
        <f>EXP(-LN(2)/25)*CL157+(1-EXP(-LN(2)/25))/(LN(2)/25)*Calculateur!CG158*Calculateur!CI158*VLOOKUP('Données projet'!$B$12,Paramètres!$A$1:$I$89,3,0)*0.475*44/12</f>
        <v>7.2713987353477307</v>
      </c>
      <c r="CM158" s="21">
        <f>EXP(-LN(2)/2)*CM157+(1-EXP(-LN(2)/2))/(LN(2)/2)*CG158*CJ158*VLOOKUP('Données projet'!$B$12,Paramètres!$A$1:$I$89,3,0)*0.475*44/12</f>
        <v>1.2139587003210127E-11</v>
      </c>
      <c r="CN158" s="22">
        <f t="shared" si="172"/>
        <v>50.132808333471459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69.402663947926726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3">
        <f>'Scénario référence'!$B$16*5+'Scénario référence'!$B$17*0+'Scénario référence'!$B$18*5</f>
        <v>1.7999999999999998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6.5999999999999988</v>
      </c>
      <c r="H159" s="67">
        <f t="shared" si="110"/>
        <v>230.26666666666665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1265.6721102035553</v>
      </c>
      <c r="S159" s="59">
        <f ca="1">AVERAGE(OFFSET($R$3,0,0,'Données projet'!$E$9+1,1))-AVERAGE(OFFSET($H$3,0,0,'Données projet'!$E$9+1,1))</f>
        <v>652.18744712713965</v>
      </c>
      <c r="T159" s="59">
        <f t="shared" si="142"/>
        <v>288.65635870281199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291.18109677428708</v>
      </c>
      <c r="AN159" s="59">
        <f ca="1">AVERAGE(OFFSET($AM$3,0,0,'Données projet'!$E$10+1,1))-AVERAGE(OFFSET($H$3,0,0,'Données projet'!$E$10+1,1))</f>
        <v>307.94699176410495</v>
      </c>
      <c r="AO159" s="59">
        <f t="shared" si="144"/>
        <v>314.22983137038875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20.745474609605704</v>
      </c>
      <c r="AV159" s="21">
        <f>EXP(-LN(2)/25)*AV158+(1-EXP(-LN(2)/25))/(LN(2)/25)*Calculateur!AQ159*Calculateur!AS159*VLOOKUP('Données projet'!$B$10,Paramètres!$A$1:$I$89,3,0)*0.475*44/12</f>
        <v>3.3826229661944383</v>
      </c>
      <c r="AW159" s="21">
        <f>EXP(-LN(2)/2)*AW158+(1-EXP(-LN(2)/2))/(LN(2)/2)*AQ159*AT159*VLOOKUP('Données projet'!$B$10,Paramètres!$A$1:$I$89,3,0)*0.475*44/12</f>
        <v>2.1302583811914209E-13</v>
      </c>
      <c r="AX159" s="21">
        <f t="shared" si="166"/>
        <v>24.128097575800357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346.55780187946573</v>
      </c>
      <c r="BJ159" s="59">
        <f t="shared" si="146"/>
        <v>297.28652094809149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56.954971160261479</v>
      </c>
      <c r="BQ159" s="21">
        <f>EXP(-LN(2)/25)*BQ158+(1-EXP(-LN(2)/25))/(LN(2)/25)*Calculateur!BL159*Calculateur!BN159*VLOOKUP('Données projet'!$B$11,Paramètres!$A$1:$I$89,3,0)*0.475*44/12</f>
        <v>11.565481791971717</v>
      </c>
      <c r="BR159" s="21">
        <f>EXP(-LN(2)/2)*BR158+(1-EXP(-LN(2)/2))/(LN(2)/2)*BL159*BO159*VLOOKUP('Données projet'!$B$11,Paramètres!$A$1:$I$89,3,0)*0.475*44/12</f>
        <v>2.0372488645580973E-7</v>
      </c>
      <c r="BS159" s="22">
        <f t="shared" si="169"/>
        <v>68.52045315595808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5.6843418860808015E-13</v>
      </c>
      <c r="BZ159" s="13">
        <f>BY159*VLOOKUP('Données projet'!$B$12,Paramètres!$A$1:$I$89,3,0)*VLOOKUP('Données projet'!$B$12,Paramètres!$A$1:$I$89,5,0)</f>
        <v>3.177547114319168E-13</v>
      </c>
      <c r="CA159" s="13">
        <f t="shared" si="170"/>
        <v>4.1725404435445377E-12</v>
      </c>
      <c r="CB159" s="20">
        <f t="shared" si="171"/>
        <v>7.820597394917325E-12</v>
      </c>
      <c r="CC159" s="59">
        <f t="shared" si="119"/>
        <v>291.18109677429294</v>
      </c>
      <c r="CD159" s="59">
        <f ca="1">AVERAGE(OFFSET($CC$3,0,0,'Données projet'!$E$12+1,1))-AVERAGE(OFFSET($H$3,0,0,'Données projet'!$E$12+1,1))</f>
        <v>394.00476121021177</v>
      </c>
      <c r="CE159" s="59">
        <f t="shared" si="148"/>
        <v>363.10016759175278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42.020923498771083</v>
      </c>
      <c r="CL159" s="21">
        <f>EXP(-LN(2)/25)*CL158+(1-EXP(-LN(2)/25))/(LN(2)/25)*Calculateur!CG159*Calculateur!CI159*VLOOKUP('Données projet'!$B$12,Paramètres!$A$1:$I$89,3,0)*0.475*44/12</f>
        <v>7.0725619545434064</v>
      </c>
      <c r="CM159" s="21">
        <f>EXP(-LN(2)/2)*CM158+(1-EXP(-LN(2)/2))/(LN(2)/2)*CG159*CJ159*VLOOKUP('Données projet'!$B$12,Paramètres!$A$1:$I$89,3,0)*0.475*44/12</f>
        <v>8.583984290773959E-12</v>
      </c>
      <c r="CN159" s="22">
        <f t="shared" si="172"/>
        <v>49.093485453323069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69.413026392986851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3">
        <f>'Scénario référence'!$B$16*5+'Scénario référence'!$B$17*0+'Scénario référence'!$B$18*5</f>
        <v>1.7999999999999998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6.5999999999999988</v>
      </c>
      <c r="H160" s="67">
        <f t="shared" si="110"/>
        <v>230.26666666666665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1283.6430189173925</v>
      </c>
      <c r="S160" s="59">
        <f ca="1">AVERAGE(OFFSET($R$3,0,0,'Données projet'!$E$9+1,1))-AVERAGE(OFFSET($H$3,0,0,'Données projet'!$E$9+1,1))</f>
        <v>652.18744712713965</v>
      </c>
      <c r="T160" s="59">
        <f t="shared" si="142"/>
        <v>288.65635870281199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291.21843326690652</v>
      </c>
      <c r="AN160" s="59">
        <f ca="1">AVERAGE(OFFSET($AM$3,0,0,'Données projet'!$E$10+1,1))-AVERAGE(OFFSET($H$3,0,0,'Données projet'!$E$10+1,1))</f>
        <v>307.94699176410495</v>
      </c>
      <c r="AO160" s="59">
        <f t="shared" si="144"/>
        <v>314.22983137038875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20.338668506001419</v>
      </c>
      <c r="AV160" s="21">
        <f>EXP(-LN(2)/25)*AV159+(1-EXP(-LN(2)/25))/(LN(2)/25)*Calculateur!AQ160*Calculateur!AS160*VLOOKUP('Données projet'!$B$10,Paramètres!$A$1:$I$89,3,0)*0.475*44/12</f>
        <v>3.2901249632994407</v>
      </c>
      <c r="AW160" s="21">
        <f>EXP(-LN(2)/2)*AW159+(1-EXP(-LN(2)/2))/(LN(2)/2)*AQ160*AT160*VLOOKUP('Données projet'!$B$10,Paramètres!$A$1:$I$89,3,0)*0.475*44/12</f>
        <v>1.506320147019931E-13</v>
      </c>
      <c r="AX160" s="21">
        <f t="shared" si="166"/>
        <v>23.628793469301009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346.55780187946573</v>
      </c>
      <c r="BJ160" s="59">
        <f t="shared" si="146"/>
        <v>297.28652094809149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55.838118914910957</v>
      </c>
      <c r="BQ160" s="21">
        <f>EXP(-LN(2)/25)*BQ159+(1-EXP(-LN(2)/25))/(LN(2)/25)*Calculateur!BL160*Calculateur!BN160*VLOOKUP('Données projet'!$B$11,Paramètres!$A$1:$I$89,3,0)*0.475*44/12</f>
        <v>11.249223084167996</v>
      </c>
      <c r="BR160" s="21">
        <f>EXP(-LN(2)/2)*BR159+(1-EXP(-LN(2)/2))/(LN(2)/2)*BL160*BO160*VLOOKUP('Données projet'!$B$11,Paramètres!$A$1:$I$89,3,0)*0.475*44/12</f>
        <v>1.4405524870936249E-7</v>
      </c>
      <c r="BS160" s="22">
        <f t="shared" si="169"/>
        <v>67.087342143134208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5.6843418860808015E-13</v>
      </c>
      <c r="BZ160" s="13">
        <f>BY160*VLOOKUP('Données projet'!$B$12,Paramètres!$A$1:$I$89,3,0)*VLOOKUP('Données projet'!$B$12,Paramètres!$A$1:$I$89,5,0)</f>
        <v>3.177547114319168E-13</v>
      </c>
      <c r="CA160" s="13">
        <f t="shared" si="170"/>
        <v>4.1725404435445377E-12</v>
      </c>
      <c r="CB160" s="20">
        <f t="shared" si="171"/>
        <v>7.820597394917325E-12</v>
      </c>
      <c r="CC160" s="59">
        <f t="shared" si="119"/>
        <v>291.21843326691237</v>
      </c>
      <c r="CD160" s="59">
        <f ca="1">AVERAGE(OFFSET($CC$3,0,0,'Données projet'!$E$12+1,1))-AVERAGE(OFFSET($H$3,0,0,'Données projet'!$E$12+1,1))</f>
        <v>394.00476121021177</v>
      </c>
      <c r="CE160" s="59">
        <f t="shared" si="148"/>
        <v>363.10016759175278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41.196918819192739</v>
      </c>
      <c r="CL160" s="21">
        <f>EXP(-LN(2)/25)*CL159+(1-EXP(-LN(2)/25))/(LN(2)/25)*Calculateur!CG160*Calculateur!CI160*VLOOKUP('Données projet'!$B$12,Paramètres!$A$1:$I$89,3,0)*0.475*44/12</f>
        <v>6.8791623759665486</v>
      </c>
      <c r="CM160" s="21">
        <f>EXP(-LN(2)/2)*CM159+(1-EXP(-LN(2)/2))/(LN(2)/2)*CG160*CJ160*VLOOKUP('Données projet'!$B$12,Paramètres!$A$1:$I$89,3,0)*0.475*44/12</f>
        <v>6.0697935016050633E-12</v>
      </c>
      <c r="CN160" s="22">
        <f t="shared" si="172"/>
        <v>48.076081195165358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69.423209072792147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3">
        <f>'Scénario référence'!$B$16*5+'Scénario référence'!$B$17*0+'Scénario référence'!$B$18*5</f>
        <v>1.7999999999999998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6.5999999999999988</v>
      </c>
      <c r="H161" s="67">
        <f t="shared" si="110"/>
        <v>230.26666666666665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1301.6068783712306</v>
      </c>
      <c r="S161" s="59">
        <f ca="1">AVERAGE(OFFSET($R$3,0,0,'Données projet'!$E$9+1,1))-AVERAGE(OFFSET($H$3,0,0,'Données projet'!$E$9+1,1))</f>
        <v>652.18744712713965</v>
      </c>
      <c r="T161" s="59">
        <f t="shared" si="142"/>
        <v>288.65635870281199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291.25512205485086</v>
      </c>
      <c r="AN161" s="59">
        <f ca="1">AVERAGE(OFFSET($AM$3,0,0,'Données projet'!$E$10+1,1))-AVERAGE(OFFSET($H$3,0,0,'Données projet'!$E$10+1,1))</f>
        <v>307.94699176410495</v>
      </c>
      <c r="AO161" s="59">
        <f t="shared" si="144"/>
        <v>314.22983137038875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19.939839621961593</v>
      </c>
      <c r="AV161" s="21">
        <f>EXP(-LN(2)/25)*AV160+(1-EXP(-LN(2)/25))/(LN(2)/25)*Calculateur!AQ161*Calculateur!AS161*VLOOKUP('Données projet'!$B$10,Paramètres!$A$1:$I$89,3,0)*0.475*44/12</f>
        <v>3.2001563231578656</v>
      </c>
      <c r="AW161" s="21">
        <f>EXP(-LN(2)/2)*AW160+(1-EXP(-LN(2)/2))/(LN(2)/2)*AQ161*AT161*VLOOKUP('Données projet'!$B$10,Paramètres!$A$1:$I$89,3,0)*0.475*44/12</f>
        <v>1.0651291905957104E-13</v>
      </c>
      <c r="AX161" s="21">
        <f t="shared" si="166"/>
        <v>23.139995945119566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346.55780187946573</v>
      </c>
      <c r="BJ161" s="59">
        <f t="shared" si="146"/>
        <v>297.28652094809149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54.743167460879157</v>
      </c>
      <c r="BQ161" s="21">
        <f>EXP(-LN(2)/25)*BQ160+(1-EXP(-LN(2)/25))/(LN(2)/25)*Calculateur!BL161*Calculateur!BN161*VLOOKUP('Données projet'!$B$11,Paramètres!$A$1:$I$89,3,0)*0.475*44/12</f>
        <v>10.941612487360491</v>
      </c>
      <c r="BR161" s="21">
        <f>EXP(-LN(2)/2)*BR160+(1-EXP(-LN(2)/2))/(LN(2)/2)*BL161*BO161*VLOOKUP('Données projet'!$B$11,Paramètres!$A$1:$I$89,3,0)*0.475*44/12</f>
        <v>1.0186244322790486E-7</v>
      </c>
      <c r="BS161" s="22">
        <f t="shared" si="169"/>
        <v>65.684780050102091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5.6843418860808015E-13</v>
      </c>
      <c r="BZ161" s="13">
        <f>BY161*VLOOKUP('Données projet'!$B$12,Paramètres!$A$1:$I$89,3,0)*VLOOKUP('Données projet'!$B$12,Paramètres!$A$1:$I$89,5,0)</f>
        <v>3.177547114319168E-13</v>
      </c>
      <c r="CA161" s="13">
        <f t="shared" si="170"/>
        <v>4.1725404435445377E-12</v>
      </c>
      <c r="CB161" s="20">
        <f t="shared" si="171"/>
        <v>7.820597394917325E-12</v>
      </c>
      <c r="CC161" s="59">
        <f t="shared" si="119"/>
        <v>291.25512205485671</v>
      </c>
      <c r="CD161" s="59">
        <f ca="1">AVERAGE(OFFSET($CC$3,0,0,'Données projet'!$E$12+1,1))-AVERAGE(OFFSET($H$3,0,0,'Données projet'!$E$12+1,1))</f>
        <v>394.00476121021177</v>
      </c>
      <c r="CE161" s="59">
        <f t="shared" si="148"/>
        <v>363.10016759175278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40.389072368787701</v>
      </c>
      <c r="CL161" s="21">
        <f>EXP(-LN(2)/25)*CL160+(1-EXP(-LN(2)/25))/(LN(2)/25)*Calculateur!CG161*Calculateur!CI161*VLOOKUP('Données projet'!$B$12,Paramètres!$A$1:$I$89,3,0)*0.475*44/12</f>
        <v>6.6910513190363163</v>
      </c>
      <c r="CM161" s="21">
        <f>EXP(-LN(2)/2)*CM160+(1-EXP(-LN(2)/2))/(LN(2)/2)*CG161*CJ161*VLOOKUP('Données projet'!$B$12,Paramètres!$A$1:$I$89,3,0)*0.475*44/12</f>
        <v>4.2919921453869795E-12</v>
      </c>
      <c r="CN161" s="22">
        <f t="shared" si="172"/>
        <v>47.080123687828312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69.433215105867873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3">
        <f>'Scénario référence'!$B$16*5+'Scénario référence'!$B$17*0+'Scénario référence'!$B$18*5</f>
        <v>1.7999999999999998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6.5999999999999988</v>
      </c>
      <c r="H162" s="67">
        <f t="shared" si="110"/>
        <v>230.26666666666665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1319.5638292336291</v>
      </c>
      <c r="S162" s="59">
        <f ca="1">AVERAGE(OFFSET($R$3,0,0,'Données projet'!$E$9+1,1))-AVERAGE(OFFSET($H$3,0,0,'Données projet'!$E$9+1,1))</f>
        <v>652.18744712713965</v>
      </c>
      <c r="T162" s="59">
        <f t="shared" si="142"/>
        <v>288.65635870281199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291.2911743743482</v>
      </c>
      <c r="AN162" s="59">
        <f ca="1">AVERAGE(OFFSET($AM$3,0,0,'Données projet'!$E$10+1,1))-AVERAGE(OFFSET($H$3,0,0,'Données projet'!$E$10+1,1))</f>
        <v>307.94699176410495</v>
      </c>
      <c r="AO162" s="59">
        <f t="shared" si="144"/>
        <v>314.22983137038875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19.548831529076189</v>
      </c>
      <c r="AV162" s="21">
        <f>EXP(-LN(2)/25)*AV161+(1-EXP(-LN(2)/25))/(LN(2)/25)*Calculateur!AQ162*Calculateur!AS162*VLOOKUP('Données projet'!$B$10,Paramètres!$A$1:$I$89,3,0)*0.475*44/12</f>
        <v>3.1126478802122066</v>
      </c>
      <c r="AW162" s="21">
        <f>EXP(-LN(2)/2)*AW161+(1-EXP(-LN(2)/2))/(LN(2)/2)*AQ162*AT162*VLOOKUP('Données projet'!$B$10,Paramètres!$A$1:$I$89,3,0)*0.475*44/12</f>
        <v>7.5316007350996548E-14</v>
      </c>
      <c r="AX162" s="21">
        <f t="shared" si="166"/>
        <v>22.661479409288471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346.55780187946573</v>
      </c>
      <c r="BJ162" s="59">
        <f t="shared" si="146"/>
        <v>297.28652094809149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53.669687337006472</v>
      </c>
      <c r="BQ162" s="21">
        <f>EXP(-LN(2)/25)*BQ161+(1-EXP(-LN(2)/25))/(LN(2)/25)*Calculateur!BL162*Calculateur!BN162*VLOOKUP('Données projet'!$B$11,Paramètres!$A$1:$I$89,3,0)*0.475*44/12</f>
        <v>10.642413518499225</v>
      </c>
      <c r="BR162" s="21">
        <f>EXP(-LN(2)/2)*BR161+(1-EXP(-LN(2)/2))/(LN(2)/2)*BL162*BO162*VLOOKUP('Données projet'!$B$11,Paramètres!$A$1:$I$89,3,0)*0.475*44/12</f>
        <v>7.2027624354681243E-8</v>
      </c>
      <c r="BS162" s="22">
        <f t="shared" si="169"/>
        <v>64.312100927533308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5.6843418860808015E-13</v>
      </c>
      <c r="BZ162" s="13">
        <f>BY162*VLOOKUP('Données projet'!$B$12,Paramètres!$A$1:$I$89,3,0)*VLOOKUP('Données projet'!$B$12,Paramètres!$A$1:$I$89,5,0)</f>
        <v>3.177547114319168E-13</v>
      </c>
      <c r="CA162" s="13">
        <f t="shared" si="170"/>
        <v>4.1725404435445377E-12</v>
      </c>
      <c r="CB162" s="20">
        <f t="shared" si="171"/>
        <v>7.820597394917325E-12</v>
      </c>
      <c r="CC162" s="59">
        <f t="shared" si="119"/>
        <v>291.29117437435406</v>
      </c>
      <c r="CD162" s="59">
        <f ca="1">AVERAGE(OFFSET($CC$3,0,0,'Données projet'!$E$12+1,1))-AVERAGE(OFFSET($H$3,0,0,'Données projet'!$E$12+1,1))</f>
        <v>394.00476121021177</v>
      </c>
      <c r="CE162" s="59">
        <f t="shared" si="148"/>
        <v>363.10016759175278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39.597067294537425</v>
      </c>
      <c r="CL162" s="21">
        <f>EXP(-LN(2)/25)*CL161+(1-EXP(-LN(2)/25))/(LN(2)/25)*Calculateur!CG162*Calculateur!CI162*VLOOKUP('Données projet'!$B$12,Paramètres!$A$1:$I$89,3,0)*0.475*44/12</f>
        <v>6.5080841688501723</v>
      </c>
      <c r="CM162" s="21">
        <f>EXP(-LN(2)/2)*CM161+(1-EXP(-LN(2)/2))/(LN(2)/2)*CG162*CJ162*VLOOKUP('Données projet'!$B$12,Paramètres!$A$1:$I$89,3,0)*0.475*44/12</f>
        <v>3.0348967508025317E-12</v>
      </c>
      <c r="CN162" s="22">
        <f t="shared" si="172"/>
        <v>46.105151463390634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69.443047556639868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3">
        <f>'Scénario référence'!$B$16*5+'Scénario référence'!$B$17*0+'Scénario référence'!$B$18*5</f>
        <v>1.7999999999999998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6.5999999999999988</v>
      </c>
      <c r="H163" s="67">
        <f t="shared" si="110"/>
        <v>230.26666666666665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1337.5140071051333</v>
      </c>
      <c r="S163" s="59">
        <f ca="1">AVERAGE(OFFSET($R$3,0,0,'Données projet'!$E$9+1,1))-AVERAGE(OFFSET($H$3,0,0,'Données projet'!$E$9+1,1))</f>
        <v>652.18744712713965</v>
      </c>
      <c r="T163" s="59">
        <f t="shared" si="142"/>
        <v>288.65635870281199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291.32660126670316</v>
      </c>
      <c r="AN163" s="59">
        <f ca="1">AVERAGE(OFFSET($AM$3,0,0,'Données projet'!$E$10+1,1))-AVERAGE(OFFSET($H$3,0,0,'Données projet'!$E$10+1,1))</f>
        <v>307.94699176410495</v>
      </c>
      <c r="AO163" s="59">
        <f t="shared" si="144"/>
        <v>314.22983137038875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19.16549086640088</v>
      </c>
      <c r="AV163" s="21">
        <f>EXP(-LN(2)/25)*AV162+(1-EXP(-LN(2)/25))/(LN(2)/25)*Calculateur!AQ163*Calculateur!AS163*VLOOKUP('Données projet'!$B$10,Paramètres!$A$1:$I$89,3,0)*0.475*44/12</f>
        <v>3.027532360240766</v>
      </c>
      <c r="AW163" s="21">
        <f>EXP(-LN(2)/2)*AW162+(1-EXP(-LN(2)/2))/(LN(2)/2)*AQ163*AT163*VLOOKUP('Données projet'!$B$10,Paramètres!$A$1:$I$89,3,0)*0.475*44/12</f>
        <v>5.3256459529785521E-14</v>
      </c>
      <c r="AX163" s="21">
        <f t="shared" si="166"/>
        <v>22.193023226641699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346.55780187946573</v>
      </c>
      <c r="BJ163" s="59">
        <f t="shared" si="146"/>
        <v>297.28652094809149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52.617257503604712</v>
      </c>
      <c r="BQ163" s="21">
        <f>EXP(-LN(2)/25)*BQ162+(1-EXP(-LN(2)/25))/(LN(2)/25)*Calculateur!BL163*Calculateur!BN163*VLOOKUP('Données projet'!$B$11,Paramètres!$A$1:$I$89,3,0)*0.475*44/12</f>
        <v>10.351396161175661</v>
      </c>
      <c r="BR163" s="21">
        <f>EXP(-LN(2)/2)*BR162+(1-EXP(-LN(2)/2))/(LN(2)/2)*BL163*BO163*VLOOKUP('Données projet'!$B$11,Paramètres!$A$1:$I$89,3,0)*0.475*44/12</f>
        <v>5.0931221613952432E-8</v>
      </c>
      <c r="BS163" s="22">
        <f t="shared" si="169"/>
        <v>62.968653715711596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5.6843418860808015E-13</v>
      </c>
      <c r="BZ163" s="13">
        <f>BY163*VLOOKUP('Données projet'!$B$12,Paramètres!$A$1:$I$89,3,0)*VLOOKUP('Données projet'!$B$12,Paramètres!$A$1:$I$89,5,0)</f>
        <v>3.177547114319168E-13</v>
      </c>
      <c r="CA163" s="13">
        <f t="shared" si="170"/>
        <v>4.1725404435445377E-12</v>
      </c>
      <c r="CB163" s="20">
        <f t="shared" si="171"/>
        <v>7.820597394917325E-12</v>
      </c>
      <c r="CC163" s="59">
        <f t="shared" si="119"/>
        <v>291.32660126670902</v>
      </c>
      <c r="CD163" s="59">
        <f ca="1">AVERAGE(OFFSET($CC$3,0,0,'Données projet'!$E$12+1,1))-AVERAGE(OFFSET($H$3,0,0,'Données projet'!$E$12+1,1))</f>
        <v>394.00476121021177</v>
      </c>
      <c r="CE163" s="59">
        <f t="shared" si="148"/>
        <v>363.10016759175278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38.820592956717803</v>
      </c>
      <c r="CL163" s="21">
        <f>EXP(-LN(2)/25)*CL162+(1-EXP(-LN(2)/25))/(LN(2)/25)*Calculateur!CG163*Calculateur!CI163*VLOOKUP('Données projet'!$B$12,Paramètres!$A$1:$I$89,3,0)*0.475*44/12</f>
        <v>6.3301202650076922</v>
      </c>
      <c r="CM163" s="21">
        <f>EXP(-LN(2)/2)*CM162+(1-EXP(-LN(2)/2))/(LN(2)/2)*CG163*CJ163*VLOOKUP('Données projet'!$B$12,Paramètres!$A$1:$I$89,3,0)*0.475*44/12</f>
        <v>2.1459960726934898E-12</v>
      </c>
      <c r="CN163" s="22">
        <f t="shared" si="172"/>
        <v>45.150713221727642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69.452709436373041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3">
        <f>'Scénario référence'!$B$16*5+'Scénario référence'!$B$17*0+'Scénario référence'!$B$18*5</f>
        <v>1.7999999999999998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6.5999999999999988</v>
      </c>
      <c r="H164" s="67">
        <f t="shared" si="110"/>
        <v>230.26666666666665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1355.4575427871068</v>
      </c>
      <c r="S164" s="59">
        <f ca="1">AVERAGE(OFFSET($R$3,0,0,'Données projet'!$E$9+1,1))-AVERAGE(OFFSET($H$3,0,0,'Données projet'!$E$9+1,1))</f>
        <v>652.18744712713965</v>
      </c>
      <c r="T164" s="59">
        <f t="shared" si="142"/>
        <v>288.65635870281199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291.36141358167839</v>
      </c>
      <c r="AN164" s="59">
        <f ca="1">AVERAGE(OFFSET($AM$3,0,0,'Données projet'!$E$10+1,1))-AVERAGE(OFFSET($H$3,0,0,'Données projet'!$E$10+1,1))</f>
        <v>307.94699176410495</v>
      </c>
      <c r="AO164" s="59">
        <f t="shared" si="144"/>
        <v>314.22983137038875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18.789667280305917</v>
      </c>
      <c r="AV164" s="21">
        <f>EXP(-LN(2)/25)*AV163+(1-EXP(-LN(2)/25))/(LN(2)/25)*Calculateur!AQ164*Calculateur!AS164*VLOOKUP('Données projet'!$B$10,Paramètres!$A$1:$I$89,3,0)*0.475*44/12</f>
        <v>2.9447443286389747</v>
      </c>
      <c r="AW164" s="21">
        <f>EXP(-LN(2)/2)*AW163+(1-EXP(-LN(2)/2))/(LN(2)/2)*AQ164*AT164*VLOOKUP('Données projet'!$B$10,Paramètres!$A$1:$I$89,3,0)*0.475*44/12</f>
        <v>3.7658003675498274E-14</v>
      </c>
      <c r="AX164" s="21">
        <f t="shared" si="166"/>
        <v>21.734411608944932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346.55780187946573</v>
      </c>
      <c r="BJ164" s="59">
        <f t="shared" si="146"/>
        <v>297.28652094809149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51.585465177317147</v>
      </c>
      <c r="BQ164" s="21">
        <f>EXP(-LN(2)/25)*BQ163+(1-EXP(-LN(2)/25))/(LN(2)/25)*Calculateur!BL164*Calculateur!BN164*VLOOKUP('Données projet'!$B$11,Paramètres!$A$1:$I$89,3,0)*0.475*44/12</f>
        <v>10.068336688792046</v>
      </c>
      <c r="BR164" s="21">
        <f>EXP(-LN(2)/2)*BR163+(1-EXP(-LN(2)/2))/(LN(2)/2)*BL164*BO164*VLOOKUP('Données projet'!$B$11,Paramètres!$A$1:$I$89,3,0)*0.475*44/12</f>
        <v>3.6013812177340622E-8</v>
      </c>
      <c r="BS164" s="22">
        <f t="shared" si="169"/>
        <v>61.653801902123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5.6843418860808015E-13</v>
      </c>
      <c r="BZ164" s="13">
        <f>BY164*VLOOKUP('Données projet'!$B$12,Paramètres!$A$1:$I$89,3,0)*VLOOKUP('Données projet'!$B$12,Paramètres!$A$1:$I$89,5,0)</f>
        <v>3.177547114319168E-13</v>
      </c>
      <c r="CA164" s="13">
        <f t="shared" si="170"/>
        <v>4.1725404435445377E-12</v>
      </c>
      <c r="CB164" s="20">
        <f t="shared" si="171"/>
        <v>7.820597394917325E-12</v>
      </c>
      <c r="CC164" s="59">
        <f t="shared" si="119"/>
        <v>291.36141358168425</v>
      </c>
      <c r="CD164" s="59">
        <f ca="1">AVERAGE(OFFSET($CC$3,0,0,'Données projet'!$E$12+1,1))-AVERAGE(OFFSET($H$3,0,0,'Données projet'!$E$12+1,1))</f>
        <v>394.00476121021177</v>
      </c>
      <c r="CE164" s="59">
        <f t="shared" si="148"/>
        <v>363.10016759175278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38.059344807060242</v>
      </c>
      <c r="CL164" s="21">
        <f>EXP(-LN(2)/25)*CL163+(1-EXP(-LN(2)/25))/(LN(2)/25)*Calculateur!CG164*Calculateur!CI164*VLOOKUP('Données projet'!$B$12,Paramètres!$A$1:$I$89,3,0)*0.475*44/12</f>
        <v>6.1570227934744999</v>
      </c>
      <c r="CM164" s="21">
        <f>EXP(-LN(2)/2)*CM163+(1-EXP(-LN(2)/2))/(LN(2)/2)*CG164*CJ164*VLOOKUP('Données projet'!$B$12,Paramètres!$A$1:$I$89,3,0)*0.475*44/12</f>
        <v>1.5174483754012658E-12</v>
      </c>
      <c r="CN164" s="22">
        <f t="shared" si="172"/>
        <v>44.216367600536259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69.462203704093568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3">
        <f>'Scénario référence'!$B$16*5+'Scénario référence'!$B$17*0+'Scénario référence'!$B$18*5</f>
        <v>1.7999999999999998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6.5999999999999988</v>
      </c>
      <c r="H165" s="67">
        <f t="shared" si="110"/>
        <v>230.26666666666665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1373.3945625317344</v>
      </c>
      <c r="S165" s="59">
        <f ca="1">AVERAGE(OFFSET($R$3,0,0,'Données projet'!$E$9+1,1))-AVERAGE(OFFSET($H$3,0,0,'Données projet'!$E$9+1,1))</f>
        <v>652.18744712713965</v>
      </c>
      <c r="T165" s="59">
        <f t="shared" si="142"/>
        <v>288.65635870281199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291.39562198081751</v>
      </c>
      <c r="AN165" s="59">
        <f ca="1">AVERAGE(OFFSET($AM$3,0,0,'Données projet'!$E$10+1,1))-AVERAGE(OFFSET($H$3,0,0,'Données projet'!$E$10+1,1))</f>
        <v>307.94699176410495</v>
      </c>
      <c r="AO165" s="59">
        <f t="shared" si="144"/>
        <v>314.22983137038875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18.421213365504521</v>
      </c>
      <c r="AV165" s="21">
        <f>EXP(-LN(2)/25)*AV164+(1-EXP(-LN(2)/25))/(LN(2)/25)*Calculateur!AQ165*Calculateur!AS165*VLOOKUP('Données projet'!$B$10,Paramètres!$A$1:$I$89,3,0)*0.475*44/12</f>
        <v>2.8642201401149681</v>
      </c>
      <c r="AW165" s="21">
        <f>EXP(-LN(2)/2)*AW164+(1-EXP(-LN(2)/2))/(LN(2)/2)*AQ165*AT165*VLOOKUP('Données projet'!$B$10,Paramètres!$A$1:$I$89,3,0)*0.475*44/12</f>
        <v>2.6628229764892761E-14</v>
      </c>
      <c r="AX165" s="21">
        <f t="shared" si="166"/>
        <v>21.285433505619512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346.55780187946573</v>
      </c>
      <c r="BJ165" s="59">
        <f t="shared" si="146"/>
        <v>297.28652094809149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50.573905669216899</v>
      </c>
      <c r="BQ165" s="21">
        <f>EXP(-LN(2)/25)*BQ164+(1-EXP(-LN(2)/25))/(LN(2)/25)*Calculateur!BL165*Calculateur!BN165*VLOOKUP('Données projet'!$B$11,Paramètres!$A$1:$I$89,3,0)*0.475*44/12</f>
        <v>9.7930174925662126</v>
      </c>
      <c r="BR165" s="21">
        <f>EXP(-LN(2)/2)*BR164+(1-EXP(-LN(2)/2))/(LN(2)/2)*BL165*BO165*VLOOKUP('Données projet'!$B$11,Paramètres!$A$1:$I$89,3,0)*0.475*44/12</f>
        <v>2.5465610806976216E-8</v>
      </c>
      <c r="BS165" s="22">
        <f t="shared" si="169"/>
        <v>60.366923187248723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5.6843418860808015E-13</v>
      </c>
      <c r="BZ165" s="13">
        <f>BY165*VLOOKUP('Données projet'!$B$12,Paramètres!$A$1:$I$89,3,0)*VLOOKUP('Données projet'!$B$12,Paramètres!$A$1:$I$89,5,0)</f>
        <v>3.177547114319168E-13</v>
      </c>
      <c r="CA165" s="13">
        <f t="shared" si="170"/>
        <v>4.1725404435445377E-12</v>
      </c>
      <c r="CB165" s="20">
        <f t="shared" si="171"/>
        <v>7.820597394917325E-12</v>
      </c>
      <c r="CC165" s="59">
        <f t="shared" si="119"/>
        <v>291.39562198082336</v>
      </c>
      <c r="CD165" s="59">
        <f ca="1">AVERAGE(OFFSET($CC$3,0,0,'Données projet'!$E$12+1,1))-AVERAGE(OFFSET($H$3,0,0,'Données projet'!$E$12+1,1))</f>
        <v>394.00476121021177</v>
      </c>
      <c r="CE165" s="59">
        <f t="shared" si="148"/>
        <v>363.10016759175278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37.313024269301941</v>
      </c>
      <c r="CL165" s="21">
        <f>EXP(-LN(2)/25)*CL164+(1-EXP(-LN(2)/25))/(LN(2)/25)*Calculateur!CG165*Calculateur!CI165*VLOOKUP('Données projet'!$B$12,Paramètres!$A$1:$I$89,3,0)*0.475*44/12</f>
        <v>5.9886586814031828</v>
      </c>
      <c r="CM165" s="21">
        <f>EXP(-LN(2)/2)*CM164+(1-EXP(-LN(2)/2))/(LN(2)/2)*CG165*CJ165*VLOOKUP('Données projet'!$B$12,Paramètres!$A$1:$I$89,3,0)*0.475*44/12</f>
        <v>1.0729980363467449E-12</v>
      </c>
      <c r="CN165" s="22">
        <f t="shared" si="172"/>
        <v>43.301682950706194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69.471533267495147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3">
        <f>'Scénario référence'!$B$16*5+'Scénario référence'!$B$17*0+'Scénario référence'!$B$18*5</f>
        <v>1.7999999999999998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6.5999999999999988</v>
      </c>
      <c r="H166" s="67">
        <f t="shared" si="110"/>
        <v>230.26666666666665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1391.3251882748116</v>
      </c>
      <c r="S166" s="59">
        <f ca="1">AVERAGE(OFFSET($R$3,0,0,'Données projet'!$E$9+1,1))-AVERAGE(OFFSET($H$3,0,0,'Données projet'!$E$9+1,1))</f>
        <v>652.18744712713965</v>
      </c>
      <c r="T166" s="59">
        <f t="shared" si="142"/>
        <v>288.65635870281199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291.4292369407101</v>
      </c>
      <c r="AN166" s="59">
        <f ca="1">AVERAGE(OFFSET($AM$3,0,0,'Données projet'!$E$10+1,1))-AVERAGE(OFFSET($H$3,0,0,'Données projet'!$E$10+1,1))</f>
        <v>307.94699176410495</v>
      </c>
      <c r="AO166" s="59">
        <f t="shared" si="144"/>
        <v>314.22983137038875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18.059984607237684</v>
      </c>
      <c r="AV166" s="21">
        <f>EXP(-LN(2)/25)*AV165+(1-EXP(-LN(2)/25))/(LN(2)/25)*Calculateur!AQ166*Calculateur!AS166*VLOOKUP('Données projet'!$B$10,Paramètres!$A$1:$I$89,3,0)*0.475*44/12</f>
        <v>2.7858978897607334</v>
      </c>
      <c r="AW166" s="21">
        <f>EXP(-LN(2)/2)*AW165+(1-EXP(-LN(2)/2))/(LN(2)/2)*AQ166*AT166*VLOOKUP('Données projet'!$B$10,Paramètres!$A$1:$I$89,3,0)*0.475*44/12</f>
        <v>1.8829001837749137E-14</v>
      </c>
      <c r="AX166" s="21">
        <f t="shared" si="166"/>
        <v>20.845882496998435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346.55780187946573</v>
      </c>
      <c r="BJ166" s="59">
        <f t="shared" si="146"/>
        <v>297.28652094809149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49.582182226080121</v>
      </c>
      <c r="BQ166" s="21">
        <f>EXP(-LN(2)/25)*BQ165+(1-EXP(-LN(2)/25))/(LN(2)/25)*Calculateur!BL166*Calculateur!BN166*VLOOKUP('Données projet'!$B$11,Paramètres!$A$1:$I$89,3,0)*0.475*44/12</f>
        <v>9.5252269142395818</v>
      </c>
      <c r="BR166" s="21">
        <f>EXP(-LN(2)/2)*BR165+(1-EXP(-LN(2)/2))/(LN(2)/2)*BL166*BO166*VLOOKUP('Données projet'!$B$11,Paramètres!$A$1:$I$89,3,0)*0.475*44/12</f>
        <v>1.8006906088670311E-8</v>
      </c>
      <c r="BS166" s="22">
        <f t="shared" si="169"/>
        <v>59.107409158326611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5.6843418860808015E-13</v>
      </c>
      <c r="BZ166" s="13">
        <f>BY166*VLOOKUP('Données projet'!$B$12,Paramètres!$A$1:$I$89,3,0)*VLOOKUP('Données projet'!$B$12,Paramètres!$A$1:$I$89,5,0)</f>
        <v>3.177547114319168E-13</v>
      </c>
      <c r="CA166" s="13">
        <f t="shared" si="170"/>
        <v>4.1725404435445377E-12</v>
      </c>
      <c r="CB166" s="20">
        <f t="shared" si="171"/>
        <v>7.820597394917325E-12</v>
      </c>
      <c r="CC166" s="59">
        <f t="shared" si="119"/>
        <v>291.42923694071595</v>
      </c>
      <c r="CD166" s="59">
        <f ca="1">AVERAGE(OFFSET($CC$3,0,0,'Données projet'!$E$12+1,1))-AVERAGE(OFFSET($H$3,0,0,'Données projet'!$E$12+1,1))</f>
        <v>394.00476121021177</v>
      </c>
      <c r="CE166" s="59">
        <f t="shared" si="148"/>
        <v>363.10016759175278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36.581338622078498</v>
      </c>
      <c r="CL166" s="21">
        <f>EXP(-LN(2)/25)*CL165+(1-EXP(-LN(2)/25))/(LN(2)/25)*Calculateur!CG166*Calculateur!CI166*VLOOKUP('Données projet'!$B$12,Paramètres!$A$1:$I$89,3,0)*0.475*44/12</f>
        <v>5.8248984948303404</v>
      </c>
      <c r="CM166" s="21">
        <f>EXP(-LN(2)/2)*CM165+(1-EXP(-LN(2)/2))/(LN(2)/2)*CG166*CJ166*VLOOKUP('Données projet'!$B$12,Paramètres!$A$1:$I$89,3,0)*0.475*44/12</f>
        <v>7.5872418770063292E-13</v>
      </c>
      <c r="CN166" s="22">
        <f t="shared" si="172"/>
        <v>42.406237116909601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69.480700983829493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3">
        <f>'Scénario référence'!$B$16*5+'Scénario référence'!$B$17*0+'Scénario référence'!$B$18*5</f>
        <v>1.7999999999999998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6.5999999999999988</v>
      </c>
      <c r="H167" s="67">
        <f t="shared" si="110"/>
        <v>230.26666666666665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1409.2495378527938</v>
      </c>
      <c r="S167" s="59">
        <f ca="1">AVERAGE(OFFSET($R$3,0,0,'Données projet'!$E$9+1,1))-AVERAGE(OFFSET($H$3,0,0,'Données projet'!$E$9+1,1))</f>
        <v>652.18744712713965</v>
      </c>
      <c r="T167" s="59">
        <f t="shared" si="142"/>
        <v>288.65635870281199</v>
      </c>
      <c r="U167" s="15">
        <f>IF(ISNA(VLOOKUP(A167,'Données projet'!$A$35:$I$55,3,0)),0,VLOOKUP(A167,'Données projet'!$A$35:$I$55,3,0))</f>
        <v>16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291.46226875620039</v>
      </c>
      <c r="AN167" s="59">
        <f ca="1">AVERAGE(OFFSET($AM$3,0,0,'Données projet'!$E$10+1,1))-AVERAGE(OFFSET($H$3,0,0,'Données projet'!$E$10+1,1))</f>
        <v>307.94699176410495</v>
      </c>
      <c r="AO167" s="59">
        <f t="shared" si="144"/>
        <v>314.22983137038875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17.705839324592674</v>
      </c>
      <c r="AV167" s="21">
        <f>EXP(-LN(2)/25)*AV166+(1-EXP(-LN(2)/25))/(LN(2)/25)*Calculateur!AQ167*Calculateur!AS167*VLOOKUP('Données projet'!$B$10,Paramètres!$A$1:$I$89,3,0)*0.475*44/12</f>
        <v>2.7097173654612234</v>
      </c>
      <c r="AW167" s="21">
        <f>EXP(-LN(2)/2)*AW166+(1-EXP(-LN(2)/2))/(LN(2)/2)*AQ167*AT167*VLOOKUP('Données projet'!$B$10,Paramètres!$A$1:$I$89,3,0)*0.475*44/12</f>
        <v>1.331411488244638E-14</v>
      </c>
      <c r="AX167" s="21">
        <f t="shared" si="166"/>
        <v>20.415556690053911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346.55780187946573</v>
      </c>
      <c r="BJ167" s="59">
        <f t="shared" si="146"/>
        <v>297.28652094809149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48.609905874771684</v>
      </c>
      <c r="BQ167" s="21">
        <f>EXP(-LN(2)/25)*BQ166+(1-EXP(-LN(2)/25))/(LN(2)/25)*Calculateur!BL167*Calculateur!BN167*VLOOKUP('Données projet'!$B$11,Paramètres!$A$1:$I$89,3,0)*0.475*44/12</f>
        <v>9.2647590833597864</v>
      </c>
      <c r="BR167" s="21">
        <f>EXP(-LN(2)/2)*BR166+(1-EXP(-LN(2)/2))/(LN(2)/2)*BL167*BO167*VLOOKUP('Données projet'!$B$11,Paramètres!$A$1:$I$89,3,0)*0.475*44/12</f>
        <v>1.2732805403488108E-8</v>
      </c>
      <c r="BS167" s="22">
        <f t="shared" si="169"/>
        <v>57.874664970864274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5.6843418860808015E-13</v>
      </c>
      <c r="BZ167" s="13">
        <f>BY167*VLOOKUP('Données projet'!$B$12,Paramètres!$A$1:$I$89,3,0)*VLOOKUP('Données projet'!$B$12,Paramètres!$A$1:$I$89,5,0)</f>
        <v>3.177547114319168E-13</v>
      </c>
      <c r="CA167" s="13">
        <f t="shared" si="170"/>
        <v>4.1725404435445377E-12</v>
      </c>
      <c r="CB167" s="20">
        <f t="shared" si="171"/>
        <v>7.820597394917325E-12</v>
      </c>
      <c r="CC167" s="59">
        <f t="shared" si="119"/>
        <v>291.46226875620624</v>
      </c>
      <c r="CD167" s="59">
        <f ca="1">AVERAGE(OFFSET($CC$3,0,0,'Données projet'!$E$12+1,1))-AVERAGE(OFFSET($H$3,0,0,'Données projet'!$E$12+1,1))</f>
        <v>394.00476121021177</v>
      </c>
      <c r="CE167" s="59">
        <f t="shared" si="148"/>
        <v>363.10016759175278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35.864000884112933</v>
      </c>
      <c r="CL167" s="21">
        <f>EXP(-LN(2)/25)*CL166+(1-EXP(-LN(2)/25))/(LN(2)/25)*Calculateur!CG167*Calculateur!CI167*VLOOKUP('Données projet'!$B$12,Paramètres!$A$1:$I$89,3,0)*0.475*44/12</f>
        <v>5.6656163391711063</v>
      </c>
      <c r="CM167" s="21">
        <f>EXP(-LN(2)/2)*CM166+(1-EXP(-LN(2)/2))/(LN(2)/2)*CG167*CJ167*VLOOKUP('Données projet'!$B$12,Paramètres!$A$1:$I$89,3,0)*0.475*44/12</f>
        <v>5.3649901817337244E-13</v>
      </c>
      <c r="CN167" s="22">
        <f t="shared" si="172"/>
        <v>41.529617223284582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69.489709660781386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3">
        <f>'Scénario référence'!$B$16*5+'Scénario référence'!$B$17*0+'Scénario référence'!$B$18*5</f>
        <v>1.7999999999999998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6.5999999999999988</v>
      </c>
      <c r="H168" s="67">
        <f t="shared" si="110"/>
        <v>230.26666666666665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1302.8477100743535</v>
      </c>
      <c r="S168" s="59">
        <f ca="1">AVERAGE(OFFSET($R$3,0,0,'Données projet'!$E$9+1,1))-AVERAGE(OFFSET($H$3,0,0,'Données projet'!$E$9+1,1))</f>
        <v>652.18744712713965</v>
      </c>
      <c r="T168" s="59">
        <f t="shared" si="142"/>
        <v>288.65635870281199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291.49472754353997</v>
      </c>
      <c r="AN168" s="59">
        <f ca="1">AVERAGE(OFFSET($AM$3,0,0,'Données projet'!$E$10+1,1))-AVERAGE(OFFSET($H$3,0,0,'Données projet'!$E$10+1,1))</f>
        <v>307.94699176410495</v>
      </c>
      <c r="AO168" s="59">
        <f t="shared" si="144"/>
        <v>314.22983137038875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17.358638614933039</v>
      </c>
      <c r="AV168" s="21">
        <f>EXP(-LN(2)/25)*AV167+(1-EXP(-LN(2)/25))/(LN(2)/25)*Calculateur!AQ168*Calculateur!AS168*VLOOKUP('Données projet'!$B$10,Paramètres!$A$1:$I$89,3,0)*0.475*44/12</f>
        <v>2.6356200016048432</v>
      </c>
      <c r="AW168" s="21">
        <f>EXP(-LN(2)/2)*AW167+(1-EXP(-LN(2)/2))/(LN(2)/2)*AQ168*AT168*VLOOKUP('Données projet'!$B$10,Paramètres!$A$1:$I$89,3,0)*0.475*44/12</f>
        <v>9.4145009188745685E-15</v>
      </c>
      <c r="AX168" s="21">
        <f t="shared" si="166"/>
        <v>19.994258616537891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346.55780187946573</v>
      </c>
      <c r="BJ168" s="59">
        <f t="shared" si="146"/>
        <v>297.28652094809149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47.656695269682388</v>
      </c>
      <c r="BQ168" s="21">
        <f>EXP(-LN(2)/25)*BQ167+(1-EXP(-LN(2)/25))/(LN(2)/25)*Calculateur!BL168*Calculateur!BN168*VLOOKUP('Données projet'!$B$11,Paramètres!$A$1:$I$89,3,0)*0.475*44/12</f>
        <v>9.0114137590128074</v>
      </c>
      <c r="BR168" s="21">
        <f>EXP(-LN(2)/2)*BR167+(1-EXP(-LN(2)/2))/(LN(2)/2)*BL168*BO168*VLOOKUP('Données projet'!$B$11,Paramètres!$A$1:$I$89,3,0)*0.475*44/12</f>
        <v>9.0034530443351554E-9</v>
      </c>
      <c r="BS168" s="22">
        <f t="shared" si="169"/>
        <v>56.668109037698649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5.6843418860808015E-13</v>
      </c>
      <c r="BZ168" s="13">
        <f>BY168*VLOOKUP('Données projet'!$B$12,Paramètres!$A$1:$I$89,3,0)*VLOOKUP('Données projet'!$B$12,Paramètres!$A$1:$I$89,5,0)</f>
        <v>3.177547114319168E-13</v>
      </c>
      <c r="CA168" s="13">
        <f t="shared" si="170"/>
        <v>4.1725404435445377E-12</v>
      </c>
      <c r="CB168" s="20">
        <f t="shared" si="171"/>
        <v>7.820597394917325E-12</v>
      </c>
      <c r="CC168" s="59">
        <f t="shared" si="119"/>
        <v>291.49472754354582</v>
      </c>
      <c r="CD168" s="59">
        <f ca="1">AVERAGE(OFFSET($CC$3,0,0,'Données projet'!$E$12+1,1))-AVERAGE(OFFSET($H$3,0,0,'Données projet'!$E$12+1,1))</f>
        <v>394.00476121021177</v>
      </c>
      <c r="CE168" s="59">
        <f t="shared" si="148"/>
        <v>363.10016759175278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35.160729701656052</v>
      </c>
      <c r="CL168" s="21">
        <f>EXP(-LN(2)/25)*CL167+(1-EXP(-LN(2)/25))/(LN(2)/25)*Calculateur!CG168*Calculateur!CI168*VLOOKUP('Données projet'!$B$12,Paramètres!$A$1:$I$89,3,0)*0.475*44/12</f>
        <v>5.5106897624346578</v>
      </c>
      <c r="CM168" s="21">
        <f>EXP(-LN(2)/2)*CM167+(1-EXP(-LN(2)/2))/(LN(2)/2)*CG168*CJ168*VLOOKUP('Données projet'!$B$12,Paramètres!$A$1:$I$89,3,0)*0.475*44/12</f>
        <v>3.7936209385031646E-13</v>
      </c>
      <c r="CN168" s="22">
        <f t="shared" si="172"/>
        <v>40.671419464091088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69.498562057328542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3">
        <f>'Scénario référence'!$B$16*5+'Scénario référence'!$B$17*0+'Scénario référence'!$B$18*5</f>
        <v>1.7999999999999998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6.5999999999999988</v>
      </c>
      <c r="H169" s="67">
        <f t="shared" si="110"/>
        <v>230.26666666666665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1321.0532072087451</v>
      </c>
      <c r="S169" s="59">
        <f ca="1">AVERAGE(OFFSET($R$3,0,0,'Données projet'!$E$9+1,1))-AVERAGE(OFFSET($H$3,0,0,'Données projet'!$E$9+1,1))</f>
        <v>652.18744712713965</v>
      </c>
      <c r="T169" s="59">
        <f t="shared" si="142"/>
        <v>288.65635870281199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291.5266232434862</v>
      </c>
      <c r="AN169" s="59">
        <f ca="1">AVERAGE(OFFSET($AM$3,0,0,'Données projet'!$E$10+1,1))-AVERAGE(OFFSET($H$3,0,0,'Données projet'!$E$10+1,1))</f>
        <v>307.94699176410495</v>
      </c>
      <c r="AO169" s="59">
        <f t="shared" si="144"/>
        <v>314.22983137038875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17.018246299418305</v>
      </c>
      <c r="AV169" s="21">
        <f>EXP(-LN(2)/25)*AV168+(1-EXP(-LN(2)/25))/(LN(2)/25)*Calculateur!AQ169*Calculateur!AS169*VLOOKUP('Données projet'!$B$10,Paramètres!$A$1:$I$89,3,0)*0.475*44/12</f>
        <v>2.5635488340597266</v>
      </c>
      <c r="AW169" s="21">
        <f>EXP(-LN(2)/2)*AW168+(1-EXP(-LN(2)/2))/(LN(2)/2)*AQ169*AT169*VLOOKUP('Données projet'!$B$10,Paramètres!$A$1:$I$89,3,0)*0.475*44/12</f>
        <v>6.6570574412231902E-15</v>
      </c>
      <c r="AX169" s="21">
        <f t="shared" si="166"/>
        <v>19.581795133478039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346.55780187946573</v>
      </c>
      <c r="BJ169" s="59">
        <f t="shared" si="146"/>
        <v>297.28652094809149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46.722176543157829</v>
      </c>
      <c r="BQ169" s="21">
        <f>EXP(-LN(2)/25)*BQ168+(1-EXP(-LN(2)/25))/(LN(2)/25)*Calculateur!BL169*Calculateur!BN169*VLOOKUP('Données projet'!$B$11,Paramètres!$A$1:$I$89,3,0)*0.475*44/12</f>
        <v>8.7649961758829491</v>
      </c>
      <c r="BR169" s="21">
        <f>EXP(-LN(2)/2)*BR168+(1-EXP(-LN(2)/2))/(LN(2)/2)*BL169*BO169*VLOOKUP('Données projet'!$B$11,Paramètres!$A$1:$I$89,3,0)*0.475*44/12</f>
        <v>6.366402701744054E-9</v>
      </c>
      <c r="BS169" s="22">
        <f t="shared" si="169"/>
        <v>55.487172725407184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5.6843418860808015E-13</v>
      </c>
      <c r="BZ169" s="13">
        <f>BY169*VLOOKUP('Données projet'!$B$12,Paramètres!$A$1:$I$89,3,0)*VLOOKUP('Données projet'!$B$12,Paramètres!$A$1:$I$89,5,0)</f>
        <v>3.177547114319168E-13</v>
      </c>
      <c r="CA169" s="13">
        <f t="shared" si="170"/>
        <v>4.1725404435445377E-12</v>
      </c>
      <c r="CB169" s="20">
        <f t="shared" si="171"/>
        <v>7.820597394917325E-12</v>
      </c>
      <c r="CC169" s="59">
        <f t="shared" si="119"/>
        <v>291.52662324349205</v>
      </c>
      <c r="CD169" s="59">
        <f ca="1">AVERAGE(OFFSET($CC$3,0,0,'Données projet'!$E$12+1,1))-AVERAGE(OFFSET($H$3,0,0,'Données projet'!$E$12+1,1))</f>
        <v>394.00476121021177</v>
      </c>
      <c r="CE169" s="59">
        <f t="shared" si="148"/>
        <v>363.10016759175278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34.471249238134085</v>
      </c>
      <c r="CL169" s="21">
        <f>EXP(-LN(2)/25)*CL168+(1-EXP(-LN(2)/25))/(LN(2)/25)*Calculateur!CG169*Calculateur!CI169*VLOOKUP('Données projet'!$B$12,Paramètres!$A$1:$I$89,3,0)*0.475*44/12</f>
        <v>5.3599996610863023</v>
      </c>
      <c r="CM169" s="21">
        <f>EXP(-LN(2)/2)*CM168+(1-EXP(-LN(2)/2))/(LN(2)/2)*CG169*CJ169*VLOOKUP('Données projet'!$B$12,Paramètres!$A$1:$I$89,3,0)*0.475*44/12</f>
        <v>2.6824950908668622E-13</v>
      </c>
      <c r="CN169" s="22">
        <f t="shared" si="172"/>
        <v>39.831248899220654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69.5072608845866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3">
        <f>'Scénario référence'!$B$16*5+'Scénario référence'!$B$17*0+'Scénario référence'!$B$18*5</f>
        <v>1.7999999999999998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6.5999999999999988</v>
      </c>
      <c r="H170" s="67">
        <f t="shared" si="110"/>
        <v>230.26666666666665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1339.2518373620987</v>
      </c>
      <c r="S170" s="59">
        <f ca="1">AVERAGE(OFFSET($R$3,0,0,'Données projet'!$E$9+1,1))-AVERAGE(OFFSET($H$3,0,0,'Données projet'!$E$9+1,1))</f>
        <v>652.18744712713965</v>
      </c>
      <c r="T170" s="59">
        <f t="shared" si="142"/>
        <v>288.65635870281199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291.55796562434637</v>
      </c>
      <c r="AN170" s="59">
        <f ca="1">AVERAGE(OFFSET($AM$3,0,0,'Données projet'!$E$10+1,1))-AVERAGE(OFFSET($H$3,0,0,'Données projet'!$E$10+1,1))</f>
        <v>307.94699176410495</v>
      </c>
      <c r="AO170" s="59">
        <f t="shared" si="144"/>
        <v>314.22983137038875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16.684528869592004</v>
      </c>
      <c r="AV170" s="21">
        <f>EXP(-LN(2)/25)*AV169+(1-EXP(-LN(2)/25))/(LN(2)/25)*Calculateur!AQ170*Calculateur!AS170*VLOOKUP('Données projet'!$B$10,Paramètres!$A$1:$I$89,3,0)*0.475*44/12</f>
        <v>2.4934484563811892</v>
      </c>
      <c r="AW170" s="21">
        <f>EXP(-LN(2)/2)*AW169+(1-EXP(-LN(2)/2))/(LN(2)/2)*AQ170*AT170*VLOOKUP('Données projet'!$B$10,Paramètres!$A$1:$I$89,3,0)*0.475*44/12</f>
        <v>4.7072504594372843E-15</v>
      </c>
      <c r="AX170" s="21">
        <f t="shared" si="166"/>
        <v>19.177977325973195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346.55780187946573</v>
      </c>
      <c r="BJ170" s="59">
        <f t="shared" si="146"/>
        <v>297.28652094809149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45.805983158860279</v>
      </c>
      <c r="BQ170" s="21">
        <f>EXP(-LN(2)/25)*BQ169+(1-EXP(-LN(2)/25))/(LN(2)/25)*Calculateur!BL170*Calculateur!BN170*VLOOKUP('Données projet'!$B$11,Paramètres!$A$1:$I$89,3,0)*0.475*44/12</f>
        <v>8.5253168945223141</v>
      </c>
      <c r="BR170" s="21">
        <f>EXP(-LN(2)/2)*BR169+(1-EXP(-LN(2)/2))/(LN(2)/2)*BL170*BO170*VLOOKUP('Données projet'!$B$11,Paramètres!$A$1:$I$89,3,0)*0.475*44/12</f>
        <v>4.5017265221675777E-9</v>
      </c>
      <c r="BS170" s="22">
        <f t="shared" si="169"/>
        <v>54.33130005788432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5.6843418860808015E-13</v>
      </c>
      <c r="BZ170" s="13">
        <f>BY170*VLOOKUP('Données projet'!$B$12,Paramètres!$A$1:$I$89,3,0)*VLOOKUP('Données projet'!$B$12,Paramètres!$A$1:$I$89,5,0)</f>
        <v>3.177547114319168E-13</v>
      </c>
      <c r="CA170" s="13">
        <f t="shared" si="170"/>
        <v>4.1725404435445377E-12</v>
      </c>
      <c r="CB170" s="20">
        <f t="shared" si="171"/>
        <v>7.820597394917325E-12</v>
      </c>
      <c r="CC170" s="59">
        <f t="shared" si="119"/>
        <v>291.55796562435222</v>
      </c>
      <c r="CD170" s="59">
        <f ca="1">AVERAGE(OFFSET($CC$3,0,0,'Données projet'!$E$12+1,1))-AVERAGE(OFFSET($H$3,0,0,'Données projet'!$E$12+1,1))</f>
        <v>394.00476121021177</v>
      </c>
      <c r="CE170" s="59">
        <f t="shared" si="148"/>
        <v>363.10016759175278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33.795289065960226</v>
      </c>
      <c r="CL170" s="21">
        <f>EXP(-LN(2)/25)*CL169+(1-EXP(-LN(2)/25))/(LN(2)/25)*Calculateur!CG170*Calculateur!CI170*VLOOKUP('Données projet'!$B$12,Paramètres!$A$1:$I$89,3,0)*0.475*44/12</f>
        <v>5.2134301884837653</v>
      </c>
      <c r="CM170" s="21">
        <f>EXP(-LN(2)/2)*CM169+(1-EXP(-LN(2)/2))/(LN(2)/2)*CG170*CJ170*VLOOKUP('Données projet'!$B$12,Paramètres!$A$1:$I$89,3,0)*0.475*44/12</f>
        <v>1.8968104692515823E-13</v>
      </c>
      <c r="CN170" s="22">
        <f t="shared" si="172"/>
        <v>39.008719254444181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69.515808806639384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3">
        <f>'Scénario référence'!$B$16*5+'Scénario référence'!$B$17*0+'Scénario référence'!$B$18*5</f>
        <v>1.7999999999999998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6.5999999999999988</v>
      </c>
      <c r="H171" s="67">
        <f t="shared" si="110"/>
        <v>230.26666666666665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1357.4437348808203</v>
      </c>
      <c r="S171" s="59">
        <f ca="1">AVERAGE(OFFSET($R$3,0,0,'Données projet'!$E$9+1,1))-AVERAGE(OFFSET($H$3,0,0,'Données projet'!$E$9+1,1))</f>
        <v>652.18744712713965</v>
      </c>
      <c r="T171" s="59">
        <f t="shared" si="142"/>
        <v>288.65635870281199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291.58876428496978</v>
      </c>
      <c r="AN171" s="59">
        <f ca="1">AVERAGE(OFFSET($AM$3,0,0,'Données projet'!$E$10+1,1))-AVERAGE(OFFSET($H$3,0,0,'Données projet'!$E$10+1,1))</f>
        <v>307.94699176410495</v>
      </c>
      <c r="AO171" s="59">
        <f t="shared" si="144"/>
        <v>314.22983137038875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16.357355435017062</v>
      </c>
      <c r="AV171" s="21">
        <f>EXP(-LN(2)/25)*AV170+(1-EXP(-LN(2)/25))/(LN(2)/25)*Calculateur!AQ171*Calculateur!AS171*VLOOKUP('Données projet'!$B$10,Paramètres!$A$1:$I$89,3,0)*0.475*44/12</f>
        <v>2.4252649772166901</v>
      </c>
      <c r="AW171" s="21">
        <f>EXP(-LN(2)/2)*AW170+(1-EXP(-LN(2)/2))/(LN(2)/2)*AQ171*AT171*VLOOKUP('Données projet'!$B$10,Paramètres!$A$1:$I$89,3,0)*0.475*44/12</f>
        <v>3.3285287206115951E-15</v>
      </c>
      <c r="AX171" s="21">
        <f t="shared" si="166"/>
        <v>18.782620412233758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346.55780187946573</v>
      </c>
      <c r="BJ171" s="59">
        <f t="shared" si="146"/>
        <v>297.28652094809149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44.90775576800602</v>
      </c>
      <c r="BQ171" s="21">
        <f>EXP(-LN(2)/25)*BQ170+(1-EXP(-LN(2)/25))/(LN(2)/25)*Calculateur!BL171*Calculateur!BN171*VLOOKUP('Données projet'!$B$11,Paramètres!$A$1:$I$89,3,0)*0.475*44/12</f>
        <v>8.2921916557146709</v>
      </c>
      <c r="BR171" s="21">
        <f>EXP(-LN(2)/2)*BR170+(1-EXP(-LN(2)/2))/(LN(2)/2)*BL171*BO171*VLOOKUP('Données projet'!$B$11,Paramètres!$A$1:$I$89,3,0)*0.475*44/12</f>
        <v>3.183201350872027E-9</v>
      </c>
      <c r="BS171" s="22">
        <f t="shared" si="169"/>
        <v>53.19994742690389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5.6843418860808015E-13</v>
      </c>
      <c r="BZ171" s="13">
        <f>BY171*VLOOKUP('Données projet'!$B$12,Paramètres!$A$1:$I$89,3,0)*VLOOKUP('Données projet'!$B$12,Paramètres!$A$1:$I$89,5,0)</f>
        <v>3.177547114319168E-13</v>
      </c>
      <c r="CA171" s="13">
        <f t="shared" si="170"/>
        <v>4.1725404435445377E-12</v>
      </c>
      <c r="CB171" s="20">
        <f t="shared" si="171"/>
        <v>7.820597394917325E-12</v>
      </c>
      <c r="CC171" s="59">
        <f t="shared" si="119"/>
        <v>291.58876428497564</v>
      </c>
      <c r="CD171" s="59">
        <f ca="1">AVERAGE(OFFSET($CC$3,0,0,'Données projet'!$E$12+1,1))-AVERAGE(OFFSET($H$3,0,0,'Données projet'!$E$12+1,1))</f>
        <v>394.00476121021177</v>
      </c>
      <c r="CE171" s="59">
        <f t="shared" si="148"/>
        <v>363.10016759175278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33.1325840604677</v>
      </c>
      <c r="CL171" s="21">
        <f>EXP(-LN(2)/25)*CL170+(1-EXP(-LN(2)/25))/(LN(2)/25)*Calculateur!CG171*Calculateur!CI171*VLOOKUP('Données projet'!$B$12,Paramètres!$A$1:$I$89,3,0)*0.475*44/12</f>
        <v>5.0708686658172981</v>
      </c>
      <c r="CM171" s="21">
        <f>EXP(-LN(2)/2)*CM170+(1-EXP(-LN(2)/2))/(LN(2)/2)*CG171*CJ171*VLOOKUP('Données projet'!$B$12,Paramètres!$A$1:$I$89,3,0)*0.475*44/12</f>
        <v>1.3412475454334311E-13</v>
      </c>
      <c r="CN171" s="22">
        <f t="shared" si="172"/>
        <v>38.203452726285136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69.524208441354858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3">
        <f>'Scénario référence'!$B$16*5+'Scénario référence'!$B$17*0+'Scénario référence'!$B$18*5</f>
        <v>1.7999999999999998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6.5999999999999988</v>
      </c>
      <c r="H172" s="67">
        <f t="shared" si="110"/>
        <v>230.26666666666665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1375.6290293532149</v>
      </c>
      <c r="S172" s="59">
        <f ca="1">AVERAGE(OFFSET($R$3,0,0,'Données projet'!$E$9+1,1))-AVERAGE(OFFSET($H$3,0,0,'Données projet'!$E$9+1,1))</f>
        <v>652.18744712713965</v>
      </c>
      <c r="T172" s="59">
        <f t="shared" si="142"/>
        <v>288.65635870281199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291.61902865768684</v>
      </c>
      <c r="AN172" s="59">
        <f ca="1">AVERAGE(OFFSET($AM$3,0,0,'Données projet'!$E$10+1,1))-AVERAGE(OFFSET($H$3,0,0,'Données projet'!$E$10+1,1))</f>
        <v>307.94699176410495</v>
      </c>
      <c r="AO172" s="59">
        <f t="shared" si="144"/>
        <v>314.22983137038875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16.036597671938047</v>
      </c>
      <c r="AV172" s="21">
        <f>EXP(-LN(2)/25)*AV171+(1-EXP(-LN(2)/25))/(LN(2)/25)*Calculateur!AQ172*Calculateur!AS172*VLOOKUP('Données projet'!$B$10,Paramètres!$A$1:$I$89,3,0)*0.475*44/12</f>
        <v>2.3589459788755578</v>
      </c>
      <c r="AW172" s="21">
        <f>EXP(-LN(2)/2)*AW171+(1-EXP(-LN(2)/2))/(LN(2)/2)*AQ172*AT172*VLOOKUP('Données projet'!$B$10,Paramètres!$A$1:$I$89,3,0)*0.475*44/12</f>
        <v>2.3536252297186421E-15</v>
      </c>
      <c r="AX172" s="21">
        <f t="shared" si="166"/>
        <v>18.395543650813607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346.55780187946573</v>
      </c>
      <c r="BJ172" s="59">
        <f t="shared" si="146"/>
        <v>297.28652094809149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44.027142068421803</v>
      </c>
      <c r="BQ172" s="21">
        <f>EXP(-LN(2)/25)*BQ171+(1-EXP(-LN(2)/25))/(LN(2)/25)*Calculateur!BL172*Calculateur!BN172*VLOOKUP('Données projet'!$B$11,Paramètres!$A$1:$I$89,3,0)*0.475*44/12</f>
        <v>8.0654412388217462</v>
      </c>
      <c r="BR172" s="21">
        <f>EXP(-LN(2)/2)*BR171+(1-EXP(-LN(2)/2))/(LN(2)/2)*BL172*BO172*VLOOKUP('Données projet'!$B$11,Paramètres!$A$1:$I$89,3,0)*0.475*44/12</f>
        <v>2.2508632610837889E-9</v>
      </c>
      <c r="BS172" s="22">
        <f t="shared" si="169"/>
        <v>52.092583309494415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5.6843418860808015E-13</v>
      </c>
      <c r="BZ172" s="13">
        <f>BY172*VLOOKUP('Données projet'!$B$12,Paramètres!$A$1:$I$89,3,0)*VLOOKUP('Données projet'!$B$12,Paramètres!$A$1:$I$89,5,0)</f>
        <v>3.177547114319168E-13</v>
      </c>
      <c r="CA172" s="13">
        <f t="shared" si="170"/>
        <v>4.1725404435445377E-12</v>
      </c>
      <c r="CB172" s="20">
        <f t="shared" si="171"/>
        <v>7.820597394917325E-12</v>
      </c>
      <c r="CC172" s="59">
        <f t="shared" si="119"/>
        <v>291.6190286576927</v>
      </c>
      <c r="CD172" s="59">
        <f ca="1">AVERAGE(OFFSET($CC$3,0,0,'Données projet'!$E$12+1,1))-AVERAGE(OFFSET($H$3,0,0,'Données projet'!$E$12+1,1))</f>
        <v>394.00476121021177</v>
      </c>
      <c r="CE172" s="59">
        <f t="shared" si="148"/>
        <v>363.10016759175278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32.482874295922741</v>
      </c>
      <c r="CL172" s="21">
        <f>EXP(-LN(2)/25)*CL171+(1-EXP(-LN(2)/25))/(LN(2)/25)*Calculateur!CG172*Calculateur!CI172*VLOOKUP('Données projet'!$B$12,Paramètres!$A$1:$I$89,3,0)*0.475*44/12</f>
        <v>4.9322054954851309</v>
      </c>
      <c r="CM172" s="21">
        <f>EXP(-LN(2)/2)*CM171+(1-EXP(-LN(2)/2))/(LN(2)/2)*CG172*CJ172*VLOOKUP('Données projet'!$B$12,Paramètres!$A$1:$I$89,3,0)*0.475*44/12</f>
        <v>9.4840523462579115E-14</v>
      </c>
      <c r="CN172" s="22">
        <f t="shared" si="172"/>
        <v>37.415079791407962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69.532462361186774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3">
        <f>'Scénario référence'!$B$16*5+'Scénario référence'!$B$17*0+'Scénario référence'!$B$18*5</f>
        <v>1.7999999999999998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6.5999999999999988</v>
      </c>
      <c r="H173" s="67">
        <f t="shared" si="110"/>
        <v>230.26666666666665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1393.807845856991</v>
      </c>
      <c r="S173" s="59">
        <f ca="1">AVERAGE(OFFSET($R$3,0,0,'Données projet'!$E$9+1,1))-AVERAGE(OFFSET($H$3,0,0,'Données projet'!$E$9+1,1))</f>
        <v>652.18744712713965</v>
      </c>
      <c r="T173" s="59">
        <f t="shared" si="142"/>
        <v>288.65635870281199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291.64876801119829</v>
      </c>
      <c r="AN173" s="59">
        <f ca="1">AVERAGE(OFFSET($AM$3,0,0,'Données projet'!$E$10+1,1))-AVERAGE(OFFSET($H$3,0,0,'Données projet'!$E$10+1,1))</f>
        <v>307.94699176410495</v>
      </c>
      <c r="AO173" s="59">
        <f t="shared" si="144"/>
        <v>314.22983137038875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15.722129772950092</v>
      </c>
      <c r="AV173" s="21">
        <f>EXP(-LN(2)/25)*AV172+(1-EXP(-LN(2)/25))/(LN(2)/25)*Calculateur!AQ173*Calculateur!AS173*VLOOKUP('Données projet'!$B$10,Paramètres!$A$1:$I$89,3,0)*0.475*44/12</f>
        <v>2.2944404770316282</v>
      </c>
      <c r="AW173" s="21">
        <f>EXP(-LN(2)/2)*AW172+(1-EXP(-LN(2)/2))/(LN(2)/2)*AQ173*AT173*VLOOKUP('Données projet'!$B$10,Paramètres!$A$1:$I$89,3,0)*0.475*44/12</f>
        <v>1.6642643603057975E-15</v>
      </c>
      <c r="AX173" s="21">
        <f t="shared" si="166"/>
        <v>18.016570249981719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346.55780187946573</v>
      </c>
      <c r="BJ173" s="59">
        <f t="shared" si="146"/>
        <v>297.28652094809149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43.163796666365108</v>
      </c>
      <c r="BQ173" s="21">
        <f>EXP(-LN(2)/25)*BQ172+(1-EXP(-LN(2)/25))/(LN(2)/25)*Calculateur!BL173*Calculateur!BN173*VLOOKUP('Données projet'!$B$11,Paramètres!$A$1:$I$89,3,0)*0.475*44/12</f>
        <v>7.8448913240030445</v>
      </c>
      <c r="BR173" s="21">
        <f>EXP(-LN(2)/2)*BR172+(1-EXP(-LN(2)/2))/(LN(2)/2)*BL173*BO173*VLOOKUP('Données projet'!$B$11,Paramètres!$A$1:$I$89,3,0)*0.475*44/12</f>
        <v>1.5916006754360135E-9</v>
      </c>
      <c r="BS173" s="22">
        <f t="shared" si="169"/>
        <v>51.008687991959754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5.6843418860808015E-13</v>
      </c>
      <c r="BZ173" s="13">
        <f>BY173*VLOOKUP('Données projet'!$B$12,Paramètres!$A$1:$I$89,3,0)*VLOOKUP('Données projet'!$B$12,Paramètres!$A$1:$I$89,5,0)</f>
        <v>3.177547114319168E-13</v>
      </c>
      <c r="CA173" s="13">
        <f t="shared" si="170"/>
        <v>4.1725404435445377E-12</v>
      </c>
      <c r="CB173" s="20">
        <f t="shared" si="171"/>
        <v>7.820597394917325E-12</v>
      </c>
      <c r="CC173" s="59">
        <f t="shared" si="119"/>
        <v>291.64876801120414</v>
      </c>
      <c r="CD173" s="59">
        <f ca="1">AVERAGE(OFFSET($CC$3,0,0,'Données projet'!$E$12+1,1))-AVERAGE(OFFSET($H$3,0,0,'Données projet'!$E$12+1,1))</f>
        <v>394.00476121021177</v>
      </c>
      <c r="CE173" s="59">
        <f t="shared" si="148"/>
        <v>363.10016759175278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31.845904943576684</v>
      </c>
      <c r="CL173" s="21">
        <f>EXP(-LN(2)/25)*CL172+(1-EXP(-LN(2)/25))/(LN(2)/25)*Calculateur!CG173*Calculateur!CI173*VLOOKUP('Données projet'!$B$12,Paramètres!$A$1:$I$89,3,0)*0.475*44/12</f>
        <v>4.797334076837676</v>
      </c>
      <c r="CM173" s="21">
        <f>EXP(-LN(2)/2)*CM172+(1-EXP(-LN(2)/2))/(LN(2)/2)*CG173*CJ173*VLOOKUP('Données projet'!$B$12,Paramètres!$A$1:$I$89,3,0)*0.475*44/12</f>
        <v>6.7062377271671555E-14</v>
      </c>
      <c r="CN173" s="22">
        <f t="shared" si="172"/>
        <v>36.643239020414427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69.540573093962621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3">
        <f>'Scénario référence'!$B$16*5+'Scénario référence'!$B$17*0+'Scénario référence'!$B$18*5</f>
        <v>1.7999999999999998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6.5999999999999988</v>
      </c>
      <c r="H174" s="67">
        <f t="shared" si="110"/>
        <v>230.26666666666665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1411.9803051897852</v>
      </c>
      <c r="S174" s="59">
        <f ca="1">AVERAGE(OFFSET($R$3,0,0,'Données projet'!$E$9+1,1))-AVERAGE(OFFSET($H$3,0,0,'Données projet'!$E$9+1,1))</f>
        <v>652.18744712713965</v>
      </c>
      <c r="T174" s="59">
        <f t="shared" si="142"/>
        <v>288.65635870281199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291.67799145341348</v>
      </c>
      <c r="AN174" s="59">
        <f ca="1">AVERAGE(OFFSET($AM$3,0,0,'Données projet'!$E$10+1,1))-AVERAGE(OFFSET($H$3,0,0,'Données projet'!$E$10+1,1))</f>
        <v>307.94699176410495</v>
      </c>
      <c r="AO174" s="59">
        <f t="shared" si="144"/>
        <v>314.22983137038875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15.413828397654813</v>
      </c>
      <c r="AV174" s="21">
        <f>EXP(-LN(2)/25)*AV173+(1-EXP(-LN(2)/25))/(LN(2)/25)*Calculateur!AQ174*Calculateur!AS174*VLOOKUP('Données projet'!$B$10,Paramètres!$A$1:$I$89,3,0)*0.475*44/12</f>
        <v>2.2316988815278176</v>
      </c>
      <c r="AW174" s="21">
        <f>EXP(-LN(2)/2)*AW173+(1-EXP(-LN(2)/2))/(LN(2)/2)*AQ174*AT174*VLOOKUP('Données projet'!$B$10,Paramètres!$A$1:$I$89,3,0)*0.475*44/12</f>
        <v>1.1768126148593211E-15</v>
      </c>
      <c r="AX174" s="21">
        <f t="shared" si="166"/>
        <v>17.64552727918263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346.55780187946573</v>
      </c>
      <c r="BJ174" s="59">
        <f t="shared" si="146"/>
        <v>297.28652094809149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42.317380941054047</v>
      </c>
      <c r="BQ174" s="21">
        <f>EXP(-LN(2)/25)*BQ173+(1-EXP(-LN(2)/25))/(LN(2)/25)*Calculateur!BL174*Calculateur!BN174*VLOOKUP('Données projet'!$B$11,Paramètres!$A$1:$I$89,3,0)*0.475*44/12</f>
        <v>7.6303723582032763</v>
      </c>
      <c r="BR174" s="21">
        <f>EXP(-LN(2)/2)*BR173+(1-EXP(-LN(2)/2))/(LN(2)/2)*BL174*BO174*VLOOKUP('Données projet'!$B$11,Paramètres!$A$1:$I$89,3,0)*0.475*44/12</f>
        <v>1.1254316305418944E-9</v>
      </c>
      <c r="BS174" s="22">
        <f t="shared" si="169"/>
        <v>49.94775330038275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5.6843418860808015E-13</v>
      </c>
      <c r="BZ174" s="13">
        <f>BY174*VLOOKUP('Données projet'!$B$12,Paramètres!$A$1:$I$89,3,0)*VLOOKUP('Données projet'!$B$12,Paramètres!$A$1:$I$89,5,0)</f>
        <v>3.177547114319168E-13</v>
      </c>
      <c r="CA174" s="13">
        <f t="shared" si="170"/>
        <v>4.1725404435445377E-12</v>
      </c>
      <c r="CB174" s="20">
        <f t="shared" si="171"/>
        <v>7.820597394917325E-12</v>
      </c>
      <c r="CC174" s="59">
        <f t="shared" si="119"/>
        <v>291.67799145341934</v>
      </c>
      <c r="CD174" s="59">
        <f ca="1">AVERAGE(OFFSET($CC$3,0,0,'Données projet'!$E$12+1,1))-AVERAGE(OFFSET($H$3,0,0,'Données projet'!$E$12+1,1))</f>
        <v>394.00476121021177</v>
      </c>
      <c r="CE174" s="59">
        <f t="shared" si="148"/>
        <v>363.10016759175278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31.221426171717191</v>
      </c>
      <c r="CL174" s="21">
        <f>EXP(-LN(2)/25)*CL173+(1-EXP(-LN(2)/25))/(LN(2)/25)*Calculateur!CG174*Calculateur!CI174*VLOOKUP('Données projet'!$B$12,Paramètres!$A$1:$I$89,3,0)*0.475*44/12</f>
        <v>4.666150724225715</v>
      </c>
      <c r="CM174" s="21">
        <f>EXP(-LN(2)/2)*CM173+(1-EXP(-LN(2)/2))/(LN(2)/2)*CG174*CJ174*VLOOKUP('Données projet'!$B$12,Paramètres!$A$1:$I$89,3,0)*0.475*44/12</f>
        <v>4.7420261731289557E-14</v>
      </c>
      <c r="CN174" s="22">
        <f t="shared" si="172"/>
        <v>35.887576895942956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69.54854312365768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3">
        <f>'Scénario référence'!$B$16*5+'Scénario référence'!$B$17*0+'Scénario référence'!$B$18*5</f>
        <v>1.7999999999999998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6.5999999999999988</v>
      </c>
      <c r="H175" s="67">
        <f t="shared" si="110"/>
        <v>230.26666666666665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1430.1465240841478</v>
      </c>
      <c r="S175" s="59">
        <f ca="1">AVERAGE(OFFSET($R$3,0,0,'Données projet'!$E$9+1,1))-AVERAGE(OFFSET($H$3,0,0,'Données projet'!$E$9+1,1))</f>
        <v>652.18744712713965</v>
      </c>
      <c r="T175" s="59">
        <f t="shared" si="142"/>
        <v>288.65635870281199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291.70670793424006</v>
      </c>
      <c r="AN175" s="59">
        <f ca="1">AVERAGE(OFFSET($AM$3,0,0,'Données projet'!$E$10+1,1))-AVERAGE(OFFSET($H$3,0,0,'Données projet'!$E$10+1,1))</f>
        <v>307.94699176410495</v>
      </c>
      <c r="AO175" s="59">
        <f t="shared" si="144"/>
        <v>314.22983137038875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15.111572624283802</v>
      </c>
      <c r="AV175" s="21">
        <f>EXP(-LN(2)/25)*AV174+(1-EXP(-LN(2)/25))/(LN(2)/25)*Calculateur!AQ175*Calculateur!AS175*VLOOKUP('Données projet'!$B$10,Paramètres!$A$1:$I$89,3,0)*0.475*44/12</f>
        <v>2.1706729582524957</v>
      </c>
      <c r="AW175" s="21">
        <f>EXP(-LN(2)/2)*AW174+(1-EXP(-LN(2)/2))/(LN(2)/2)*AQ175*AT175*VLOOKUP('Données projet'!$B$10,Paramètres!$A$1:$I$89,3,0)*0.475*44/12</f>
        <v>8.3213218015289877E-16</v>
      </c>
      <c r="AX175" s="21">
        <f t="shared" si="166"/>
        <v>17.282245582536298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346.55780187946573</v>
      </c>
      <c r="BJ175" s="59">
        <f t="shared" si="146"/>
        <v>297.28652094809149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41.487562911853722</v>
      </c>
      <c r="BQ175" s="21">
        <f>EXP(-LN(2)/25)*BQ174+(1-EXP(-LN(2)/25))/(LN(2)/25)*Calculateur!BL175*Calculateur!BN175*VLOOKUP('Données projet'!$B$11,Paramètres!$A$1:$I$89,3,0)*0.475*44/12</f>
        <v>7.4217194248043645</v>
      </c>
      <c r="BR175" s="21">
        <f>EXP(-LN(2)/2)*BR174+(1-EXP(-LN(2)/2))/(LN(2)/2)*BL175*BO175*VLOOKUP('Données projet'!$B$11,Paramètres!$A$1:$I$89,3,0)*0.475*44/12</f>
        <v>7.9580033771800674E-10</v>
      </c>
      <c r="BS175" s="22">
        <f t="shared" si="169"/>
        <v>48.909282337453888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5.6843418860808015E-13</v>
      </c>
      <c r="BZ175" s="13">
        <f>BY175*VLOOKUP('Données projet'!$B$12,Paramètres!$A$1:$I$89,3,0)*VLOOKUP('Données projet'!$B$12,Paramètres!$A$1:$I$89,5,0)</f>
        <v>3.177547114319168E-13</v>
      </c>
      <c r="CA175" s="13">
        <f t="shared" si="170"/>
        <v>4.1725404435445377E-12</v>
      </c>
      <c r="CB175" s="20">
        <f t="shared" si="171"/>
        <v>7.820597394917325E-12</v>
      </c>
      <c r="CC175" s="59">
        <f t="shared" si="119"/>
        <v>291.70670793424591</v>
      </c>
      <c r="CD175" s="59">
        <f ca="1">AVERAGE(OFFSET($CC$3,0,0,'Données projet'!$E$12+1,1))-AVERAGE(OFFSET($H$3,0,0,'Données projet'!$E$12+1,1))</f>
        <v>394.00476121021177</v>
      </c>
      <c r="CE175" s="59">
        <f t="shared" si="148"/>
        <v>363.10016759175278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30.609193047679423</v>
      </c>
      <c r="CL175" s="21">
        <f>EXP(-LN(2)/25)*CL174+(1-EXP(-LN(2)/25))/(LN(2)/25)*Calculateur!CG175*Calculateur!CI175*VLOOKUP('Données projet'!$B$12,Paramètres!$A$1:$I$89,3,0)*0.475*44/12</f>
        <v>4.5385545872895605</v>
      </c>
      <c r="CM175" s="21">
        <f>EXP(-LN(2)/2)*CM174+(1-EXP(-LN(2)/2))/(LN(2)/2)*CG175*CJ175*VLOOKUP('Données projet'!$B$12,Paramètres!$A$1:$I$89,3,0)*0.475*44/12</f>
        <v>3.3531188635835778E-14</v>
      </c>
      <c r="CN175" s="22">
        <f t="shared" si="172"/>
        <v>35.147747634969015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69.556374891155841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3">
        <f>'Scénario référence'!$B$16*5+'Scénario référence'!$B$17*0+'Scénario référence'!$B$18*5</f>
        <v>1.7999999999999998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6.5999999999999988</v>
      </c>
      <c r="H176" s="67">
        <f t="shared" si="110"/>
        <v>230.26666666666665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1448.3066154082771</v>
      </c>
      <c r="S176" s="59">
        <f ca="1">AVERAGE(OFFSET($R$3,0,0,'Données projet'!$E$9+1,1))-AVERAGE(OFFSET($H$3,0,0,'Données projet'!$E$9+1,1))</f>
        <v>652.18744712713965</v>
      </c>
      <c r="T176" s="59">
        <f t="shared" si="142"/>
        <v>288.65635870281199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291.73492624832477</v>
      </c>
      <c r="AN176" s="59">
        <f ca="1">AVERAGE(OFFSET($AM$3,0,0,'Données projet'!$E$10+1,1))-AVERAGE(OFFSET($H$3,0,0,'Données projet'!$E$10+1,1))</f>
        <v>307.94699176410495</v>
      </c>
      <c r="AO176" s="59">
        <f t="shared" si="144"/>
        <v>314.22983137038875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14.81524390227078</v>
      </c>
      <c r="AV176" s="21">
        <f>EXP(-LN(2)/25)*AV175+(1-EXP(-LN(2)/25))/(LN(2)/25)*Calculateur!AQ176*Calculateur!AS176*VLOOKUP('Données projet'!$B$10,Paramètres!$A$1:$I$89,3,0)*0.475*44/12</f>
        <v>2.1113157920583516</v>
      </c>
      <c r="AW176" s="21">
        <f>EXP(-LN(2)/2)*AW175+(1-EXP(-LN(2)/2))/(LN(2)/2)*AQ176*AT176*VLOOKUP('Données projet'!$B$10,Paramètres!$A$1:$I$89,3,0)*0.475*44/12</f>
        <v>5.8840630742966053E-16</v>
      </c>
      <c r="AX176" s="21">
        <f t="shared" si="166"/>
        <v>16.926559694329132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346.55780187946573</v>
      </c>
      <c r="BJ176" s="59">
        <f t="shared" si="146"/>
        <v>297.28652094809149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40.674017108066991</v>
      </c>
      <c r="BQ176" s="21">
        <f>EXP(-LN(2)/25)*BQ175+(1-EXP(-LN(2)/25))/(LN(2)/25)*Calculateur!BL176*Calculateur!BN176*VLOOKUP('Données projet'!$B$11,Paramètres!$A$1:$I$89,3,0)*0.475*44/12</f>
        <v>7.2187721168418273</v>
      </c>
      <c r="BR176" s="21">
        <f>EXP(-LN(2)/2)*BR175+(1-EXP(-LN(2)/2))/(LN(2)/2)*BL176*BO176*VLOOKUP('Données projet'!$B$11,Paramètres!$A$1:$I$89,3,0)*0.475*44/12</f>
        <v>5.6271581527094721E-10</v>
      </c>
      <c r="BS176" s="22">
        <f t="shared" si="169"/>
        <v>47.892789225471532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5.6843418860808015E-13</v>
      </c>
      <c r="BZ176" s="13">
        <f>BY176*VLOOKUP('Données projet'!$B$12,Paramètres!$A$1:$I$89,3,0)*VLOOKUP('Données projet'!$B$12,Paramètres!$A$1:$I$89,5,0)</f>
        <v>3.177547114319168E-13</v>
      </c>
      <c r="CA176" s="13">
        <f t="shared" si="170"/>
        <v>4.1725404435445377E-12</v>
      </c>
      <c r="CB176" s="20">
        <f t="shared" si="171"/>
        <v>7.820597394917325E-12</v>
      </c>
      <c r="CC176" s="59">
        <f t="shared" si="119"/>
        <v>291.73492624833062</v>
      </c>
      <c r="CD176" s="59">
        <f ca="1">AVERAGE(OFFSET($CC$3,0,0,'Données projet'!$E$12+1,1))-AVERAGE(OFFSET($H$3,0,0,'Données projet'!$E$12+1,1))</f>
        <v>394.00476121021177</v>
      </c>
      <c r="CE176" s="59">
        <f t="shared" si="148"/>
        <v>363.10016759175278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30.008965441778702</v>
      </c>
      <c r="CL176" s="21">
        <f>EXP(-LN(2)/25)*CL175+(1-EXP(-LN(2)/25))/(LN(2)/25)*Calculateur!CG176*Calculateur!CI176*VLOOKUP('Données projet'!$B$12,Paramètres!$A$1:$I$89,3,0)*0.475*44/12</f>
        <v>4.4144475734279149</v>
      </c>
      <c r="CM176" s="21">
        <f>EXP(-LN(2)/2)*CM175+(1-EXP(-LN(2)/2))/(LN(2)/2)*CG176*CJ176*VLOOKUP('Données projet'!$B$12,Paramètres!$A$1:$I$89,3,0)*0.475*44/12</f>
        <v>2.3710130865644779E-14</v>
      </c>
      <c r="CN176" s="22">
        <f t="shared" si="172"/>
        <v>34.423413015206641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69.564070794997122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3">
        <f>'Scénario référence'!$B$16*5+'Scénario référence'!$B$17*0+'Scénario référence'!$B$18*5</f>
        <v>1.7999999999999998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6.5999999999999988</v>
      </c>
      <c r="H177" s="67">
        <f t="shared" si="110"/>
        <v>230.26666666666665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1466.460688353659</v>
      </c>
      <c r="S177" s="59">
        <f ca="1">AVERAGE(OFFSET($R$3,0,0,'Données projet'!$E$9+1,1))-AVERAGE(OFFSET($H$3,0,0,'Données projet'!$E$9+1,1))</f>
        <v>652.18744712713965</v>
      </c>
      <c r="T177" s="59">
        <f t="shared" si="142"/>
        <v>288.65635870281199</v>
      </c>
      <c r="U177" s="15">
        <f>IF(ISNA(VLOOKUP(A177,'Données projet'!$A$35:$I$55,3,0)),0,VLOOKUP(A177,'Données projet'!$A$35:$I$55,3,0))</f>
        <v>17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291.76265503774687</v>
      </c>
      <c r="AN177" s="59">
        <f ca="1">AVERAGE(OFFSET($AM$3,0,0,'Données projet'!$E$10+1,1))-AVERAGE(OFFSET($H$3,0,0,'Données projet'!$E$10+1,1))</f>
        <v>307.94699176410495</v>
      </c>
      <c r="AO177" s="59">
        <f t="shared" si="144"/>
        <v>314.22983137038875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14.524726005753759</v>
      </c>
      <c r="AV177" s="21">
        <f>EXP(-LN(2)/25)*AV176+(1-EXP(-LN(2)/25))/(LN(2)/25)*Calculateur!AQ177*Calculateur!AS177*VLOOKUP('Données projet'!$B$10,Paramètres!$A$1:$I$89,3,0)*0.475*44/12</f>
        <v>2.0535817506952441</v>
      </c>
      <c r="AW177" s="21">
        <f>EXP(-LN(2)/2)*AW176+(1-EXP(-LN(2)/2))/(LN(2)/2)*AQ177*AT177*VLOOKUP('Données projet'!$B$10,Paramètres!$A$1:$I$89,3,0)*0.475*44/12</f>
        <v>4.1606609007644939E-16</v>
      </c>
      <c r="AX177" s="21">
        <f t="shared" si="166"/>
        <v>16.578307756449004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346.55780187946573</v>
      </c>
      <c r="BJ177" s="59">
        <f t="shared" si="146"/>
        <v>297.28652094809149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39.87642444127858</v>
      </c>
      <c r="BQ177" s="21">
        <f>EXP(-LN(2)/25)*BQ176+(1-EXP(-LN(2)/25))/(LN(2)/25)*Calculateur!BL177*Calculateur!BN177*VLOOKUP('Données projet'!$B$11,Paramètres!$A$1:$I$89,3,0)*0.475*44/12</f>
        <v>7.0213744136880605</v>
      </c>
      <c r="BR177" s="21">
        <f>EXP(-LN(2)/2)*BR176+(1-EXP(-LN(2)/2))/(LN(2)/2)*BL177*BO177*VLOOKUP('Données projet'!$B$11,Paramètres!$A$1:$I$89,3,0)*0.475*44/12</f>
        <v>3.9790016885900337E-10</v>
      </c>
      <c r="BS177" s="22">
        <f t="shared" si="169"/>
        <v>46.897798855364535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5.6843418860808015E-13</v>
      </c>
      <c r="BZ177" s="13">
        <f>BY177*VLOOKUP('Données projet'!$B$12,Paramètres!$A$1:$I$89,3,0)*VLOOKUP('Données projet'!$B$12,Paramètres!$A$1:$I$89,5,0)</f>
        <v>3.177547114319168E-13</v>
      </c>
      <c r="CA177" s="13">
        <f t="shared" si="170"/>
        <v>4.1725404435445377E-12</v>
      </c>
      <c r="CB177" s="20">
        <f t="shared" si="171"/>
        <v>7.820597394917325E-12</v>
      </c>
      <c r="CC177" s="59">
        <f t="shared" si="119"/>
        <v>291.76265503775272</v>
      </c>
      <c r="CD177" s="59">
        <f ca="1">AVERAGE(OFFSET($CC$3,0,0,'Données projet'!$E$12+1,1))-AVERAGE(OFFSET($H$3,0,0,'Données projet'!$E$12+1,1))</f>
        <v>394.00476121021177</v>
      </c>
      <c r="CE177" s="59">
        <f t="shared" si="148"/>
        <v>363.10016759175278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29.420507933127006</v>
      </c>
      <c r="CL177" s="21">
        <f>EXP(-LN(2)/25)*CL176+(1-EXP(-LN(2)/25))/(LN(2)/25)*Calculateur!CG177*Calculateur!CI177*VLOOKUP('Données projet'!$B$12,Paramètres!$A$1:$I$89,3,0)*0.475*44/12</f>
        <v>4.2937342723868204</v>
      </c>
      <c r="CM177" s="21">
        <f>EXP(-LN(2)/2)*CM176+(1-EXP(-LN(2)/2))/(LN(2)/2)*CG177*CJ177*VLOOKUP('Données projet'!$B$12,Paramètres!$A$1:$I$89,3,0)*0.475*44/12</f>
        <v>1.6765594317917889E-14</v>
      </c>
      <c r="CN177" s="22">
        <f t="shared" si="172"/>
        <v>33.714242205513841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69.57163319211223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3">
        <f>'Scénario référence'!$B$16*5+'Scénario référence'!$B$17*0+'Scénario référence'!$B$18*5</f>
        <v>1.7999999999999998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6.5999999999999988</v>
      </c>
      <c r="H178" s="67">
        <f t="shared" si="110"/>
        <v>230.26666666666665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1024.1042771505749</v>
      </c>
      <c r="S178" s="59">
        <f ca="1">AVERAGE(OFFSET($R$3,0,0,'Données projet'!$E$9+1,1))-AVERAGE(OFFSET($H$3,0,0,'Données projet'!$E$9+1,1))</f>
        <v>652.18744712713965</v>
      </c>
      <c r="T178" s="59">
        <f t="shared" si="142"/>
        <v>288.65635870281199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291.78990279466473</v>
      </c>
      <c r="AN178" s="59">
        <f ca="1">AVERAGE(OFFSET($AM$3,0,0,'Données projet'!$E$10+1,1))-AVERAGE(OFFSET($H$3,0,0,'Données projet'!$E$10+1,1))</f>
        <v>307.94699176410495</v>
      </c>
      <c r="AO178" s="59">
        <f t="shared" si="144"/>
        <v>314.22983137038875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14.239904987989018</v>
      </c>
      <c r="AV178" s="21">
        <f>EXP(-LN(2)/25)*AV177+(1-EXP(-LN(2)/25))/(LN(2)/25)*Calculateur!AQ178*Calculateur!AS178*VLOOKUP('Données projet'!$B$10,Paramètres!$A$1:$I$89,3,0)*0.475*44/12</f>
        <v>1.9974264497293119</v>
      </c>
      <c r="AW178" s="21">
        <f>EXP(-LN(2)/2)*AW177+(1-EXP(-LN(2)/2))/(LN(2)/2)*AQ178*AT178*VLOOKUP('Données projet'!$B$10,Paramètres!$A$1:$I$89,3,0)*0.475*44/12</f>
        <v>2.9420315371483027E-16</v>
      </c>
      <c r="AX178" s="21">
        <f t="shared" si="166"/>
        <v>16.237331437718328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346.55780187946573</v>
      </c>
      <c r="BJ178" s="59">
        <f t="shared" si="146"/>
        <v>297.28652094809149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39.094472080202394</v>
      </c>
      <c r="BQ178" s="21">
        <f>EXP(-LN(2)/25)*BQ177+(1-EXP(-LN(2)/25))/(LN(2)/25)*Calculateur!BL178*Calculateur!BN178*VLOOKUP('Données projet'!$B$11,Paramètres!$A$1:$I$89,3,0)*0.475*44/12</f>
        <v>6.8293745611077279</v>
      </c>
      <c r="BR178" s="21">
        <f>EXP(-LN(2)/2)*BR177+(1-EXP(-LN(2)/2))/(LN(2)/2)*BL178*BO178*VLOOKUP('Données projet'!$B$11,Paramètres!$A$1:$I$89,3,0)*0.475*44/12</f>
        <v>2.8135790763547361E-10</v>
      </c>
      <c r="BS178" s="22">
        <f t="shared" si="169"/>
        <v>45.923846641591481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5.6843418860808015E-13</v>
      </c>
      <c r="BZ178" s="13">
        <f>BY178*VLOOKUP('Données projet'!$B$12,Paramètres!$A$1:$I$89,3,0)*VLOOKUP('Données projet'!$B$12,Paramètres!$A$1:$I$89,5,0)</f>
        <v>3.177547114319168E-13</v>
      </c>
      <c r="CA178" s="13">
        <f t="shared" si="170"/>
        <v>4.1725404435445377E-12</v>
      </c>
      <c r="CB178" s="20">
        <f t="shared" si="171"/>
        <v>7.820597394917325E-12</v>
      </c>
      <c r="CC178" s="59">
        <f t="shared" si="119"/>
        <v>291.78990279467058</v>
      </c>
      <c r="CD178" s="59">
        <f ca="1">AVERAGE(OFFSET($CC$3,0,0,'Données projet'!$E$12+1,1))-AVERAGE(OFFSET($H$3,0,0,'Données projet'!$E$12+1,1))</f>
        <v>394.00476121021177</v>
      </c>
      <c r="CE178" s="59">
        <f t="shared" si="148"/>
        <v>363.10016759175278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28.843589717296329</v>
      </c>
      <c r="CL178" s="21">
        <f>EXP(-LN(2)/25)*CL177+(1-EXP(-LN(2)/25))/(LN(2)/25)*Calculateur!CG178*Calculateur!CI178*VLOOKUP('Données projet'!$B$12,Paramètres!$A$1:$I$89,3,0)*0.475*44/12</f>
        <v>4.1763218829107309</v>
      </c>
      <c r="CM178" s="21">
        <f>EXP(-LN(2)/2)*CM177+(1-EXP(-LN(2)/2))/(LN(2)/2)*CG178*CJ178*VLOOKUP('Données projet'!$B$12,Paramètres!$A$1:$I$89,3,0)*0.475*44/12</f>
        <v>1.1855065432822389E-14</v>
      </c>
      <c r="CN178" s="22">
        <f t="shared" si="172"/>
        <v>33.019911600207074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69.579064398544375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3">
        <f>'Scénario référence'!$B$16*5+'Scénario référence'!$B$17*0+'Scénario référence'!$B$18*5</f>
        <v>1.7999999999999998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6.5999999999999988</v>
      </c>
      <c r="H179" s="67">
        <f t="shared" si="110"/>
        <v>230.26666666666665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1035.8034773160746</v>
      </c>
      <c r="S179" s="59">
        <f ca="1">AVERAGE(OFFSET($R$3,0,0,'Données projet'!$E$9+1,1))-AVERAGE(OFFSET($H$3,0,0,'Données projet'!$E$9+1,1))</f>
        <v>652.18744712713965</v>
      </c>
      <c r="T179" s="59">
        <f t="shared" si="142"/>
        <v>288.65635870281199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291.81667786391688</v>
      </c>
      <c r="AN179" s="59">
        <f ca="1">AVERAGE(OFFSET($AM$3,0,0,'Données projet'!$E$10+1,1))-AVERAGE(OFFSET($H$3,0,0,'Données projet'!$E$10+1,1))</f>
        <v>307.94699176410495</v>
      </c>
      <c r="AO179" s="59">
        <f t="shared" si="144"/>
        <v>314.22983137038875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13.960669136658975</v>
      </c>
      <c r="AV179" s="21">
        <f>EXP(-LN(2)/25)*AV178+(1-EXP(-LN(2)/25))/(LN(2)/25)*Calculateur!AQ179*Calculateur!AS179*VLOOKUP('Données projet'!$B$10,Paramètres!$A$1:$I$89,3,0)*0.475*44/12</f>
        <v>1.942806718421372</v>
      </c>
      <c r="AW179" s="21">
        <f>EXP(-LN(2)/2)*AW178+(1-EXP(-LN(2)/2))/(LN(2)/2)*AQ179*AT179*VLOOKUP('Données projet'!$B$10,Paramètres!$A$1:$I$89,3,0)*0.475*44/12</f>
        <v>2.0803304503822469E-16</v>
      </c>
      <c r="AX179" s="21">
        <f t="shared" si="166"/>
        <v>15.903475855080346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346.55780187946573</v>
      </c>
      <c r="BJ179" s="59">
        <f t="shared" si="146"/>
        <v>297.28652094809149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38.327853327983071</v>
      </c>
      <c r="BQ179" s="21">
        <f>EXP(-LN(2)/25)*BQ178+(1-EXP(-LN(2)/25))/(LN(2)/25)*Calculateur!BL179*Calculateur!BN179*VLOOKUP('Données projet'!$B$11,Paramètres!$A$1:$I$89,3,0)*0.475*44/12</f>
        <v>6.642624954593038</v>
      </c>
      <c r="BR179" s="21">
        <f>EXP(-LN(2)/2)*BR178+(1-EXP(-LN(2)/2))/(LN(2)/2)*BL179*BO179*VLOOKUP('Données projet'!$B$11,Paramètres!$A$1:$I$89,3,0)*0.475*44/12</f>
        <v>1.9895008442950169E-10</v>
      </c>
      <c r="BS179" s="22">
        <f t="shared" si="169"/>
        <v>44.970478282775062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5.6843418860808015E-13</v>
      </c>
      <c r="BZ179" s="13">
        <f>BY179*VLOOKUP('Données projet'!$B$12,Paramètres!$A$1:$I$89,3,0)*VLOOKUP('Données projet'!$B$12,Paramètres!$A$1:$I$89,5,0)</f>
        <v>3.177547114319168E-13</v>
      </c>
      <c r="CA179" s="13">
        <f t="shared" si="170"/>
        <v>4.1725404435445377E-12</v>
      </c>
      <c r="CB179" s="20">
        <f t="shared" si="171"/>
        <v>7.820597394917325E-12</v>
      </c>
      <c r="CC179" s="59">
        <f t="shared" si="119"/>
        <v>291.81667786392273</v>
      </c>
      <c r="CD179" s="59">
        <f ca="1">AVERAGE(OFFSET($CC$3,0,0,'Données projet'!$E$12+1,1))-AVERAGE(OFFSET($H$3,0,0,'Données projet'!$E$12+1,1))</f>
        <v>394.00476121021177</v>
      </c>
      <c r="CE179" s="59">
        <f t="shared" si="148"/>
        <v>363.10016759175278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28.277984515792724</v>
      </c>
      <c r="CL179" s="21">
        <f>EXP(-LN(2)/25)*CL178+(1-EXP(-LN(2)/25))/(LN(2)/25)*Calculateur!CG179*Calculateur!CI179*VLOOKUP('Données projet'!$B$12,Paramètres!$A$1:$I$89,3,0)*0.475*44/12</f>
        <v>4.0621201413993147</v>
      </c>
      <c r="CM179" s="21">
        <f>EXP(-LN(2)/2)*CM178+(1-EXP(-LN(2)/2))/(LN(2)/2)*CG179*CJ179*VLOOKUP('Données projet'!$B$12,Paramètres!$A$1:$I$89,3,0)*0.475*44/12</f>
        <v>8.3827971589589444E-15</v>
      </c>
      <c r="CN179" s="22">
        <f t="shared" si="172"/>
        <v>32.340104657192043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69.586366690158599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3">
        <f>'Scénario référence'!$B$16*5+'Scénario référence'!$B$17*0+'Scénario référence'!$B$18*5</f>
        <v>1.7999999999999998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6.5999999999999988</v>
      </c>
      <c r="H180" s="67">
        <f t="shared" si="110"/>
        <v>230.26666666666665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1047.4984885234319</v>
      </c>
      <c r="S180" s="59">
        <f ca="1">AVERAGE(OFFSET($R$3,0,0,'Données projet'!$E$9+1,1))-AVERAGE(OFFSET($H$3,0,0,'Données projet'!$E$9+1,1))</f>
        <v>652.18744712713965</v>
      </c>
      <c r="T180" s="59">
        <f t="shared" si="142"/>
        <v>288.65635870281199</v>
      </c>
      <c r="U180" s="15">
        <f>IF(ISNA(VLOOKUP(A180,'Données projet'!$A$35:$I$55,3,0)),0,VLOOKUP(A180,'Données projet'!$A$35:$I$55,3,0))</f>
        <v>18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291.84298844557759</v>
      </c>
      <c r="AN180" s="59">
        <f ca="1">AVERAGE(OFFSET($AM$3,0,0,'Données projet'!$E$10+1,1))-AVERAGE(OFFSET($H$3,0,0,'Données projet'!$E$10+1,1))</f>
        <v>307.94699176410495</v>
      </c>
      <c r="AO180" s="59">
        <f t="shared" si="144"/>
        <v>314.22983137038875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13.686908930056463</v>
      </c>
      <c r="AV180" s="21">
        <f>EXP(-LN(2)/25)*AV179+(1-EXP(-LN(2)/25))/(LN(2)/25)*Calculateur!AQ180*Calculateur!AS180*VLOOKUP('Données projet'!$B$10,Paramètres!$A$1:$I$89,3,0)*0.475*44/12</f>
        <v>1.8896805665383747</v>
      </c>
      <c r="AW180" s="21">
        <f>EXP(-LN(2)/2)*AW179+(1-EXP(-LN(2)/2))/(LN(2)/2)*AQ180*AT180*VLOOKUP('Données projet'!$B$10,Paramètres!$A$1:$I$89,3,0)*0.475*44/12</f>
        <v>1.4710157685741513E-16</v>
      </c>
      <c r="AX180" s="21">
        <f t="shared" si="166"/>
        <v>15.576589496594838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346.55780187946573</v>
      </c>
      <c r="BJ180" s="59">
        <f t="shared" si="146"/>
        <v>297.28652094809149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37.576267501903502</v>
      </c>
      <c r="BQ180" s="21">
        <f>EXP(-LN(2)/25)*BQ179+(1-EXP(-LN(2)/25))/(LN(2)/25)*Calculateur!BL180*Calculateur!BN180*VLOOKUP('Données projet'!$B$11,Paramètres!$A$1:$I$89,3,0)*0.475*44/12</f>
        <v>6.4609820258892272</v>
      </c>
      <c r="BR180" s="21">
        <f>EXP(-LN(2)/2)*BR179+(1-EXP(-LN(2)/2))/(LN(2)/2)*BL180*BO180*VLOOKUP('Données projet'!$B$11,Paramètres!$A$1:$I$89,3,0)*0.475*44/12</f>
        <v>1.406789538177368E-10</v>
      </c>
      <c r="BS180" s="22">
        <f t="shared" si="169"/>
        <v>44.037249527933412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5.6843418860808015E-13</v>
      </c>
      <c r="BZ180" s="13">
        <f>BY180*VLOOKUP('Données projet'!$B$12,Paramètres!$A$1:$I$89,3,0)*VLOOKUP('Données projet'!$B$12,Paramètres!$A$1:$I$89,5,0)</f>
        <v>3.177547114319168E-13</v>
      </c>
      <c r="CA180" s="13">
        <f t="shared" si="170"/>
        <v>4.1725404435445377E-12</v>
      </c>
      <c r="CB180" s="20">
        <f t="shared" si="171"/>
        <v>7.820597394917325E-12</v>
      </c>
      <c r="CC180" s="59">
        <f t="shared" si="119"/>
        <v>291.84298844558344</v>
      </c>
      <c r="CD180" s="59">
        <f ca="1">AVERAGE(OFFSET($CC$3,0,0,'Données projet'!$E$12+1,1))-AVERAGE(OFFSET($H$3,0,0,'Données projet'!$E$12+1,1))</f>
        <v>394.00476121021177</v>
      </c>
      <c r="CE180" s="59">
        <f t="shared" si="148"/>
        <v>363.10016759175278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27.723470487305498</v>
      </c>
      <c r="CL180" s="21">
        <f>EXP(-LN(2)/25)*CL179+(1-EXP(-LN(2)/25))/(LN(2)/25)*Calculateur!CG180*Calculateur!CI180*VLOOKUP('Données projet'!$B$12,Paramètres!$A$1:$I$89,3,0)*0.475*44/12</f>
        <v>3.9510412525151364</v>
      </c>
      <c r="CM180" s="21">
        <f>EXP(-LN(2)/2)*CM179+(1-EXP(-LN(2)/2))/(LN(2)/2)*CG180*CJ180*VLOOKUP('Données projet'!$B$12,Paramètres!$A$1:$I$89,3,0)*0.475*44/12</f>
        <v>5.9275327164111947E-15</v>
      </c>
      <c r="CN180" s="22">
        <f t="shared" si="172"/>
        <v>31.674511739820641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69.593542303338808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3">
        <f>'Scénario référence'!$B$16*5+'Scénario référence'!$B$17*0+'Scénario référence'!$B$18*5</f>
        <v>1.7999999999999998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6.5999999999999988</v>
      </c>
      <c r="H181" s="67">
        <f t="shared" si="110"/>
        <v>230.26666666666665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809.33005999338548</v>
      </c>
      <c r="S181" s="59">
        <f ca="1">AVERAGE(OFFSET($R$3,0,0,'Données projet'!$E$9+1,1))-AVERAGE(OFFSET($H$3,0,0,'Données projet'!$E$9+1,1))</f>
        <v>652.18744712713965</v>
      </c>
      <c r="T181" s="59">
        <f t="shared" si="142"/>
        <v>288.65635870281199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291.86884259746819</v>
      </c>
      <c r="AN181" s="59">
        <f ca="1">AVERAGE(OFFSET($AM$3,0,0,'Données projet'!$E$10+1,1))-AVERAGE(OFFSET($H$3,0,0,'Données projet'!$E$10+1,1))</f>
        <v>307.94699176410495</v>
      </c>
      <c r="AO181" s="59">
        <f t="shared" si="144"/>
        <v>314.22983137038875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13.418516994128188</v>
      </c>
      <c r="AV181" s="21">
        <f>EXP(-LN(2)/25)*AV180+(1-EXP(-LN(2)/25))/(LN(2)/25)*Calculateur!AQ181*Calculateur!AS181*VLOOKUP('Données projet'!$B$10,Paramètres!$A$1:$I$89,3,0)*0.475*44/12</f>
        <v>1.8380071520724008</v>
      </c>
      <c r="AW181" s="21">
        <f>EXP(-LN(2)/2)*AW180+(1-EXP(-LN(2)/2))/(LN(2)/2)*AQ181*AT181*VLOOKUP('Données projet'!$B$10,Paramètres!$A$1:$I$89,3,0)*0.475*44/12</f>
        <v>1.0401652251911235E-16</v>
      </c>
      <c r="AX181" s="21">
        <f t="shared" si="166"/>
        <v>15.256524146200588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346.55780187946573</v>
      </c>
      <c r="BJ181" s="59">
        <f t="shared" si="146"/>
        <v>297.28652094809149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36.839419815451258</v>
      </c>
      <c r="BQ181" s="21">
        <f>EXP(-LN(2)/25)*BQ180+(1-EXP(-LN(2)/25))/(LN(2)/25)*Calculateur!BL181*Calculateur!BN181*VLOOKUP('Données projet'!$B$11,Paramètres!$A$1:$I$89,3,0)*0.475*44/12</f>
        <v>6.2843061326230085</v>
      </c>
      <c r="BR181" s="21">
        <f>EXP(-LN(2)/2)*BR180+(1-EXP(-LN(2)/2))/(LN(2)/2)*BL181*BO181*VLOOKUP('Données projet'!$B$11,Paramètres!$A$1:$I$89,3,0)*0.475*44/12</f>
        <v>9.9475042214750843E-11</v>
      </c>
      <c r="BS181" s="22">
        <f t="shared" si="169"/>
        <v>43.123725948173742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5.6843418860808015E-13</v>
      </c>
      <c r="BZ181" s="13">
        <f>BY181*VLOOKUP('Données projet'!$B$12,Paramètres!$A$1:$I$89,3,0)*VLOOKUP('Données projet'!$B$12,Paramètres!$A$1:$I$89,5,0)</f>
        <v>3.177547114319168E-13</v>
      </c>
      <c r="CA181" s="13">
        <f t="shared" si="170"/>
        <v>4.1725404435445377E-12</v>
      </c>
      <c r="CB181" s="20">
        <f t="shared" si="171"/>
        <v>7.820597394917325E-12</v>
      </c>
      <c r="CC181" s="59">
        <f t="shared" si="119"/>
        <v>291.86884259747404</v>
      </c>
      <c r="CD181" s="59">
        <f ca="1">AVERAGE(OFFSET($CC$3,0,0,'Données projet'!$E$12+1,1))-AVERAGE(OFFSET($H$3,0,0,'Données projet'!$E$12+1,1))</f>
        <v>394.00476121021177</v>
      </c>
      <c r="CE181" s="59">
        <f t="shared" si="148"/>
        <v>363.10016759175278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27.179830140696744</v>
      </c>
      <c r="CL181" s="21">
        <f>EXP(-LN(2)/25)*CL180+(1-EXP(-LN(2)/25))/(LN(2)/25)*Calculateur!CG181*Calculateur!CI181*VLOOKUP('Données projet'!$B$12,Paramètres!$A$1:$I$89,3,0)*0.475*44/12</f>
        <v>3.8429998216888808</v>
      </c>
      <c r="CM181" s="21">
        <f>EXP(-LN(2)/2)*CM180+(1-EXP(-LN(2)/2))/(LN(2)/2)*CG181*CJ181*VLOOKUP('Données projet'!$B$12,Paramètres!$A$1:$I$89,3,0)*0.475*44/12</f>
        <v>4.1913985794794722E-15</v>
      </c>
      <c r="CN181" s="22">
        <f t="shared" si="172"/>
        <v>31.022829962385629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69.600593435672607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3">
        <f>'Scénario référence'!$B$16*5+'Scénario référence'!$B$17*0+'Scénario référence'!$B$18*5</f>
        <v>1.7999999999999998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6.5999999999999988</v>
      </c>
      <c r="H182" s="67">
        <f t="shared" si="110"/>
        <v>230.26666666666665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816.55517030111218</v>
      </c>
      <c r="S182" s="59">
        <f ca="1">AVERAGE(OFFSET($R$3,0,0,'Données projet'!$E$9+1,1))-AVERAGE(OFFSET($H$3,0,0,'Données projet'!$E$9+1,1))</f>
        <v>652.18744712713965</v>
      </c>
      <c r="T182" s="59">
        <f t="shared" si="142"/>
        <v>288.65635870281199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291.89424823762465</v>
      </c>
      <c r="AN182" s="59">
        <f ca="1">AVERAGE(OFFSET($AM$3,0,0,'Données projet'!$E$10+1,1))-AVERAGE(OFFSET($H$3,0,0,'Données projet'!$E$10+1,1))</f>
        <v>307.94699176410495</v>
      </c>
      <c r="AO182" s="59">
        <f t="shared" si="144"/>
        <v>314.22983137038875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13.155388060360551</v>
      </c>
      <c r="AV182" s="21">
        <f>EXP(-LN(2)/25)*AV181+(1-EXP(-LN(2)/25))/(LN(2)/25)*Calculateur!AQ182*Calculateur!AS182*VLOOKUP('Données projet'!$B$10,Paramètres!$A$1:$I$89,3,0)*0.475*44/12</f>
        <v>1.7877467498423858</v>
      </c>
      <c r="AW182" s="21">
        <f>EXP(-LN(2)/2)*AW181+(1-EXP(-LN(2)/2))/(LN(2)/2)*AQ182*AT182*VLOOKUP('Données projet'!$B$10,Paramètres!$A$1:$I$89,3,0)*0.475*44/12</f>
        <v>7.3550788428707566E-17</v>
      </c>
      <c r="AX182" s="21">
        <f t="shared" si="166"/>
        <v>14.943134810202936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346.55780187946573</v>
      </c>
      <c r="BJ182" s="59">
        <f t="shared" si="146"/>
        <v>297.28652094809149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36.117021262697634</v>
      </c>
      <c r="BQ182" s="21">
        <f>EXP(-LN(2)/25)*BQ181+(1-EXP(-LN(2)/25))/(LN(2)/25)*Calculateur!BL182*Calculateur!BN182*VLOOKUP('Données projet'!$B$11,Paramètres!$A$1:$I$89,3,0)*0.475*44/12</f>
        <v>6.1124614509491355</v>
      </c>
      <c r="BR182" s="21">
        <f>EXP(-LN(2)/2)*BR181+(1-EXP(-LN(2)/2))/(LN(2)/2)*BL182*BO182*VLOOKUP('Données projet'!$B$11,Paramètres!$A$1:$I$89,3,0)*0.475*44/12</f>
        <v>7.0339476908868402E-11</v>
      </c>
      <c r="BS182" s="22">
        <f t="shared" si="169"/>
        <v>42.229482713717104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5.6843418860808015E-13</v>
      </c>
      <c r="BZ182" s="13">
        <f>BY182*VLOOKUP('Données projet'!$B$12,Paramètres!$A$1:$I$89,3,0)*VLOOKUP('Données projet'!$B$12,Paramètres!$A$1:$I$89,5,0)</f>
        <v>3.177547114319168E-13</v>
      </c>
      <c r="CA182" s="13">
        <f t="shared" si="170"/>
        <v>4.1725404435445377E-12</v>
      </c>
      <c r="CB182" s="20">
        <f t="shared" si="171"/>
        <v>7.820597394917325E-12</v>
      </c>
      <c r="CC182" s="59">
        <f t="shared" si="119"/>
        <v>291.89424823763051</v>
      </c>
      <c r="CD182" s="59">
        <f ca="1">AVERAGE(OFFSET($CC$3,0,0,'Données projet'!$E$12+1,1))-AVERAGE(OFFSET($H$3,0,0,'Données projet'!$E$12+1,1))</f>
        <v>394.00476121021177</v>
      </c>
      <c r="CE182" s="59">
        <f t="shared" si="148"/>
        <v>363.10016759175278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26.64685024969712</v>
      </c>
      <c r="CL182" s="21">
        <f>EXP(-LN(2)/25)*CL181+(1-EXP(-LN(2)/25))/(LN(2)/25)*Calculateur!CG182*Calculateur!CI182*VLOOKUP('Données projet'!$B$12,Paramètres!$A$1:$I$89,3,0)*0.475*44/12</f>
        <v>3.7379127894702209</v>
      </c>
      <c r="CM182" s="21">
        <f>EXP(-LN(2)/2)*CM181+(1-EXP(-LN(2)/2))/(LN(2)/2)*CG182*CJ182*VLOOKUP('Données projet'!$B$12,Paramètres!$A$1:$I$89,3,0)*0.475*44/12</f>
        <v>2.9637663582055973E-15</v>
      </c>
      <c r="CN182" s="22">
        <f t="shared" si="172"/>
        <v>30.384763039167346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69.60752224662437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3">
        <f>'Scénario référence'!$B$16*5+'Scénario référence'!$B$17*0+'Scénario référence'!$B$18*5</f>
        <v>1.7999999999999998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6.5999999999999988</v>
      </c>
      <c r="H183" s="67">
        <f t="shared" si="110"/>
        <v>230.26666666666665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823.77775864581758</v>
      </c>
      <c r="S183" s="59">
        <f ca="1">AVERAGE(OFFSET($R$3,0,0,'Données projet'!$E$9+1,1))-AVERAGE(OFFSET($H$3,0,0,'Données projet'!$E$9+1,1))</f>
        <v>652.18744712713965</v>
      </c>
      <c r="T183" s="59">
        <f t="shared" si="142"/>
        <v>288.65635870281199</v>
      </c>
      <c r="U183" s="15">
        <f>IF(ISNA(VLOOKUP(A183,'Données projet'!$A$35:$I$55,3,0)),0,VLOOKUP(A183,'Données projet'!$A$35:$I$55,3,0))</f>
        <v>19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291.919213146723</v>
      </c>
      <c r="AN183" s="59">
        <f ca="1">AVERAGE(OFFSET($AM$3,0,0,'Données projet'!$E$10+1,1))-AVERAGE(OFFSET($H$3,0,0,'Données projet'!$E$10+1,1))</f>
        <v>307.94699176410495</v>
      </c>
      <c r="AO183" s="59">
        <f t="shared" si="144"/>
        <v>314.22983137038875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12.897418924491294</v>
      </c>
      <c r="AV183" s="21">
        <f>EXP(-LN(2)/25)*AV182+(1-EXP(-LN(2)/25))/(LN(2)/25)*Calculateur!AQ183*Calculateur!AS183*VLOOKUP('Données projet'!$B$10,Paramètres!$A$1:$I$89,3,0)*0.475*44/12</f>
        <v>1.7388607209544302</v>
      </c>
      <c r="AW183" s="21">
        <f>EXP(-LN(2)/2)*AW182+(1-EXP(-LN(2)/2))/(LN(2)/2)*AQ183*AT183*VLOOKUP('Données projet'!$B$10,Paramètres!$A$1:$I$89,3,0)*0.475*44/12</f>
        <v>5.2008261259556173E-17</v>
      </c>
      <c r="AX183" s="21">
        <f t="shared" si="166"/>
        <v>14.636279645445725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346.55780187946573</v>
      </c>
      <c r="BJ183" s="59">
        <f t="shared" si="146"/>
        <v>297.28652094809149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35.4087885049439</v>
      </c>
      <c r="BQ183" s="21">
        <f>EXP(-LN(2)/25)*BQ182+(1-EXP(-LN(2)/25))/(LN(2)/25)*Calculateur!BL183*Calculateur!BN183*VLOOKUP('Données projet'!$B$11,Paramètres!$A$1:$I$89,3,0)*0.475*44/12</f>
        <v>5.9453158711325536</v>
      </c>
      <c r="BR183" s="21">
        <f>EXP(-LN(2)/2)*BR182+(1-EXP(-LN(2)/2))/(LN(2)/2)*BL183*BO183*VLOOKUP('Données projet'!$B$11,Paramètres!$A$1:$I$89,3,0)*0.475*44/12</f>
        <v>4.9737521107375422E-11</v>
      </c>
      <c r="BS183" s="22">
        <f t="shared" si="169"/>
        <v>41.354104376126188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5.6843418860808015E-13</v>
      </c>
      <c r="BZ183" s="13">
        <f>BY183*VLOOKUP('Données projet'!$B$12,Paramètres!$A$1:$I$89,3,0)*VLOOKUP('Données projet'!$B$12,Paramètres!$A$1:$I$89,5,0)</f>
        <v>3.177547114319168E-13</v>
      </c>
      <c r="CA183" s="13">
        <f t="shared" si="170"/>
        <v>4.1725404435445377E-12</v>
      </c>
      <c r="CB183" s="20">
        <f t="shared" si="171"/>
        <v>7.820597394917325E-12</v>
      </c>
      <c r="CC183" s="59">
        <f t="shared" si="119"/>
        <v>291.91921314672885</v>
      </c>
      <c r="CD183" s="59">
        <f ca="1">AVERAGE(OFFSET($CC$3,0,0,'Données projet'!$E$12+1,1))-AVERAGE(OFFSET($H$3,0,0,'Données projet'!$E$12+1,1))</f>
        <v>394.00476121021177</v>
      </c>
      <c r="CE183" s="59">
        <f t="shared" si="148"/>
        <v>363.10016759175278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26.124321769274363</v>
      </c>
      <c r="CL183" s="21">
        <f>EXP(-LN(2)/25)*CL182+(1-EXP(-LN(2)/25))/(LN(2)/25)*Calculateur!CG183*Calculateur!CI183*VLOOKUP('Données projet'!$B$12,Paramètres!$A$1:$I$89,3,0)*0.475*44/12</f>
        <v>3.6356993676738671</v>
      </c>
      <c r="CM183" s="21">
        <f>EXP(-LN(2)/2)*CM182+(1-EXP(-LN(2)/2))/(LN(2)/2)*CG183*CJ183*VLOOKUP('Données projet'!$B$12,Paramètres!$A$1:$I$89,3,0)*0.475*44/12</f>
        <v>2.0956992897397361E-15</v>
      </c>
      <c r="CN183" s="22">
        <f t="shared" si="172"/>
        <v>29.760021136948236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69.614330858196638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3">
        <f>'Scénario référence'!$B$16*5+'Scénario référence'!$B$17*0+'Scénario référence'!$B$18*5</f>
        <v>1.7999999999999998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6.5999999999999988</v>
      </c>
      <c r="H184" s="67">
        <f t="shared" si="110"/>
        <v>230.26666666666665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661.139889213792</v>
      </c>
      <c r="S184" s="59">
        <f ca="1">AVERAGE(OFFSET($R$3,0,0,'Données projet'!$E$9+1,1))-AVERAGE(OFFSET($H$3,0,0,'Données projet'!$E$9+1,1))</f>
        <v>652.18744712713965</v>
      </c>
      <c r="T184" s="59">
        <f t="shared" si="142"/>
        <v>288.65635870281199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291.94374497046164</v>
      </c>
      <c r="AN184" s="59">
        <f ca="1">AVERAGE(OFFSET($AM$3,0,0,'Données projet'!$E$10+1,1))-AVERAGE(OFFSET($H$3,0,0,'Données projet'!$E$10+1,1))</f>
        <v>307.94699176410495</v>
      </c>
      <c r="AO184" s="59">
        <f t="shared" si="144"/>
        <v>314.22983137038875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12.644508406030797</v>
      </c>
      <c r="AV184" s="21">
        <f>EXP(-LN(2)/25)*AV183+(1-EXP(-LN(2)/25))/(LN(2)/25)*Calculateur!AQ184*Calculateur!AS184*VLOOKUP('Données projet'!$B$10,Paramètres!$A$1:$I$89,3,0)*0.475*44/12</f>
        <v>1.6913114830972202</v>
      </c>
      <c r="AW184" s="21">
        <f>EXP(-LN(2)/2)*AW183+(1-EXP(-LN(2)/2))/(LN(2)/2)*AQ184*AT184*VLOOKUP('Données projet'!$B$10,Paramètres!$A$1:$I$89,3,0)*0.475*44/12</f>
        <v>3.6775394214353783E-17</v>
      </c>
      <c r="AX184" s="21">
        <f t="shared" si="166"/>
        <v>14.335819889128016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346.55780187946573</v>
      </c>
      <c r="BJ184" s="59">
        <f t="shared" si="146"/>
        <v>297.28652094809149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34.714443759590388</v>
      </c>
      <c r="BQ184" s="21">
        <f>EXP(-LN(2)/25)*BQ183+(1-EXP(-LN(2)/25))/(LN(2)/25)*Calculateur!BL184*Calculateur!BN184*VLOOKUP('Données projet'!$B$11,Paramètres!$A$1:$I$89,3,0)*0.475*44/12</f>
        <v>5.7827408959858602</v>
      </c>
      <c r="BR184" s="21">
        <f>EXP(-LN(2)/2)*BR183+(1-EXP(-LN(2)/2))/(LN(2)/2)*BL184*BO184*VLOOKUP('Données projet'!$B$11,Paramètres!$A$1:$I$89,3,0)*0.475*44/12</f>
        <v>3.5169738454434201E-11</v>
      </c>
      <c r="BS184" s="22">
        <f t="shared" si="169"/>
        <v>40.49718465561142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5.6843418860808015E-13</v>
      </c>
      <c r="BZ184" s="13">
        <f>BY184*VLOOKUP('Données projet'!$B$12,Paramètres!$A$1:$I$89,3,0)*VLOOKUP('Données projet'!$B$12,Paramètres!$A$1:$I$89,5,0)</f>
        <v>3.177547114319168E-13</v>
      </c>
      <c r="CA184" s="13">
        <f t="shared" si="170"/>
        <v>4.1725404435445377E-12</v>
      </c>
      <c r="CB184" s="20">
        <f t="shared" si="171"/>
        <v>7.820597394917325E-12</v>
      </c>
      <c r="CC184" s="59">
        <f t="shared" si="119"/>
        <v>291.94374497046749</v>
      </c>
      <c r="CD184" s="59">
        <f ca="1">AVERAGE(OFFSET($CC$3,0,0,'Données projet'!$E$12+1,1))-AVERAGE(OFFSET($H$3,0,0,'Données projet'!$E$12+1,1))</f>
        <v>394.00476121021177</v>
      </c>
      <c r="CE184" s="59">
        <f t="shared" si="148"/>
        <v>363.10016759175278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25.612039753641795</v>
      </c>
      <c r="CL184" s="21">
        <f>EXP(-LN(2)/25)*CL183+(1-EXP(-LN(2)/25))/(LN(2)/25)*Calculateur!CG184*Calculateur!CI184*VLOOKUP('Données projet'!$B$12,Paramètres!$A$1:$I$89,3,0)*0.475*44/12</f>
        <v>3.536280977271705</v>
      </c>
      <c r="CM184" s="21">
        <f>EXP(-LN(2)/2)*CM183+(1-EXP(-LN(2)/2))/(LN(2)/2)*CG184*CJ184*VLOOKUP('Données projet'!$B$12,Paramètres!$A$1:$I$89,3,0)*0.475*44/12</f>
        <v>1.4818831791027987E-15</v>
      </c>
      <c r="CN184" s="22">
        <f t="shared" si="172"/>
        <v>29.1483207309135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69.621021355579899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3">
        <f>'Scénario référence'!$B$16*5+'Scénario référence'!$B$17*0+'Scénario référence'!$B$18*5</f>
        <v>1.7999999999999998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6.5999999999999988</v>
      </c>
      <c r="H185" s="67">
        <f t="shared" si="110"/>
        <v>230.26666666666665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665.58730618666777</v>
      </c>
      <c r="S185" s="59">
        <f ca="1">AVERAGE(OFFSET($R$3,0,0,'Données projet'!$E$9+1,1))-AVERAGE(OFFSET($H$3,0,0,'Données projet'!$E$9+1,1))</f>
        <v>652.18744712713965</v>
      </c>
      <c r="T185" s="59">
        <f t="shared" si="142"/>
        <v>288.65635870281199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291.96785122190335</v>
      </c>
      <c r="AN185" s="59">
        <f ca="1">AVERAGE(OFFSET($AM$3,0,0,'Données projet'!$E$10+1,1))-AVERAGE(OFFSET($H$3,0,0,'Données projet'!$E$10+1,1))</f>
        <v>307.94699176410495</v>
      </c>
      <c r="AO185" s="59">
        <f t="shared" si="144"/>
        <v>314.22983137038875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12.396557308577126</v>
      </c>
      <c r="AV185" s="21">
        <f>EXP(-LN(2)/25)*AV184+(1-EXP(-LN(2)/25))/(LN(2)/25)*Calculateur!AQ185*Calculateur!AS185*VLOOKUP('Données projet'!$B$10,Paramètres!$A$1:$I$89,3,0)*0.475*44/12</f>
        <v>1.6450624816497215</v>
      </c>
      <c r="AW185" s="21">
        <f>EXP(-LN(2)/2)*AW184+(1-EXP(-LN(2)/2))/(LN(2)/2)*AQ185*AT185*VLOOKUP('Données projet'!$B$10,Paramètres!$A$1:$I$89,3,0)*0.475*44/12</f>
        <v>2.6004130629778087E-17</v>
      </c>
      <c r="AX185" s="21">
        <f t="shared" si="166"/>
        <v>14.041619790226848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346.55780187946573</v>
      </c>
      <c r="BJ185" s="59">
        <f t="shared" si="146"/>
        <v>297.28652094809149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34.033714691184784</v>
      </c>
      <c r="BQ185" s="21">
        <f>EXP(-LN(2)/25)*BQ184+(1-EXP(-LN(2)/25))/(LN(2)/25)*Calculateur!BL185*Calculateur!BN185*VLOOKUP('Données projet'!$B$11,Paramètres!$A$1:$I$89,3,0)*0.475*44/12</f>
        <v>5.6246115420839997</v>
      </c>
      <c r="BR185" s="21">
        <f>EXP(-LN(2)/2)*BR184+(1-EXP(-LN(2)/2))/(LN(2)/2)*BL185*BO185*VLOOKUP('Données projet'!$B$11,Paramètres!$A$1:$I$89,3,0)*0.475*44/12</f>
        <v>2.4868760553687711E-11</v>
      </c>
      <c r="BS185" s="22">
        <f t="shared" si="169"/>
        <v>39.65832623329365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5.6843418860808015E-13</v>
      </c>
      <c r="BZ185" s="13">
        <f>BY185*VLOOKUP('Données projet'!$B$12,Paramètres!$A$1:$I$89,3,0)*VLOOKUP('Données projet'!$B$12,Paramètres!$A$1:$I$89,5,0)</f>
        <v>3.177547114319168E-13</v>
      </c>
      <c r="CA185" s="13">
        <f t="shared" si="170"/>
        <v>4.1725404435445377E-12</v>
      </c>
      <c r="CB185" s="20">
        <f t="shared" si="171"/>
        <v>7.820597394917325E-12</v>
      </c>
      <c r="CC185" s="59">
        <f t="shared" si="119"/>
        <v>291.9678512219092</v>
      </c>
      <c r="CD185" s="59">
        <f ca="1">AVERAGE(OFFSET($CC$3,0,0,'Données projet'!$E$12+1,1))-AVERAGE(OFFSET($H$3,0,0,'Données projet'!$E$12+1,1))</f>
        <v>394.00476121021177</v>
      </c>
      <c r="CE185" s="59">
        <f t="shared" si="148"/>
        <v>363.10016759175278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25.109803275874604</v>
      </c>
      <c r="CL185" s="21">
        <f>EXP(-LN(2)/25)*CL184+(1-EXP(-LN(2)/25))/(LN(2)/25)*Calculateur!CG185*Calculateur!CI185*VLOOKUP('Données projet'!$B$12,Paramètres!$A$1:$I$89,3,0)*0.475*44/12</f>
        <v>3.4395811879832761</v>
      </c>
      <c r="CM185" s="21">
        <f>EXP(-LN(2)/2)*CM184+(1-EXP(-LN(2)/2))/(LN(2)/2)*CG185*CJ185*VLOOKUP('Données projet'!$B$12,Paramètres!$A$1:$I$89,3,0)*0.475*44/12</f>
        <v>1.047849644869868E-15</v>
      </c>
      <c r="CN185" s="22">
        <f t="shared" si="172"/>
        <v>28.54938446385788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69.627595787791279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3">
        <f>'Scénario référence'!$B$16*5+'Scénario référence'!$B$17*0+'Scénario référence'!$B$18*5</f>
        <v>1.7999999999999998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6.5999999999999988</v>
      </c>
      <c r="H186" s="67">
        <f t="shared" si="110"/>
        <v>230.26666666666665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670.03316370196717</v>
      </c>
      <c r="S186" s="59">
        <f ca="1">AVERAGE(OFFSET($R$3,0,0,'Données projet'!$E$9+1,1))-AVERAGE(OFFSET($H$3,0,0,'Données projet'!$E$9+1,1))</f>
        <v>652.18744712713965</v>
      </c>
      <c r="T186" s="59">
        <f t="shared" si="142"/>
        <v>288.65635870281199</v>
      </c>
      <c r="U186" s="15">
        <f>IF(ISNA(VLOOKUP(A186,'Données projet'!$A$35:$I$55,3,0)),0,VLOOKUP(A186,'Données projet'!$A$35:$I$55,3,0))</f>
        <v>20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291.99153928377604</v>
      </c>
      <c r="AN186" s="59">
        <f ca="1">AVERAGE(OFFSET($AM$3,0,0,'Données projet'!$E$10+1,1))-AVERAGE(OFFSET($H$3,0,0,'Données projet'!$E$10+1,1))</f>
        <v>307.94699176410495</v>
      </c>
      <c r="AO186" s="59">
        <f t="shared" si="144"/>
        <v>314.22983137038875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12.153468380909285</v>
      </c>
      <c r="AV186" s="21">
        <f>EXP(-LN(2)/25)*AV185+(1-EXP(-LN(2)/25))/(LN(2)/25)*Calculateur!AQ186*Calculateur!AS186*VLOOKUP('Données projet'!$B$10,Paramètres!$A$1:$I$89,3,0)*0.475*44/12</f>
        <v>1.6000781615789337</v>
      </c>
      <c r="AW186" s="21">
        <f>EXP(-LN(2)/2)*AW185+(1-EXP(-LN(2)/2))/(LN(2)/2)*AQ186*AT186*VLOOKUP('Données projet'!$B$10,Paramètres!$A$1:$I$89,3,0)*0.475*44/12</f>
        <v>1.8387697107176892E-17</v>
      </c>
      <c r="AX186" s="21">
        <f t="shared" si="166"/>
        <v>13.753546542488218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346.55780187946573</v>
      </c>
      <c r="BJ186" s="59">
        <f t="shared" si="146"/>
        <v>297.28652094809149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33.36633430460688</v>
      </c>
      <c r="BQ186" s="21">
        <f>EXP(-LN(2)/25)*BQ185+(1-EXP(-LN(2)/25))/(LN(2)/25)*Calculateur!BL186*Calculateur!BN186*VLOOKUP('Données projet'!$B$11,Paramètres!$A$1:$I$89,3,0)*0.475*44/12</f>
        <v>5.4708062436802471</v>
      </c>
      <c r="BR186" s="21">
        <f>EXP(-LN(2)/2)*BR185+(1-EXP(-LN(2)/2))/(LN(2)/2)*BL186*BO186*VLOOKUP('Données projet'!$B$11,Paramètres!$A$1:$I$89,3,0)*0.475*44/12</f>
        <v>1.75848692272171E-11</v>
      </c>
      <c r="BS186" s="22">
        <f t="shared" si="169"/>
        <v>38.83714054830471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5.6843418860808015E-13</v>
      </c>
      <c r="BZ186" s="13">
        <f>BY186*VLOOKUP('Données projet'!$B$12,Paramètres!$A$1:$I$89,3,0)*VLOOKUP('Données projet'!$B$12,Paramètres!$A$1:$I$89,5,0)</f>
        <v>3.177547114319168E-13</v>
      </c>
      <c r="CA186" s="13">
        <f t="shared" si="170"/>
        <v>4.1725404435445377E-12</v>
      </c>
      <c r="CB186" s="20">
        <f t="shared" si="171"/>
        <v>7.820597394917325E-12</v>
      </c>
      <c r="CC186" s="59">
        <f t="shared" si="119"/>
        <v>291.99153928378189</v>
      </c>
      <c r="CD186" s="59">
        <f ca="1">AVERAGE(OFFSET($CC$3,0,0,'Données projet'!$E$12+1,1))-AVERAGE(OFFSET($H$3,0,0,'Données projet'!$E$12+1,1))</f>
        <v>394.00476121021177</v>
      </c>
      <c r="CE186" s="59">
        <f t="shared" si="148"/>
        <v>363.10016759175278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24.617415349102426</v>
      </c>
      <c r="CL186" s="21">
        <f>EXP(-LN(2)/25)*CL185+(1-EXP(-LN(2)/25))/(LN(2)/25)*Calculateur!CG186*Calculateur!CI186*VLOOKUP('Données projet'!$B$12,Paramètres!$A$1:$I$89,3,0)*0.475*44/12</f>
        <v>3.3455256595181599</v>
      </c>
      <c r="CM186" s="21">
        <f>EXP(-LN(2)/2)*CM185+(1-EXP(-LN(2)/2))/(LN(2)/2)*CG186*CJ186*VLOOKUP('Données projet'!$B$12,Paramètres!$A$1:$I$89,3,0)*0.475*44/12</f>
        <v>7.4094158955139933E-16</v>
      </c>
      <c r="CN186" s="22">
        <f t="shared" si="172"/>
        <v>27.962941008620586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69.63405616830201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3">
        <f>'Scénario référence'!$B$16*5+'Scénario référence'!$B$17*0+'Scénario référence'!$B$18*5</f>
        <v>1.7999999999999998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6.5999999999999988</v>
      </c>
      <c r="H187" s="67">
        <f t="shared" si="110"/>
        <v>230.26666666666665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292.01481641074798</v>
      </c>
      <c r="S187" s="59">
        <f ca="1">AVERAGE(OFFSET($R$3,0,0,'Données projet'!$E$9+1,1))-AVERAGE(OFFSET($H$3,0,0,'Données projet'!$E$9+1,1))</f>
        <v>652.18744712713965</v>
      </c>
      <c r="T187" s="59">
        <f t="shared" si="142"/>
        <v>288.65635870281199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292.01481641073377</v>
      </c>
      <c r="AN187" s="59">
        <f ca="1">AVERAGE(OFFSET($AM$3,0,0,'Données projet'!$E$10+1,1))-AVERAGE(OFFSET($H$3,0,0,'Données projet'!$E$10+1,1))</f>
        <v>307.94699176410495</v>
      </c>
      <c r="AO187" s="59">
        <f t="shared" si="144"/>
        <v>314.22983137038875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11.915146278843405</v>
      </c>
      <c r="AV187" s="21">
        <f>EXP(-LN(2)/25)*AV186+(1-EXP(-LN(2)/25))/(LN(2)/25)*Calculateur!AQ187*Calculateur!AS187*VLOOKUP('Données projet'!$B$10,Paramètres!$A$1:$I$89,3,0)*0.475*44/12</f>
        <v>1.5563239401061042</v>
      </c>
      <c r="AW187" s="21">
        <f>EXP(-LN(2)/2)*AW186+(1-EXP(-LN(2)/2))/(LN(2)/2)*AQ187*AT187*VLOOKUP('Données projet'!$B$10,Paramètres!$A$1:$I$89,3,0)*0.475*44/12</f>
        <v>1.3002065314889043E-17</v>
      </c>
      <c r="AX187" s="21">
        <f t="shared" si="166"/>
        <v>13.471470218949509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346.55780187946573</v>
      </c>
      <c r="BJ187" s="59">
        <f t="shared" si="146"/>
        <v>297.28652094809149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32.712040840347925</v>
      </c>
      <c r="BQ187" s="21">
        <f>EXP(-LN(2)/25)*BQ186+(1-EXP(-LN(2)/25))/(LN(2)/25)*Calculateur!BL187*Calculateur!BN187*VLOOKUP('Données projet'!$B$11,Paramètres!$A$1:$I$89,3,0)*0.475*44/12</f>
        <v>5.3212067592496144</v>
      </c>
      <c r="BR187" s="21">
        <f>EXP(-LN(2)/2)*BR186+(1-EXP(-LN(2)/2))/(LN(2)/2)*BL187*BO187*VLOOKUP('Données projet'!$B$11,Paramètres!$A$1:$I$89,3,0)*0.475*44/12</f>
        <v>1.2434380276843855E-11</v>
      </c>
      <c r="BS187" s="22">
        <f t="shared" si="169"/>
        <v>38.033247599609972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5.6843418860808015E-13</v>
      </c>
      <c r="BZ187" s="13">
        <f>BY187*VLOOKUP('Données projet'!$B$12,Paramètres!$A$1:$I$89,3,0)*VLOOKUP('Données projet'!$B$12,Paramètres!$A$1:$I$89,5,0)</f>
        <v>3.177547114319168E-13</v>
      </c>
      <c r="CA187" s="13">
        <f t="shared" si="170"/>
        <v>4.1725404435445377E-12</v>
      </c>
      <c r="CB187" s="20">
        <f t="shared" si="171"/>
        <v>7.820597394917325E-12</v>
      </c>
      <c r="CC187" s="59">
        <f t="shared" si="119"/>
        <v>292.01481641073963</v>
      </c>
      <c r="CD187" s="59">
        <f ca="1">AVERAGE(OFFSET($CC$3,0,0,'Données projet'!$E$12+1,1))-AVERAGE(OFFSET($H$3,0,0,'Données projet'!$E$12+1,1))</f>
        <v>394.00476121021177</v>
      </c>
      <c r="CE187" s="59">
        <f t="shared" si="148"/>
        <v>363.10016759175278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24.13468284924727</v>
      </c>
      <c r="CL187" s="21">
        <f>EXP(-LN(2)/25)*CL186+(1-EXP(-LN(2)/25))/(LN(2)/25)*Calculateur!CG187*Calculateur!CI187*VLOOKUP('Données projet'!$B$12,Paramètres!$A$1:$I$89,3,0)*0.475*44/12</f>
        <v>3.2540420844250879</v>
      </c>
      <c r="CM187" s="21">
        <f>EXP(-LN(2)/2)*CM186+(1-EXP(-LN(2)/2))/(LN(2)/2)*CG187*CJ187*VLOOKUP('Données projet'!$B$12,Paramètres!$A$1:$I$89,3,0)*0.475*44/12</f>
        <v>5.2392482243493402E-16</v>
      </c>
      <c r="CN187" s="22">
        <f t="shared" si="172"/>
        <v>27.388724933672357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69.640404475654123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3">
        <f>'Scénario référence'!$B$16*5+'Scénario référence'!$B$17*0+'Scénario référence'!$B$18*5</f>
        <v>1.7999999999999998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6.5999999999999988</v>
      </c>
      <c r="H188" s="67">
        <f t="shared" si="110"/>
        <v>230.26666666666665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292.03768973159288</v>
      </c>
      <c r="S188" s="59">
        <f ca="1">AVERAGE(OFFSET($R$3,0,0,'Données projet'!$E$9+1,1))-AVERAGE(OFFSET($H$3,0,0,'Données projet'!$E$9+1,1))</f>
        <v>652.18744712713965</v>
      </c>
      <c r="T188" s="59">
        <f t="shared" si="142"/>
        <v>288.65635870281199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292.03768973157867</v>
      </c>
      <c r="AN188" s="59">
        <f ca="1">AVERAGE(OFFSET($AM$3,0,0,'Données projet'!$E$10+1,1))-AVERAGE(OFFSET($H$3,0,0,'Données projet'!$E$10+1,1))</f>
        <v>307.94699176410495</v>
      </c>
      <c r="AO188" s="59">
        <f t="shared" si="144"/>
        <v>314.22983137038875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11.681497527836909</v>
      </c>
      <c r="AV188" s="21">
        <f>EXP(-LN(2)/25)*AV187+(1-EXP(-LN(2)/25))/(LN(2)/25)*Calculateur!AQ188*Calculateur!AS188*VLOOKUP('Données projet'!$B$10,Paramètres!$A$1:$I$89,3,0)*0.475*44/12</f>
        <v>1.5137661801203839</v>
      </c>
      <c r="AW188" s="21">
        <f>EXP(-LN(2)/2)*AW187+(1-EXP(-LN(2)/2))/(LN(2)/2)*AQ188*AT188*VLOOKUP('Données projet'!$B$10,Paramètres!$A$1:$I$89,3,0)*0.475*44/12</f>
        <v>9.1938485535884458E-18</v>
      </c>
      <c r="AX188" s="21">
        <f t="shared" si="166"/>
        <v>13.195263707957292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346.55780187946573</v>
      </c>
      <c r="BJ188" s="59">
        <f t="shared" si="146"/>
        <v>297.28652094809149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32.070577671843481</v>
      </c>
      <c r="BQ188" s="21">
        <f>EXP(-LN(2)/25)*BQ187+(1-EXP(-LN(2)/25))/(LN(2)/25)*Calculateur!BL188*Calculateur!BN188*VLOOKUP('Données projet'!$B$11,Paramètres!$A$1:$I$89,3,0)*0.475*44/12</f>
        <v>5.1756980805878321</v>
      </c>
      <c r="BR188" s="21">
        <f>EXP(-LN(2)/2)*BR187+(1-EXP(-LN(2)/2))/(LN(2)/2)*BL188*BO188*VLOOKUP('Données projet'!$B$11,Paramètres!$A$1:$I$89,3,0)*0.475*44/12</f>
        <v>8.7924346136085502E-12</v>
      </c>
      <c r="BS188" s="22">
        <f t="shared" si="169"/>
        <v>37.246275752440106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5.6843418860808015E-13</v>
      </c>
      <c r="BZ188" s="13">
        <f>BY188*VLOOKUP('Données projet'!$B$12,Paramètres!$A$1:$I$89,3,0)*VLOOKUP('Données projet'!$B$12,Paramètres!$A$1:$I$89,5,0)</f>
        <v>3.177547114319168E-13</v>
      </c>
      <c r="CA188" s="13">
        <f t="shared" si="170"/>
        <v>4.1725404435445377E-12</v>
      </c>
      <c r="CB188" s="20">
        <f t="shared" si="171"/>
        <v>7.820597394917325E-12</v>
      </c>
      <c r="CC188" s="59">
        <f t="shared" si="119"/>
        <v>292.03768973158452</v>
      </c>
      <c r="CD188" s="59">
        <f ca="1">AVERAGE(OFFSET($CC$3,0,0,'Données projet'!$E$12+1,1))-AVERAGE(OFFSET($H$3,0,0,'Données projet'!$E$12+1,1))</f>
        <v>394.00476121021177</v>
      </c>
      <c r="CE188" s="59">
        <f t="shared" si="148"/>
        <v>363.10016759175278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23.661416439276518</v>
      </c>
      <c r="CL188" s="21">
        <f>EXP(-LN(2)/25)*CL187+(1-EXP(-LN(2)/25))/(LN(2)/25)*Calculateur!CG188*Calculateur!CI188*VLOOKUP('Données projet'!$B$12,Paramètres!$A$1:$I$89,3,0)*0.475*44/12</f>
        <v>3.1650601325038479</v>
      </c>
      <c r="CM188" s="21">
        <f>EXP(-LN(2)/2)*CM187+(1-EXP(-LN(2)/2))/(LN(2)/2)*CG188*CJ188*VLOOKUP('Données projet'!$B$12,Paramètres!$A$1:$I$89,3,0)*0.475*44/12</f>
        <v>3.7047079477569967E-16</v>
      </c>
      <c r="CN188" s="22">
        <f t="shared" si="172"/>
        <v>26.826476571780365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69.646642654066369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3">
        <f>'Scénario référence'!$B$16*5+'Scénario référence'!$B$17*0+'Scénario référence'!$B$18*5</f>
        <v>1.7999999999999998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6.5999999999999988</v>
      </c>
      <c r="H189" s="67">
        <f t="shared" si="110"/>
        <v>230.26666666666665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292.06016625145821</v>
      </c>
      <c r="S189" s="59">
        <f ca="1">AVERAGE(OFFSET($R$3,0,0,'Données projet'!$E$9+1,1))-AVERAGE(OFFSET($H$3,0,0,'Données projet'!$E$9+1,1))</f>
        <v>652.18744712713965</v>
      </c>
      <c r="T189" s="59">
        <f t="shared" si="142"/>
        <v>288.65635870281199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292.060166251444</v>
      </c>
      <c r="AN189" s="59">
        <f ca="1">AVERAGE(OFFSET($AM$3,0,0,'Données projet'!$E$10+1,1))-AVERAGE(OFFSET($H$3,0,0,'Données projet'!$E$10+1,1))</f>
        <v>307.94699176410495</v>
      </c>
      <c r="AO189" s="59">
        <f t="shared" si="144"/>
        <v>314.22983137038875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11.452430486325982</v>
      </c>
      <c r="AV189" s="21">
        <f>EXP(-LN(2)/25)*AV188+(1-EXP(-LN(2)/25))/(LN(2)/25)*Calculateur!AQ189*Calculateur!AS189*VLOOKUP('Données projet'!$B$10,Paramètres!$A$1:$I$89,3,0)*0.475*44/12</f>
        <v>1.4723721643194883</v>
      </c>
      <c r="AW189" s="21">
        <f>EXP(-LN(2)/2)*AW188+(1-EXP(-LN(2)/2))/(LN(2)/2)*AQ189*AT189*VLOOKUP('Données projet'!$B$10,Paramètres!$A$1:$I$89,3,0)*0.475*44/12</f>
        <v>6.5010326574445217E-18</v>
      </c>
      <c r="AX189" s="21">
        <f t="shared" si="166"/>
        <v>12.92480265064547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346.55780187946573</v>
      </c>
      <c r="BJ189" s="59">
        <f t="shared" si="146"/>
        <v>297.28652094809149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31.441693204819508</v>
      </c>
      <c r="BQ189" s="21">
        <f>EXP(-LN(2)/25)*BQ188+(1-EXP(-LN(2)/25))/(LN(2)/25)*Calculateur!BL189*Calculateur!BN189*VLOOKUP('Données projet'!$B$11,Paramètres!$A$1:$I$89,3,0)*0.475*44/12</f>
        <v>5.0341683443960248</v>
      </c>
      <c r="BR189" s="21">
        <f>EXP(-LN(2)/2)*BR188+(1-EXP(-LN(2)/2))/(LN(2)/2)*BL189*BO189*VLOOKUP('Données projet'!$B$11,Paramètres!$A$1:$I$89,3,0)*0.475*44/12</f>
        <v>6.2171901384219277E-12</v>
      </c>
      <c r="BS189" s="22">
        <f t="shared" si="169"/>
        <v>36.475861549221747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5.6843418860808015E-13</v>
      </c>
      <c r="BZ189" s="13">
        <f>BY189*VLOOKUP('Données projet'!$B$12,Paramètres!$A$1:$I$89,3,0)*VLOOKUP('Données projet'!$B$12,Paramètres!$A$1:$I$89,5,0)</f>
        <v>3.177547114319168E-13</v>
      </c>
      <c r="CA189" s="13">
        <f t="shared" si="170"/>
        <v>4.1725404435445377E-12</v>
      </c>
      <c r="CB189" s="20">
        <f t="shared" si="171"/>
        <v>7.820597394917325E-12</v>
      </c>
      <c r="CC189" s="59">
        <f t="shared" si="119"/>
        <v>292.06016625144986</v>
      </c>
      <c r="CD189" s="59">
        <f ca="1">AVERAGE(OFFSET($CC$3,0,0,'Données projet'!$E$12+1,1))-AVERAGE(OFFSET($H$3,0,0,'Données projet'!$E$12+1,1))</f>
        <v>394.00476121021177</v>
      </c>
      <c r="CE189" s="59">
        <f t="shared" si="148"/>
        <v>363.10016759175278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23.197430494941287</v>
      </c>
      <c r="CL189" s="21">
        <f>EXP(-LN(2)/25)*CL188+(1-EXP(-LN(2)/25))/(LN(2)/25)*Calculateur!CG189*Calculateur!CI189*VLOOKUP('Données projet'!$B$12,Paramètres!$A$1:$I$89,3,0)*0.475*44/12</f>
        <v>3.0785113967372517</v>
      </c>
      <c r="CM189" s="21">
        <f>EXP(-LN(2)/2)*CM188+(1-EXP(-LN(2)/2))/(LN(2)/2)*CG189*CJ189*VLOOKUP('Données projet'!$B$12,Paramètres!$A$1:$I$89,3,0)*0.475*44/12</f>
        <v>2.6196241121746701E-16</v>
      </c>
      <c r="CN189" s="22">
        <f t="shared" si="172"/>
        <v>26.275941891678539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69.652772614029644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3">
        <f>'Scénario référence'!$B$16*5+'Scénario référence'!$B$17*0+'Scénario référence'!$B$18*5</f>
        <v>1.7999999999999998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6.5999999999999988</v>
      </c>
      <c r="H190" s="67">
        <f t="shared" si="110"/>
        <v>230.26666666666665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292.08225285395383</v>
      </c>
      <c r="S190" s="59">
        <f ca="1">AVERAGE(OFFSET($R$3,0,0,'Données projet'!$E$9+1,1))-AVERAGE(OFFSET($H$3,0,0,'Données projet'!$E$9+1,1))</f>
        <v>652.18744712713965</v>
      </c>
      <c r="T190" s="59">
        <f t="shared" si="142"/>
        <v>288.65635870281199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292.08225285393962</v>
      </c>
      <c r="AN190" s="59">
        <f ca="1">AVERAGE(OFFSET($AM$3,0,0,'Données projet'!$E$10+1,1))-AVERAGE(OFFSET($H$3,0,0,'Données projet'!$E$10+1,1))</f>
        <v>307.94699176410495</v>
      </c>
      <c r="AO190" s="59">
        <f t="shared" si="144"/>
        <v>314.22983137038875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11.227855309781985</v>
      </c>
      <c r="AV190" s="21">
        <f>EXP(-LN(2)/25)*AV189+(1-EXP(-LN(2)/25))/(LN(2)/25)*Calculateur!AQ190*Calculateur!AS190*VLOOKUP('Données projet'!$B$10,Paramètres!$A$1:$I$89,3,0)*0.475*44/12</f>
        <v>1.4321100700574849</v>
      </c>
      <c r="AW190" s="21">
        <f>EXP(-LN(2)/2)*AW189+(1-EXP(-LN(2)/2))/(LN(2)/2)*AQ190*AT190*VLOOKUP('Données projet'!$B$10,Paramètres!$A$1:$I$89,3,0)*0.475*44/12</f>
        <v>4.5969242767942229E-18</v>
      </c>
      <c r="AX190" s="21">
        <f t="shared" si="166"/>
        <v>12.65996537983947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346.55780187946573</v>
      </c>
      <c r="BJ190" s="59">
        <f t="shared" si="146"/>
        <v>297.28652094809149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30.825140778612226</v>
      </c>
      <c r="BQ190" s="21">
        <f>EXP(-LN(2)/25)*BQ189+(1-EXP(-LN(2)/25))/(LN(2)/25)*Calculateur!BL190*Calculateur!BN190*VLOOKUP('Données projet'!$B$11,Paramètres!$A$1:$I$89,3,0)*0.475*44/12</f>
        <v>4.8965087462831081</v>
      </c>
      <c r="BR190" s="21">
        <f>EXP(-LN(2)/2)*BR189+(1-EXP(-LN(2)/2))/(LN(2)/2)*BL190*BO190*VLOOKUP('Données projet'!$B$11,Paramètres!$A$1:$I$89,3,0)*0.475*44/12</f>
        <v>4.3962173068042751E-12</v>
      </c>
      <c r="BS190" s="22">
        <f t="shared" si="169"/>
        <v>35.721649524899732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5.6843418860808015E-13</v>
      </c>
      <c r="BZ190" s="13">
        <f>BY190*VLOOKUP('Données projet'!$B$12,Paramètres!$A$1:$I$89,3,0)*VLOOKUP('Données projet'!$B$12,Paramètres!$A$1:$I$89,5,0)</f>
        <v>3.177547114319168E-13</v>
      </c>
      <c r="CA190" s="13">
        <f t="shared" si="170"/>
        <v>4.1725404435445377E-12</v>
      </c>
      <c r="CB190" s="20">
        <f t="shared" si="171"/>
        <v>7.820597394917325E-12</v>
      </c>
      <c r="CC190" s="59">
        <f t="shared" si="119"/>
        <v>292.08225285394548</v>
      </c>
      <c r="CD190" s="59">
        <f ca="1">AVERAGE(OFFSET($CC$3,0,0,'Données projet'!$E$12+1,1))-AVERAGE(OFFSET($H$3,0,0,'Données projet'!$E$12+1,1))</f>
        <v>394.00476121021177</v>
      </c>
      <c r="CE190" s="59">
        <f t="shared" si="148"/>
        <v>363.10016759175278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22.742543031970989</v>
      </c>
      <c r="CL190" s="21">
        <f>EXP(-LN(2)/25)*CL189+(1-EXP(-LN(2)/25))/(LN(2)/25)*Calculateur!CG190*Calculateur!CI190*VLOOKUP('Données projet'!$B$12,Paramètres!$A$1:$I$89,3,0)*0.475*44/12</f>
        <v>2.9943293407015932</v>
      </c>
      <c r="CM190" s="21">
        <f>EXP(-LN(2)/2)*CM189+(1-EXP(-LN(2)/2))/(LN(2)/2)*CG190*CJ190*VLOOKUP('Données projet'!$B$12,Paramètres!$A$1:$I$89,3,0)*0.475*44/12</f>
        <v>1.8523539738784983E-16</v>
      </c>
      <c r="CN190" s="22">
        <f t="shared" si="172"/>
        <v>25.736872372672583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69.658796232892087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3">
        <f>'Scénario référence'!$B$16*5+'Scénario référence'!$B$17*0+'Scénario référence'!$B$18*5</f>
        <v>1.7999999999999998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6.5999999999999988</v>
      </c>
      <c r="H191" s="67">
        <f t="shared" si="110"/>
        <v>230.26666666666665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292.1039563032744</v>
      </c>
      <c r="S191" s="59">
        <f ca="1">AVERAGE(OFFSET($R$3,0,0,'Données projet'!$E$9+1,1))-AVERAGE(OFFSET($H$3,0,0,'Données projet'!$E$9+1,1))</f>
        <v>652.18744712713965</v>
      </c>
      <c r="T191" s="59">
        <f t="shared" si="142"/>
        <v>288.65635870281199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292.10395630326019</v>
      </c>
      <c r="AN191" s="59">
        <f ca="1">AVERAGE(OFFSET($AM$3,0,0,'Données projet'!$E$10+1,1))-AVERAGE(OFFSET($H$3,0,0,'Données projet'!$E$10+1,1))</f>
        <v>307.94699176410495</v>
      </c>
      <c r="AO191" s="59">
        <f t="shared" si="144"/>
        <v>314.22983137038875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11.007683915472684</v>
      </c>
      <c r="AV191" s="21">
        <f>EXP(-LN(2)/25)*AV190+(1-EXP(-LN(2)/25))/(LN(2)/25)*Calculateur!AQ191*Calculateur!AS191*VLOOKUP('Données projet'!$B$10,Paramètres!$A$1:$I$89,3,0)*0.475*44/12</f>
        <v>1.3929489448803676</v>
      </c>
      <c r="AW191" s="21">
        <f>EXP(-LN(2)/2)*AW190+(1-EXP(-LN(2)/2))/(LN(2)/2)*AQ191*AT191*VLOOKUP('Données projet'!$B$10,Paramètres!$A$1:$I$89,3,0)*0.475*44/12</f>
        <v>3.2505163287222608E-18</v>
      </c>
      <c r="AX191" s="21">
        <f t="shared" si="166"/>
        <v>12.400632860353053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346.55780187946573</v>
      </c>
      <c r="BJ191" s="59">
        <f t="shared" si="146"/>
        <v>297.28652094809149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30.220678569423022</v>
      </c>
      <c r="BQ191" s="21">
        <f>EXP(-LN(2)/25)*BQ190+(1-EXP(-LN(2)/25))/(LN(2)/25)*Calculateur!BL191*Calculateur!BN191*VLOOKUP('Données projet'!$B$11,Paramètres!$A$1:$I$89,3,0)*0.475*44/12</f>
        <v>4.7626134571197927</v>
      </c>
      <c r="BR191" s="21">
        <f>EXP(-LN(2)/2)*BR190+(1-EXP(-LN(2)/2))/(LN(2)/2)*BL191*BO191*VLOOKUP('Données projet'!$B$11,Paramètres!$A$1:$I$89,3,0)*0.475*44/12</f>
        <v>3.1085950692109638E-12</v>
      </c>
      <c r="BS191" s="22">
        <f t="shared" si="169"/>
        <v>34.983292026545918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5.6843418860808015E-13</v>
      </c>
      <c r="BZ191" s="13">
        <f>BY191*VLOOKUP('Données projet'!$B$12,Paramètres!$A$1:$I$89,3,0)*VLOOKUP('Données projet'!$B$12,Paramètres!$A$1:$I$89,5,0)</f>
        <v>3.177547114319168E-13</v>
      </c>
      <c r="CA191" s="13">
        <f t="shared" si="170"/>
        <v>4.1725404435445377E-12</v>
      </c>
      <c r="CB191" s="20">
        <f t="shared" si="171"/>
        <v>7.820597394917325E-12</v>
      </c>
      <c r="CC191" s="59">
        <f t="shared" si="119"/>
        <v>292.10395630326605</v>
      </c>
      <c r="CD191" s="59">
        <f ca="1">AVERAGE(OFFSET($CC$3,0,0,'Données projet'!$E$12+1,1))-AVERAGE(OFFSET($H$3,0,0,'Données projet'!$E$12+1,1))</f>
        <v>394.00476121021177</v>
      </c>
      <c r="CE191" s="59">
        <f t="shared" si="148"/>
        <v>363.10016759175278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22.296575634695582</v>
      </c>
      <c r="CL191" s="21">
        <f>EXP(-LN(2)/25)*CL190+(1-EXP(-LN(2)/25))/(LN(2)/25)*Calculateur!CG191*Calculateur!CI191*VLOOKUP('Données projet'!$B$12,Paramètres!$A$1:$I$89,3,0)*0.475*44/12</f>
        <v>2.9124492474151715</v>
      </c>
      <c r="CM191" s="21">
        <f>EXP(-LN(2)/2)*CM190+(1-EXP(-LN(2)/2))/(LN(2)/2)*CG191*CJ191*VLOOKUP('Données projet'!$B$12,Paramètres!$A$1:$I$89,3,0)*0.475*44/12</f>
        <v>1.3098120560873351E-16</v>
      </c>
      <c r="CN191" s="22">
        <f t="shared" si="172"/>
        <v>25.209024882110754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69.664715355434055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3">
        <f>'Scénario référence'!$B$16*5+'Scénario référence'!$B$17*0+'Scénario référence'!$B$18*5</f>
        <v>1.7999999999999998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6.5999999999999988</v>
      </c>
      <c r="H192" s="67">
        <f t="shared" si="110"/>
        <v>230.26666666666665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292.12528324627095</v>
      </c>
      <c r="S192" s="59">
        <f ca="1">AVERAGE(OFFSET($R$3,0,0,'Données projet'!$E$9+1,1))-AVERAGE(OFFSET($H$3,0,0,'Données projet'!$E$9+1,1))</f>
        <v>652.18744712713965</v>
      </c>
      <c r="T192" s="59">
        <f t="shared" si="142"/>
        <v>288.65635870281199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292.12528324625674</v>
      </c>
      <c r="AN192" s="59">
        <f ca="1">AVERAGE(OFFSET($AM$3,0,0,'Données projet'!$E$10+1,1))-AVERAGE(OFFSET($H$3,0,0,'Données projet'!$E$10+1,1))</f>
        <v>307.94699176410495</v>
      </c>
      <c r="AO192" s="59">
        <f t="shared" si="144"/>
        <v>314.22983137038875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10.791829947914499</v>
      </c>
      <c r="AV192" s="21">
        <f>EXP(-LN(2)/25)*AV191+(1-EXP(-LN(2)/25))/(LN(2)/25)*Calculateur!AQ192*Calculateur!AS192*VLOOKUP('Données projet'!$B$10,Paramètres!$A$1:$I$89,3,0)*0.475*44/12</f>
        <v>1.3548586827306126</v>
      </c>
      <c r="AW192" s="21">
        <f>EXP(-LN(2)/2)*AW191+(1-EXP(-LN(2)/2))/(LN(2)/2)*AQ192*AT192*VLOOKUP('Données projet'!$B$10,Paramètres!$A$1:$I$89,3,0)*0.475*44/12</f>
        <v>2.2984621383971115E-18</v>
      </c>
      <c r="AX192" s="21">
        <f t="shared" si="166"/>
        <v>12.146688630645112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346.55780187946573</v>
      </c>
      <c r="BJ192" s="59">
        <f t="shared" si="146"/>
        <v>297.28652094809149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29.628069495470477</v>
      </c>
      <c r="BQ192" s="21">
        <f>EXP(-LN(2)/25)*BQ191+(1-EXP(-LN(2)/25))/(LN(2)/25)*Calculateur!BL192*Calculateur!BN192*VLOOKUP('Données projet'!$B$11,Paramètres!$A$1:$I$89,3,0)*0.475*44/12</f>
        <v>4.632379541679895</v>
      </c>
      <c r="BR192" s="21">
        <f>EXP(-LN(2)/2)*BR191+(1-EXP(-LN(2)/2))/(LN(2)/2)*BL192*BO192*VLOOKUP('Données projet'!$B$11,Paramètres!$A$1:$I$89,3,0)*0.475*44/12</f>
        <v>2.1981086534021376E-12</v>
      </c>
      <c r="BS192" s="22">
        <f t="shared" si="169"/>
        <v>34.260449037152569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5.6843418860808015E-13</v>
      </c>
      <c r="BZ192" s="13">
        <f>BY192*VLOOKUP('Données projet'!$B$12,Paramètres!$A$1:$I$89,3,0)*VLOOKUP('Données projet'!$B$12,Paramètres!$A$1:$I$89,5,0)</f>
        <v>3.177547114319168E-13</v>
      </c>
      <c r="CA192" s="13">
        <f t="shared" si="170"/>
        <v>4.1725404435445377E-12</v>
      </c>
      <c r="CB192" s="20">
        <f t="shared" si="171"/>
        <v>7.820597394917325E-12</v>
      </c>
      <c r="CC192" s="59">
        <f t="shared" si="119"/>
        <v>292.1252832462626</v>
      </c>
      <c r="CD192" s="59">
        <f ca="1">AVERAGE(OFFSET($CC$3,0,0,'Données projet'!$E$12+1,1))-AVERAGE(OFFSET($H$3,0,0,'Données projet'!$E$12+1,1))</f>
        <v>394.00476121021177</v>
      </c>
      <c r="CE192" s="59">
        <f t="shared" si="148"/>
        <v>363.10016759175278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21.859353386067493</v>
      </c>
      <c r="CL192" s="21">
        <f>EXP(-LN(2)/25)*CL191+(1-EXP(-LN(2)/25))/(LN(2)/25)*Calculateur!CG192*Calculateur!CI192*VLOOKUP('Données projet'!$B$12,Paramètres!$A$1:$I$89,3,0)*0.475*44/12</f>
        <v>2.832808169585554</v>
      </c>
      <c r="CM192" s="21">
        <f>EXP(-LN(2)/2)*CM191+(1-EXP(-LN(2)/2))/(LN(2)/2)*CG192*CJ192*VLOOKUP('Données projet'!$B$12,Paramètres!$A$1:$I$89,3,0)*0.475*44/12</f>
        <v>9.2617698693924917E-17</v>
      </c>
      <c r="CN192" s="22">
        <f t="shared" si="172"/>
        <v>24.692161555653048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69.670531794433117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3">
        <f>'Scénario référence'!$B$16*5+'Scénario référence'!$B$17*0+'Scénario référence'!$B$18*5</f>
        <v>1.7999999999999998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6.5999999999999988</v>
      </c>
      <c r="H193" s="67">
        <f t="shared" si="110"/>
        <v>230.26666666666665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292.14624021448634</v>
      </c>
      <c r="S193" s="59">
        <f ca="1">AVERAGE(OFFSET($R$3,0,0,'Données projet'!$E$9+1,1))-AVERAGE(OFFSET($H$3,0,0,'Données projet'!$E$9+1,1))</f>
        <v>652.18744712713965</v>
      </c>
      <c r="T193" s="59">
        <f t="shared" si="142"/>
        <v>288.65635870281199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292.14624021447213</v>
      </c>
      <c r="AN193" s="59">
        <f ca="1">AVERAGE(OFFSET($AM$3,0,0,'Données projet'!$E$10+1,1))-AVERAGE(OFFSET($H$3,0,0,'Données projet'!$E$10+1,1))</f>
        <v>307.94699176410495</v>
      </c>
      <c r="AO193" s="59">
        <f t="shared" si="144"/>
        <v>314.22983137038875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10.580208745002208</v>
      </c>
      <c r="AV193" s="21">
        <f>EXP(-LN(2)/25)*AV192+(1-EXP(-LN(2)/25))/(LN(2)/25)*Calculateur!AQ193*Calculateur!AS193*VLOOKUP('Données projet'!$B$10,Paramètres!$A$1:$I$89,3,0)*0.475*44/12</f>
        <v>1.3178100008024225</v>
      </c>
      <c r="AW193" s="21">
        <f>EXP(-LN(2)/2)*AW192+(1-EXP(-LN(2)/2))/(LN(2)/2)*AQ193*AT193*VLOOKUP('Données projet'!$B$10,Paramètres!$A$1:$I$89,3,0)*0.475*44/12</f>
        <v>1.6252581643611304E-18</v>
      </c>
      <c r="AX193" s="21">
        <f t="shared" si="166"/>
        <v>11.898018745804631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346.55780187946573</v>
      </c>
      <c r="BJ193" s="59">
        <f t="shared" si="146"/>
        <v>297.28652094809149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29.047081124002297</v>
      </c>
      <c r="BQ193" s="21">
        <f>EXP(-LN(2)/25)*BQ192+(1-EXP(-LN(2)/25))/(LN(2)/25)*Calculateur!BL193*Calculateur!BN193*VLOOKUP('Données projet'!$B$11,Paramètres!$A$1:$I$89,3,0)*0.475*44/12</f>
        <v>4.5057068795064055</v>
      </c>
      <c r="BR193" s="21">
        <f>EXP(-LN(2)/2)*BR192+(1-EXP(-LN(2)/2))/(LN(2)/2)*BL193*BO193*VLOOKUP('Données projet'!$B$11,Paramètres!$A$1:$I$89,3,0)*0.475*44/12</f>
        <v>1.5542975346054819E-12</v>
      </c>
      <c r="BS193" s="22">
        <f t="shared" si="169"/>
        <v>33.552788003510258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5.6843418860808015E-13</v>
      </c>
      <c r="BZ193" s="13">
        <f>BY193*VLOOKUP('Données projet'!$B$12,Paramètres!$A$1:$I$89,3,0)*VLOOKUP('Données projet'!$B$12,Paramètres!$A$1:$I$89,5,0)</f>
        <v>3.177547114319168E-13</v>
      </c>
      <c r="CA193" s="13">
        <f t="shared" si="170"/>
        <v>4.1725404435445377E-12</v>
      </c>
      <c r="CB193" s="20">
        <f t="shared" si="171"/>
        <v>7.820597394917325E-12</v>
      </c>
      <c r="CC193" s="59">
        <f t="shared" si="119"/>
        <v>292.14624021447798</v>
      </c>
      <c r="CD193" s="59">
        <f ca="1">AVERAGE(OFFSET($CC$3,0,0,'Données projet'!$E$12+1,1))-AVERAGE(OFFSET($H$3,0,0,'Données projet'!$E$12+1,1))</f>
        <v>394.00476121021177</v>
      </c>
      <c r="CE193" s="59">
        <f t="shared" si="148"/>
        <v>363.10016759175278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21.430704799055761</v>
      </c>
      <c r="CL193" s="21">
        <f>EXP(-LN(2)/25)*CL192+(1-EXP(-LN(2)/25))/(LN(2)/25)*Calculateur!CG193*Calculateur!CI193*VLOOKUP('Données projet'!$B$12,Paramètres!$A$1:$I$89,3,0)*0.475*44/12</f>
        <v>2.7553448812173298</v>
      </c>
      <c r="CM193" s="21">
        <f>EXP(-LN(2)/2)*CM192+(1-EXP(-LN(2)/2))/(LN(2)/2)*CG193*CJ193*VLOOKUP('Données projet'!$B$12,Paramètres!$A$1:$I$89,3,0)*0.475*44/12</f>
        <v>6.5490602804366753E-17</v>
      </c>
      <c r="CN193" s="22">
        <f t="shared" si="172"/>
        <v>24.18604968027309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69.67624733121913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3">
        <f>'Scénario référence'!$B$16*5+'Scénario référence'!$B$17*0+'Scénario référence'!$B$18*5</f>
        <v>1.7999999999999998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6.5999999999999988</v>
      </c>
      <c r="H194" s="67">
        <f t="shared" si="110"/>
        <v>230.26666666666665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292.16683362615601</v>
      </c>
      <c r="S194" s="59">
        <f ca="1">AVERAGE(OFFSET($R$3,0,0,'Données projet'!$E$9+1,1))-AVERAGE(OFFSET($H$3,0,0,'Données projet'!$E$9+1,1))</f>
        <v>652.18744712713965</v>
      </c>
      <c r="T194" s="59">
        <f t="shared" si="142"/>
        <v>288.65635870281199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292.16683362614179</v>
      </c>
      <c r="AN194" s="59">
        <f ca="1">AVERAGE(OFFSET($AM$3,0,0,'Données projet'!$E$10+1,1))-AVERAGE(OFFSET($H$3,0,0,'Données projet'!$E$10+1,1))</f>
        <v>307.94699176410495</v>
      </c>
      <c r="AO194" s="59">
        <f t="shared" si="144"/>
        <v>314.22983137038875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10.37273730480284</v>
      </c>
      <c r="AV194" s="21">
        <f>EXP(-LN(2)/25)*AV193+(1-EXP(-LN(2)/25))/(LN(2)/25)*Calculateur!AQ194*Calculateur!AS194*VLOOKUP('Données projet'!$B$10,Paramètres!$A$1:$I$89,3,0)*0.475*44/12</f>
        <v>1.2817744170298642</v>
      </c>
      <c r="AW194" s="21">
        <f>EXP(-LN(2)/2)*AW193+(1-EXP(-LN(2)/2))/(LN(2)/2)*AQ194*AT194*VLOOKUP('Données projet'!$B$10,Paramètres!$A$1:$I$89,3,0)*0.475*44/12</f>
        <v>1.1492310691985557E-18</v>
      </c>
      <c r="AX194" s="21">
        <f t="shared" si="166"/>
        <v>11.654511721832703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346.55780187946573</v>
      </c>
      <c r="BJ194" s="59">
        <f t="shared" si="146"/>
        <v>297.28652094809149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28.477485580130693</v>
      </c>
      <c r="BQ194" s="21">
        <f>EXP(-LN(2)/25)*BQ193+(1-EXP(-LN(2)/25))/(LN(2)/25)*Calculateur!BL194*Calculateur!BN194*VLOOKUP('Données projet'!$B$11,Paramètres!$A$1:$I$89,3,0)*0.475*44/12</f>
        <v>4.3824980879414763</v>
      </c>
      <c r="BR194" s="21">
        <f>EXP(-LN(2)/2)*BR193+(1-EXP(-LN(2)/2))/(LN(2)/2)*BL194*BO194*VLOOKUP('Données projet'!$B$11,Paramètres!$A$1:$I$89,3,0)*0.475*44/12</f>
        <v>1.0990543267010688E-12</v>
      </c>
      <c r="BS194" s="22">
        <f t="shared" si="169"/>
        <v>32.859983668073269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5.6843418860808015E-13</v>
      </c>
      <c r="BZ194" s="13">
        <f>BY194*VLOOKUP('Données projet'!$B$12,Paramètres!$A$1:$I$89,3,0)*VLOOKUP('Données projet'!$B$12,Paramètres!$A$1:$I$89,5,0)</f>
        <v>3.177547114319168E-13</v>
      </c>
      <c r="CA194" s="13">
        <f t="shared" si="170"/>
        <v>4.1725404435445377E-12</v>
      </c>
      <c r="CB194" s="20">
        <f t="shared" si="171"/>
        <v>7.820597394917325E-12</v>
      </c>
      <c r="CC194" s="59">
        <f t="shared" si="119"/>
        <v>292.16683362614765</v>
      </c>
      <c r="CD194" s="59">
        <f ca="1">AVERAGE(OFFSET($CC$3,0,0,'Données projet'!$E$12+1,1))-AVERAGE(OFFSET($H$3,0,0,'Données projet'!$E$12+1,1))</f>
        <v>394.00476121021177</v>
      </c>
      <c r="CE194" s="59">
        <f t="shared" si="148"/>
        <v>363.10016759175278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21.010461749385506</v>
      </c>
      <c r="CL194" s="21">
        <f>EXP(-LN(2)/25)*CL193+(1-EXP(-LN(2)/25))/(LN(2)/25)*Calculateur!CG194*Calculateur!CI194*VLOOKUP('Données projet'!$B$12,Paramètres!$A$1:$I$89,3,0)*0.475*44/12</f>
        <v>2.6799998305431521</v>
      </c>
      <c r="CM194" s="21">
        <f>EXP(-LN(2)/2)*CM193+(1-EXP(-LN(2)/2))/(LN(2)/2)*CG194*CJ194*VLOOKUP('Données projet'!$B$12,Paramètres!$A$1:$I$89,3,0)*0.475*44/12</f>
        <v>4.6308849346962458E-17</v>
      </c>
      <c r="CN194" s="22">
        <f t="shared" si="172"/>
        <v>23.690461579928659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69.681863716219951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3">
        <f>'Scénario référence'!$B$16*5+'Scénario référence'!$B$17*0+'Scénario référence'!$B$18*5</f>
        <v>1.7999999999999998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6.5999999999999988</v>
      </c>
      <c r="H195" s="67">
        <f t="shared" si="110"/>
        <v>230.26666666666665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292.18706978817323</v>
      </c>
      <c r="S195" s="59">
        <f ca="1">AVERAGE(OFFSET($R$3,0,0,'Données projet'!$E$9+1,1))-AVERAGE(OFFSET($H$3,0,0,'Données projet'!$E$9+1,1))</f>
        <v>652.18744712713965</v>
      </c>
      <c r="T195" s="59">
        <f t="shared" si="142"/>
        <v>288.65635870281199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292.18706978815902</v>
      </c>
      <c r="AN195" s="59">
        <f ca="1">AVERAGE(OFFSET($AM$3,0,0,'Données projet'!$E$10+1,1))-AVERAGE(OFFSET($H$3,0,0,'Données projet'!$E$10+1,1))</f>
        <v>307.94699176410495</v>
      </c>
      <c r="AO195" s="59">
        <f t="shared" si="144"/>
        <v>314.22983137038875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10.169334253000697</v>
      </c>
      <c r="AV195" s="21">
        <f>EXP(-LN(2)/25)*AV194+(1-EXP(-LN(2)/25))/(LN(2)/25)*Calculateur!AQ195*Calculateur!AS195*VLOOKUP('Données projet'!$B$10,Paramètres!$A$1:$I$89,3,0)*0.475*44/12</f>
        <v>1.2467242281905955</v>
      </c>
      <c r="AW195" s="21">
        <f>EXP(-LN(2)/2)*AW194+(1-EXP(-LN(2)/2))/(LN(2)/2)*AQ195*AT195*VLOOKUP('Données projet'!$B$10,Paramètres!$A$1:$I$89,3,0)*0.475*44/12</f>
        <v>8.1262908218056521E-19</v>
      </c>
      <c r="AX195" s="21">
        <f t="shared" si="166"/>
        <v>11.416058481191293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346.55780187946573</v>
      </c>
      <c r="BJ195" s="59">
        <f t="shared" si="146"/>
        <v>297.28652094809149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27.919059457455432</v>
      </c>
      <c r="BQ195" s="21">
        <f>EXP(-LN(2)/25)*BQ194+(1-EXP(-LN(2)/25))/(LN(2)/25)*Calculateur!BL195*Calculateur!BN195*VLOOKUP('Données projet'!$B$11,Paramètres!$A$1:$I$89,3,0)*0.475*44/12</f>
        <v>4.2626584472611588</v>
      </c>
      <c r="BR195" s="21">
        <f>EXP(-LN(2)/2)*BR194+(1-EXP(-LN(2)/2))/(LN(2)/2)*BL195*BO195*VLOOKUP('Données projet'!$B$11,Paramètres!$A$1:$I$89,3,0)*0.475*44/12</f>
        <v>7.7714876730274096E-13</v>
      </c>
      <c r="BS195" s="22">
        <f t="shared" si="169"/>
        <v>32.181717904717367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5.6843418860808015E-13</v>
      </c>
      <c r="BZ195" s="13">
        <f>BY195*VLOOKUP('Données projet'!$B$12,Paramètres!$A$1:$I$89,3,0)*VLOOKUP('Données projet'!$B$12,Paramètres!$A$1:$I$89,5,0)</f>
        <v>3.177547114319168E-13</v>
      </c>
      <c r="CA195" s="13">
        <f t="shared" si="170"/>
        <v>4.1725404435445377E-12</v>
      </c>
      <c r="CB195" s="20">
        <f t="shared" si="171"/>
        <v>7.820597394917325E-12</v>
      </c>
      <c r="CC195" s="59">
        <f t="shared" si="119"/>
        <v>292.18706978816488</v>
      </c>
      <c r="CD195" s="59">
        <f ca="1">AVERAGE(OFFSET($CC$3,0,0,'Données projet'!$E$12+1,1))-AVERAGE(OFFSET($H$3,0,0,'Données projet'!$E$12+1,1))</f>
        <v>394.00476121021177</v>
      </c>
      <c r="CE195" s="59">
        <f t="shared" si="148"/>
        <v>363.10016759175278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20.598459409596337</v>
      </c>
      <c r="CL195" s="21">
        <f>EXP(-LN(2)/25)*CL194+(1-EXP(-LN(2)/25))/(LN(2)/25)*Calculateur!CG195*Calculateur!CI195*VLOOKUP('Données projet'!$B$12,Paramètres!$A$1:$I$89,3,0)*0.475*44/12</f>
        <v>2.6067150942418835</v>
      </c>
      <c r="CM195" s="21">
        <f>EXP(-LN(2)/2)*CM194+(1-EXP(-LN(2)/2))/(LN(2)/2)*CG195*CJ195*VLOOKUP('Données projet'!$B$12,Paramètres!$A$1:$I$89,3,0)*0.475*44/12</f>
        <v>3.2745301402183376E-17</v>
      </c>
      <c r="CN195" s="22">
        <f t="shared" si="172"/>
        <v>23.205174503838222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69.687382669497367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3">
        <f>'Scénario référence'!$B$16*5+'Scénario référence'!$B$17*0+'Scénario référence'!$B$18*5</f>
        <v>1.7999999999999998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6.5999999999999988</v>
      </c>
      <c r="H196" s="67">
        <f t="shared" ref="H196:H203" si="192">(B196+E196+F196)*44/12+(C196+D196)*0.475*44/12</f>
        <v>230.26666666666665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292.20695489802063</v>
      </c>
      <c r="S196" s="59">
        <f ca="1">AVERAGE(OFFSET($R$3,0,0,'Données projet'!$E$9+1,1))-AVERAGE(OFFSET($H$3,0,0,'Données projet'!$E$9+1,1))</f>
        <v>652.18744712713965</v>
      </c>
      <c r="T196" s="59">
        <f t="shared" si="142"/>
        <v>288.65635870281199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292.20695489800642</v>
      </c>
      <c r="AN196" s="59">
        <f ca="1">AVERAGE(OFFSET($AM$3,0,0,'Données projet'!$E$10+1,1))-AVERAGE(OFFSET($H$3,0,0,'Données projet'!$E$10+1,1))</f>
        <v>307.94699176410495</v>
      </c>
      <c r="AO196" s="59">
        <f t="shared" si="144"/>
        <v>314.22983137038875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9.9699198109807838</v>
      </c>
      <c r="AV196" s="21">
        <f>EXP(-LN(2)/25)*AV195+(1-EXP(-LN(2)/25))/(LN(2)/25)*Calculateur!AQ196*Calculateur!AS196*VLOOKUP('Données projet'!$B$10,Paramètres!$A$1:$I$89,3,0)*0.475*44/12</f>
        <v>1.2126324886083459</v>
      </c>
      <c r="AW196" s="21">
        <f>EXP(-LN(2)/2)*AW195+(1-EXP(-LN(2)/2))/(LN(2)/2)*AQ196*AT196*VLOOKUP('Données projet'!$B$10,Paramètres!$A$1:$I$89,3,0)*0.475*44/12</f>
        <v>5.7461553459927786E-19</v>
      </c>
      <c r="AX196" s="21">
        <f t="shared" si="166"/>
        <v>11.18255229958913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346.55780187946573</v>
      </c>
      <c r="BJ196" s="59">
        <f t="shared" si="146"/>
        <v>297.28652094809149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27.371583730439532</v>
      </c>
      <c r="BQ196" s="21">
        <f>EXP(-LN(2)/25)*BQ195+(1-EXP(-LN(2)/25))/(LN(2)/25)*Calculateur!BL196*Calculateur!BN196*VLOOKUP('Données projet'!$B$11,Paramètres!$A$1:$I$89,3,0)*0.475*44/12</f>
        <v>4.1460958278573372</v>
      </c>
      <c r="BR196" s="21">
        <f>EXP(-LN(2)/2)*BR195+(1-EXP(-LN(2)/2))/(LN(2)/2)*BL196*BO196*VLOOKUP('Données projet'!$B$11,Paramètres!$A$1:$I$89,3,0)*0.475*44/12</f>
        <v>5.4952716335053439E-13</v>
      </c>
      <c r="BS196" s="22">
        <f t="shared" si="169"/>
        <v>31.51767955829742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5.6843418860808015E-13</v>
      </c>
      <c r="BZ196" s="13">
        <f>BY196*VLOOKUP('Données projet'!$B$12,Paramètres!$A$1:$I$89,3,0)*VLOOKUP('Données projet'!$B$12,Paramètres!$A$1:$I$89,5,0)</f>
        <v>3.177547114319168E-13</v>
      </c>
      <c r="CA196" s="13">
        <f t="shared" si="170"/>
        <v>4.1725404435445377E-12</v>
      </c>
      <c r="CB196" s="20">
        <f t="shared" si="171"/>
        <v>7.820597394917325E-12</v>
      </c>
      <c r="CC196" s="59">
        <f t="shared" ref="CC196:CC203" si="195">CB196+(BT196+BU196)*44/12</f>
        <v>292.20695489801227</v>
      </c>
      <c r="CD196" s="59">
        <f ca="1">AVERAGE(OFFSET($CC$3,0,0,'Données projet'!$E$12+1,1))-AVERAGE(OFFSET($H$3,0,0,'Données projet'!$E$12+1,1))</f>
        <v>394.00476121021177</v>
      </c>
      <c r="CE196" s="59">
        <f t="shared" si="148"/>
        <v>363.10016759175278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20.194536184393819</v>
      </c>
      <c r="CL196" s="21">
        <f>EXP(-LN(2)/25)*CL195+(1-EXP(-LN(2)/25))/(LN(2)/25)*Calculateur!CG196*Calculateur!CI196*VLOOKUP('Données projet'!$B$12,Paramètres!$A$1:$I$89,3,0)*0.475*44/12</f>
        <v>2.5354343329086499</v>
      </c>
      <c r="CM196" s="21">
        <f>EXP(-LN(2)/2)*CM195+(1-EXP(-LN(2)/2))/(LN(2)/2)*CG196*CJ196*VLOOKUP('Données projet'!$B$12,Paramètres!$A$1:$I$89,3,0)*0.475*44/12</f>
        <v>2.3154424673481229E-17</v>
      </c>
      <c r="CN196" s="22">
        <f t="shared" si="172"/>
        <v>22.729970517302469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69.692805881273927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3">
        <f>'Scénario référence'!$B$16*5+'Scénario référence'!$B$17*0+'Scénario référence'!$B$18*5</f>
        <v>1.7999999999999998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6.5999999999999988</v>
      </c>
      <c r="H197" s="67">
        <f t="shared" si="192"/>
        <v>230.26666666666665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292.22649504566863</v>
      </c>
      <c r="S197" s="59">
        <f ca="1">AVERAGE(OFFSET($R$3,0,0,'Données projet'!$E$9+1,1))-AVERAGE(OFFSET($H$3,0,0,'Données projet'!$E$9+1,1))</f>
        <v>652.18744712713965</v>
      </c>
      <c r="T197" s="59">
        <f t="shared" ref="T197:T203" si="204">$T$3</f>
        <v>288.65635870281199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292.22649504565442</v>
      </c>
      <c r="AN197" s="59">
        <f ca="1">AVERAGE(OFFSET($AM$3,0,0,'Données projet'!$E$10+1,1))-AVERAGE(OFFSET($H$3,0,0,'Données projet'!$E$10+1,1))</f>
        <v>307.94699176410495</v>
      </c>
      <c r="AO197" s="59">
        <f t="shared" ref="AO197:AO203" si="205">$AO$3</f>
        <v>314.22983137038875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9.774415764538082</v>
      </c>
      <c r="AV197" s="21">
        <f>EXP(-LN(2)/25)*AV196+(1-EXP(-LN(2)/25))/(LN(2)/25)*Calculateur!AQ197*Calculateur!AS197*VLOOKUP('Données projet'!$B$10,Paramètres!$A$1:$I$89,3,0)*0.475*44/12</f>
        <v>1.1794729894377796</v>
      </c>
      <c r="AW197" s="21">
        <f>EXP(-LN(2)/2)*AW196+(1-EXP(-LN(2)/2))/(LN(2)/2)*AQ197*AT197*VLOOKUP('Données projet'!$B$10,Paramètres!$A$1:$I$89,3,0)*0.475*44/12</f>
        <v>4.063145410902826E-19</v>
      </c>
      <c r="AX197" s="21">
        <f t="shared" si="166"/>
        <v>10.953888753975862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346.55780187946573</v>
      </c>
      <c r="BJ197" s="59">
        <f t="shared" ref="BJ197:BJ203" si="206">$BJ$3</f>
        <v>297.28652094809149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26.834843668503193</v>
      </c>
      <c r="BQ197" s="21">
        <f>EXP(-LN(2)/25)*BQ196+(1-EXP(-LN(2)/25))/(LN(2)/25)*Calculateur!BL197*Calculateur!BN197*VLOOKUP('Données projet'!$B$11,Paramètres!$A$1:$I$89,3,0)*0.475*44/12</f>
        <v>4.0327206194108749</v>
      </c>
      <c r="BR197" s="21">
        <f>EXP(-LN(2)/2)*BR196+(1-EXP(-LN(2)/2))/(LN(2)/2)*BL197*BO197*VLOOKUP('Données projet'!$B$11,Paramètres!$A$1:$I$89,3,0)*0.475*44/12</f>
        <v>3.8857438365137048E-13</v>
      </c>
      <c r="BS197" s="22">
        <f t="shared" si="169"/>
        <v>30.867564287914455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5.6843418860808015E-13</v>
      </c>
      <c r="BZ197" s="13">
        <f>BY197*VLOOKUP('Données projet'!$B$12,Paramètres!$A$1:$I$89,3,0)*VLOOKUP('Données projet'!$B$12,Paramètres!$A$1:$I$89,5,0)</f>
        <v>3.177547114319168E-13</v>
      </c>
      <c r="CA197" s="13">
        <f t="shared" si="170"/>
        <v>4.1725404435445377E-12</v>
      </c>
      <c r="CB197" s="20">
        <f t="shared" si="171"/>
        <v>7.820597394917325E-12</v>
      </c>
      <c r="CC197" s="59">
        <f t="shared" si="195"/>
        <v>292.22649504566027</v>
      </c>
      <c r="CD197" s="59">
        <f ca="1">AVERAGE(OFFSET($CC$3,0,0,'Données projet'!$E$12+1,1))-AVERAGE(OFFSET($H$3,0,0,'Données projet'!$E$12+1,1))</f>
        <v>394.00476121021177</v>
      </c>
      <c r="CE197" s="59">
        <f t="shared" ref="CE197:CE203" si="207">$CE$3</f>
        <v>363.10016759175278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19.79853364726868</v>
      </c>
      <c r="CL197" s="21">
        <f>EXP(-LN(2)/25)*CL196+(1-EXP(-LN(2)/25))/(LN(2)/25)*Calculateur!CG197*Calculateur!CI197*VLOOKUP('Données projet'!$B$12,Paramètres!$A$1:$I$89,3,0)*0.475*44/12</f>
        <v>2.4661027477425663</v>
      </c>
      <c r="CM197" s="21">
        <f>EXP(-LN(2)/2)*CM196+(1-EXP(-LN(2)/2))/(LN(2)/2)*CG197*CJ197*VLOOKUP('Données projet'!$B$12,Paramètres!$A$1:$I$89,3,0)*0.475*44/12</f>
        <v>1.6372650701091688E-17</v>
      </c>
      <c r="CN197" s="22">
        <f t="shared" si="172"/>
        <v>22.264636395011248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69.698135012450663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3">
        <f>'Scénario référence'!$B$16*5+'Scénario référence'!$B$17*0+'Scénario référence'!$B$18*5</f>
        <v>1.7999999999999998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6.5999999999999988</v>
      </c>
      <c r="H198" s="67">
        <f t="shared" si="192"/>
        <v>230.26666666666665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292.2456962154402</v>
      </c>
      <c r="S198" s="59">
        <f ca="1">AVERAGE(OFFSET($R$3,0,0,'Données projet'!$E$9+1,1))-AVERAGE(OFFSET($H$3,0,0,'Données projet'!$E$9+1,1))</f>
        <v>652.18744712713965</v>
      </c>
      <c r="T198" s="59">
        <f t="shared" si="204"/>
        <v>288.65635870281199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292.24569621542599</v>
      </c>
      <c r="AN198" s="59">
        <f ca="1">AVERAGE(OFFSET($AM$3,0,0,'Données projet'!$E$10+1,1))-AVERAGE(OFFSET($H$3,0,0,'Données projet'!$E$10+1,1))</f>
        <v>307.94699176410495</v>
      </c>
      <c r="AO198" s="59">
        <f t="shared" si="205"/>
        <v>314.22983137038875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9.5827454332004276</v>
      </c>
      <c r="AV198" s="21">
        <f>EXP(-LN(2)/25)*AV197+(1-EXP(-LN(2)/25))/(LN(2)/25)*Calculateur!AQ198*Calculateur!AS198*VLOOKUP('Données projet'!$B$10,Paramètres!$A$1:$I$89,3,0)*0.475*44/12</f>
        <v>1.1472202385158148</v>
      </c>
      <c r="AW198" s="21">
        <f>EXP(-LN(2)/2)*AW197+(1-EXP(-LN(2)/2))/(LN(2)/2)*AQ198*AT198*VLOOKUP('Données projet'!$B$10,Paramètres!$A$1:$I$89,3,0)*0.475*44/12</f>
        <v>2.8730776729963893E-19</v>
      </c>
      <c r="AX198" s="21">
        <f t="shared" si="166"/>
        <v>10.729965671716242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346.55780187946573</v>
      </c>
      <c r="BJ198" s="59">
        <f t="shared" si="206"/>
        <v>297.28652094809149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26.308628751802313</v>
      </c>
      <c r="BQ198" s="21">
        <f>EXP(-LN(2)/25)*BQ197+(1-EXP(-LN(2)/25))/(LN(2)/25)*Calculateur!BL198*Calculateur!BN198*VLOOKUP('Données projet'!$B$11,Paramètres!$A$1:$I$89,3,0)*0.475*44/12</f>
        <v>3.922445662001524</v>
      </c>
      <c r="BR198" s="21">
        <f>EXP(-LN(2)/2)*BR197+(1-EXP(-LN(2)/2))/(LN(2)/2)*BL198*BO198*VLOOKUP('Données projet'!$B$11,Paramètres!$A$1:$I$89,3,0)*0.475*44/12</f>
        <v>2.7476358167526719E-13</v>
      </c>
      <c r="BS198" s="22">
        <f t="shared" si="169"/>
        <v>30.231074413804112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5.6843418860808015E-13</v>
      </c>
      <c r="BZ198" s="13">
        <f>BY198*VLOOKUP('Données projet'!$B$12,Paramètres!$A$1:$I$89,3,0)*VLOOKUP('Données projet'!$B$12,Paramètres!$A$1:$I$89,5,0)</f>
        <v>3.177547114319168E-13</v>
      </c>
      <c r="CA198" s="13">
        <f t="shared" si="170"/>
        <v>4.1725404435445377E-12</v>
      </c>
      <c r="CB198" s="20">
        <f t="shared" si="171"/>
        <v>7.820597394917325E-12</v>
      </c>
      <c r="CC198" s="59">
        <f t="shared" si="195"/>
        <v>292.24569621543185</v>
      </c>
      <c r="CD198" s="59">
        <f ca="1">AVERAGE(OFFSET($CC$3,0,0,'Données projet'!$E$12+1,1))-AVERAGE(OFFSET($H$3,0,0,'Données projet'!$E$12+1,1))</f>
        <v>394.00476121021177</v>
      </c>
      <c r="CE198" s="59">
        <f t="shared" si="207"/>
        <v>363.10016759175278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19.41029647835887</v>
      </c>
      <c r="CL198" s="21">
        <f>EXP(-LN(2)/25)*CL197+(1-EXP(-LN(2)/25))/(LN(2)/25)*Calculateur!CG198*Calculateur!CI198*VLOOKUP('Données projet'!$B$12,Paramètres!$A$1:$I$89,3,0)*0.475*44/12</f>
        <v>2.3986670384188389</v>
      </c>
      <c r="CM198" s="21">
        <f>EXP(-LN(2)/2)*CM197+(1-EXP(-LN(2)/2))/(LN(2)/2)*CG198*CJ198*VLOOKUP('Données projet'!$B$12,Paramètres!$A$1:$I$89,3,0)*0.475*44/12</f>
        <v>1.1577212336740615E-17</v>
      </c>
      <c r="CN198" s="22">
        <f t="shared" si="172"/>
        <v>21.808963516777709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69.703371695115635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3">
        <f>'Scénario référence'!$B$16*5+'Scénario référence'!$B$17*0+'Scénario référence'!$B$18*5</f>
        <v>1.7999999999999998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6.5999999999999988</v>
      </c>
      <c r="H199" s="67">
        <f t="shared" si="192"/>
        <v>230.26666666666665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292.26456428784365</v>
      </c>
      <c r="S199" s="59">
        <f ca="1">AVERAGE(OFFSET($R$3,0,0,'Données projet'!$E$9+1,1))-AVERAGE(OFFSET($H$3,0,0,'Données projet'!$E$9+1,1))</f>
        <v>652.18744712713965</v>
      </c>
      <c r="T199" s="59">
        <f t="shared" si="204"/>
        <v>288.65635870281199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292.26456428782944</v>
      </c>
      <c r="AN199" s="59">
        <f ca="1">AVERAGE(OFFSET($AM$3,0,0,'Données projet'!$E$10+1,1))-AVERAGE(OFFSET($H$3,0,0,'Données projet'!$E$10+1,1))</f>
        <v>307.94699176410495</v>
      </c>
      <c r="AO199" s="59">
        <f t="shared" si="205"/>
        <v>314.22983137038875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9.394833640152946</v>
      </c>
      <c r="AV199" s="21">
        <f>EXP(-LN(2)/25)*AV198+(1-EXP(-LN(2)/25))/(LN(2)/25)*Calculateur!AQ199*Calculateur!AS199*VLOOKUP('Données projet'!$B$10,Paramètres!$A$1:$I$89,3,0)*0.475*44/12</f>
        <v>1.1158494407639095</v>
      </c>
      <c r="AW199" s="21">
        <f>EXP(-LN(2)/2)*AW198+(1-EXP(-LN(2)/2))/(LN(2)/2)*AQ199*AT199*VLOOKUP('Données projet'!$B$10,Paramètres!$A$1:$I$89,3,0)*0.475*44/12</f>
        <v>2.031572705451413E-19</v>
      </c>
      <c r="AX199" s="21">
        <f t="shared" si="166"/>
        <v>10.510683080916856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346.55780187946573</v>
      </c>
      <c r="BJ199" s="59">
        <f t="shared" si="206"/>
        <v>297.28652094809149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25.792732588658531</v>
      </c>
      <c r="BQ199" s="21">
        <f>EXP(-LN(2)/25)*BQ198+(1-EXP(-LN(2)/25))/(LN(2)/25)*Calculateur!BL199*Calculateur!BN199*VLOOKUP('Données projet'!$B$11,Paramètres!$A$1:$I$89,3,0)*0.475*44/12</f>
        <v>3.8151861791016399</v>
      </c>
      <c r="BR199" s="21">
        <f>EXP(-LN(2)/2)*BR198+(1-EXP(-LN(2)/2))/(LN(2)/2)*BL199*BO199*VLOOKUP('Données projet'!$B$11,Paramètres!$A$1:$I$89,3,0)*0.475*44/12</f>
        <v>1.9428719182568524E-13</v>
      </c>
      <c r="BS199" s="22">
        <f t="shared" si="169"/>
        <v>29.607918767760367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5.6843418860808015E-13</v>
      </c>
      <c r="BZ199" s="13">
        <f>BY199*VLOOKUP('Données projet'!$B$12,Paramètres!$A$1:$I$89,3,0)*VLOOKUP('Données projet'!$B$12,Paramètres!$A$1:$I$89,5,0)</f>
        <v>3.177547114319168E-13</v>
      </c>
      <c r="CA199" s="13">
        <f t="shared" si="170"/>
        <v>4.1725404435445377E-12</v>
      </c>
      <c r="CB199" s="20">
        <f t="shared" si="171"/>
        <v>7.820597394917325E-12</v>
      </c>
      <c r="CC199" s="59">
        <f t="shared" si="195"/>
        <v>292.2645642878353</v>
      </c>
      <c r="CD199" s="59">
        <f ca="1">AVERAGE(OFFSET($CC$3,0,0,'Données projet'!$E$12+1,1))-AVERAGE(OFFSET($H$3,0,0,'Données projet'!$E$12+1,1))</f>
        <v>394.00476121021177</v>
      </c>
      <c r="CE199" s="59">
        <f t="shared" si="207"/>
        <v>363.10016759175278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19.029672403530089</v>
      </c>
      <c r="CL199" s="21">
        <f>EXP(-LN(2)/25)*CL198+(1-EXP(-LN(2)/25))/(LN(2)/25)*Calculateur!CG199*Calculateur!CI199*VLOOKUP('Données projet'!$B$12,Paramètres!$A$1:$I$89,3,0)*0.475*44/12</f>
        <v>2.3330753621128584</v>
      </c>
      <c r="CM199" s="21">
        <f>EXP(-LN(2)/2)*CM198+(1-EXP(-LN(2)/2))/(LN(2)/2)*CG199*CJ199*VLOOKUP('Données projet'!$B$12,Paramètres!$A$1:$I$89,3,0)*0.475*44/12</f>
        <v>8.1863253505458441E-18</v>
      </c>
      <c r="CN199" s="22">
        <f t="shared" si="172"/>
        <v>21.362747765642947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69.708517533043846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3">
        <f>'Scénario référence'!$B$16*5+'Scénario référence'!$B$17*0+'Scénario référence'!$B$18*5</f>
        <v>1.7999999999999998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6.5999999999999988</v>
      </c>
      <c r="H200" s="67">
        <f t="shared" si="192"/>
        <v>230.26666666666665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292.28310504137352</v>
      </c>
      <c r="S200" s="59">
        <f ca="1">AVERAGE(OFFSET($R$3,0,0,'Données projet'!$E$9+1,1))-AVERAGE(OFFSET($H$3,0,0,'Données projet'!$E$9+1,1))</f>
        <v>652.18744712713965</v>
      </c>
      <c r="T200" s="59">
        <f t="shared" si="204"/>
        <v>288.65635870281199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292.28310504135931</v>
      </c>
      <c r="AN200" s="59">
        <f ca="1">AVERAGE(OFFSET($AM$3,0,0,'Données projet'!$E$10+1,1))-AVERAGE(OFFSET($H$3,0,0,'Données projet'!$E$10+1,1))</f>
        <v>307.94699176410495</v>
      </c>
      <c r="AO200" s="59">
        <f t="shared" si="205"/>
        <v>314.22983137038875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9.2106066827522479</v>
      </c>
      <c r="AV200" s="21">
        <f>EXP(-LN(2)/25)*AV199+(1-EXP(-LN(2)/25))/(LN(2)/25)*Calculateur!AQ200*Calculateur!AS200*VLOOKUP('Données projet'!$B$10,Paramètres!$A$1:$I$89,3,0)*0.475*44/12</f>
        <v>1.0853364791262485</v>
      </c>
      <c r="AW200" s="21">
        <f>EXP(-LN(2)/2)*AW199+(1-EXP(-LN(2)/2))/(LN(2)/2)*AQ200*AT200*VLOOKUP('Données projet'!$B$10,Paramètres!$A$1:$I$89,3,0)*0.475*44/12</f>
        <v>1.4365388364981947E-19</v>
      </c>
      <c r="AX200" s="21">
        <f t="shared" si="166"/>
        <v>10.295943161878496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346.55780187946573</v>
      </c>
      <c r="BJ200" s="59">
        <f t="shared" si="206"/>
        <v>297.28652094809149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25.28695283460841</v>
      </c>
      <c r="BQ200" s="21">
        <f>EXP(-LN(2)/25)*BQ199+(1-EXP(-LN(2)/25))/(LN(2)/25)*Calculateur!BL200*Calculateur!BN200*VLOOKUP('Données projet'!$B$11,Paramètres!$A$1:$I$89,3,0)*0.475*44/12</f>
        <v>3.710859712402184</v>
      </c>
      <c r="BR200" s="21">
        <f>EXP(-LN(2)/2)*BR199+(1-EXP(-LN(2)/2))/(LN(2)/2)*BL200*BO200*VLOOKUP('Données projet'!$B$11,Paramètres!$A$1:$I$89,3,0)*0.475*44/12</f>
        <v>1.373817908376336E-13</v>
      </c>
      <c r="BS200" s="22">
        <f t="shared" si="169"/>
        <v>28.997812547010732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5.6843418860808015E-13</v>
      </c>
      <c r="BZ200" s="13">
        <f>BY200*VLOOKUP('Données projet'!$B$12,Paramètres!$A$1:$I$89,3,0)*VLOOKUP('Données projet'!$B$12,Paramètres!$A$1:$I$89,5,0)</f>
        <v>3.177547114319168E-13</v>
      </c>
      <c r="CA200" s="13">
        <f t="shared" si="170"/>
        <v>4.1725404435445377E-12</v>
      </c>
      <c r="CB200" s="20">
        <f t="shared" si="171"/>
        <v>7.820597394917325E-12</v>
      </c>
      <c r="CC200" s="59">
        <f t="shared" si="195"/>
        <v>292.28310504136516</v>
      </c>
      <c r="CD200" s="59">
        <f ca="1">AVERAGE(OFFSET($CC$3,0,0,'Données projet'!$E$12+1,1))-AVERAGE(OFFSET($H$3,0,0,'Données projet'!$E$12+1,1))</f>
        <v>394.00476121021177</v>
      </c>
      <c r="CE200" s="59">
        <f t="shared" si="207"/>
        <v>363.10016759175278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18.656512134650939</v>
      </c>
      <c r="CL200" s="21">
        <f>EXP(-LN(2)/25)*CL199+(1-EXP(-LN(2)/25))/(LN(2)/25)*Calculateur!CG200*Calculateur!CI200*VLOOKUP('Données projet'!$B$12,Paramètres!$A$1:$I$89,3,0)*0.475*44/12</f>
        <v>2.2692772936447811</v>
      </c>
      <c r="CM200" s="21">
        <f>EXP(-LN(2)/2)*CM199+(1-EXP(-LN(2)/2))/(LN(2)/2)*CG200*CJ200*VLOOKUP('Données projet'!$B$12,Paramètres!$A$1:$I$89,3,0)*0.475*44/12</f>
        <v>5.7886061683703073E-18</v>
      </c>
      <c r="CN200" s="22">
        <f t="shared" si="172"/>
        <v>20.925789428295719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69.71357410218836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3">
        <f>'Scénario référence'!$B$16*5+'Scénario référence'!$B$17*0+'Scénario référence'!$B$18*5</f>
        <v>1.7999999999999998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6.5999999999999988</v>
      </c>
      <c r="H201" s="67">
        <f t="shared" si="192"/>
        <v>230.26666666666665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292.30132415428056</v>
      </c>
      <c r="S201" s="59">
        <f ca="1">AVERAGE(OFFSET($R$3,0,0,'Données projet'!$E$9+1,1))-AVERAGE(OFFSET($H$3,0,0,'Données projet'!$E$9+1,1))</f>
        <v>652.18744712713965</v>
      </c>
      <c r="T201" s="59">
        <f t="shared" si="204"/>
        <v>288.65635870281199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292.30132415426635</v>
      </c>
      <c r="AN201" s="59">
        <f ca="1">AVERAGE(OFFSET($AM$3,0,0,'Données projet'!$E$10+1,1))-AVERAGE(OFFSET($H$3,0,0,'Données projet'!$E$10+1,1))</f>
        <v>307.94699176410495</v>
      </c>
      <c r="AO201" s="59">
        <f t="shared" si="205"/>
        <v>314.22983137038875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9.0299923036188297</v>
      </c>
      <c r="AV201" s="21">
        <f>EXP(-LN(2)/25)*AV200+(1-EXP(-LN(2)/25))/(LN(2)/25)*Calculateur!AQ201*Calculateur!AS201*VLOOKUP('Données projet'!$B$10,Paramètres!$A$1:$I$89,3,0)*0.475*44/12</f>
        <v>1.0556578960291765</v>
      </c>
      <c r="AW201" s="21">
        <f>EXP(-LN(2)/2)*AW200+(1-EXP(-LN(2)/2))/(LN(2)/2)*AQ201*AT201*VLOOKUP('Données projet'!$B$10,Paramètres!$A$1:$I$89,3,0)*0.475*44/12</f>
        <v>1.0157863527257065E-19</v>
      </c>
      <c r="AX201" s="21">
        <f t="shared" si="166"/>
        <v>10.085650199648006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346.55780187946573</v>
      </c>
      <c r="BJ201" s="59">
        <f t="shared" si="206"/>
        <v>297.28652094809149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24.791091113040022</v>
      </c>
      <c r="BQ201" s="21">
        <f>EXP(-LN(2)/25)*BQ200+(1-EXP(-LN(2)/25))/(LN(2)/25)*Calculateur!BL201*Calculateur!BN201*VLOOKUP('Données projet'!$B$11,Paramètres!$A$1:$I$89,3,0)*0.475*44/12</f>
        <v>3.6093860584209154</v>
      </c>
      <c r="BR201" s="21">
        <f>EXP(-LN(2)/2)*BR200+(1-EXP(-LN(2)/2))/(LN(2)/2)*BL201*BO201*VLOOKUP('Données projet'!$B$11,Paramètres!$A$1:$I$89,3,0)*0.475*44/12</f>
        <v>9.714359591284262E-14</v>
      </c>
      <c r="BS201" s="22">
        <f t="shared" si="169"/>
        <v>28.400477171461034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5.6843418860808015E-13</v>
      </c>
      <c r="BZ201" s="13">
        <f>BY201*VLOOKUP('Données projet'!$B$12,Paramètres!$A$1:$I$89,3,0)*VLOOKUP('Données projet'!$B$12,Paramètres!$A$1:$I$89,5,0)</f>
        <v>3.177547114319168E-13</v>
      </c>
      <c r="CA201" s="13">
        <f t="shared" si="170"/>
        <v>4.1725404435445377E-12</v>
      </c>
      <c r="CB201" s="20">
        <f t="shared" si="171"/>
        <v>7.820597394917325E-12</v>
      </c>
      <c r="CC201" s="59">
        <f t="shared" si="195"/>
        <v>292.30132415427221</v>
      </c>
      <c r="CD201" s="59">
        <f ca="1">AVERAGE(OFFSET($CC$3,0,0,'Données projet'!$E$12+1,1))-AVERAGE(OFFSET($H$3,0,0,'Données projet'!$E$12+1,1))</f>
        <v>394.00476121021177</v>
      </c>
      <c r="CE201" s="59">
        <f t="shared" si="207"/>
        <v>363.10016759175278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18.290669311039217</v>
      </c>
      <c r="CL201" s="21">
        <f>EXP(-LN(2)/25)*CL200+(1-EXP(-LN(2)/25))/(LN(2)/25)*Calculateur!CG201*Calculateur!CI201*VLOOKUP('Données projet'!$B$12,Paramètres!$A$1:$I$89,3,0)*0.475*44/12</f>
        <v>2.2072237867139584</v>
      </c>
      <c r="CM201" s="21">
        <f>EXP(-LN(2)/2)*CM200+(1-EXP(-LN(2)/2))/(LN(2)/2)*CG201*CJ201*VLOOKUP('Données projet'!$B$12,Paramètres!$A$1:$I$89,3,0)*0.475*44/12</f>
        <v>4.0931626752729221E-18</v>
      </c>
      <c r="CN201" s="22">
        <f t="shared" si="172"/>
        <v>20.497893097753174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69.718542951163016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3">
        <f>'Scénario référence'!$B$16*5+'Scénario référence'!$B$17*0+'Scénario référence'!$B$18*5</f>
        <v>1.7999999999999998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6.5999999999999988</v>
      </c>
      <c r="H202" s="67">
        <f t="shared" si="192"/>
        <v>230.26666666666665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292.31922720631053</v>
      </c>
      <c r="S202" s="59">
        <f ca="1">AVERAGE(OFFSET($R$3,0,0,'Données projet'!$E$9+1,1))-AVERAGE(OFFSET($H$3,0,0,'Données projet'!$E$9+1,1))</f>
        <v>652.18744712713965</v>
      </c>
      <c r="T202" s="59">
        <f t="shared" si="204"/>
        <v>288.65635870281199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292.31922720629632</v>
      </c>
      <c r="AN202" s="59">
        <f ca="1">AVERAGE(OFFSET($AM$3,0,0,'Données projet'!$E$10+1,1))-AVERAGE(OFFSET($H$3,0,0,'Données projet'!$E$10+1,1))</f>
        <v>307.94699176410495</v>
      </c>
      <c r="AO202" s="59">
        <f t="shared" si="205"/>
        <v>314.22983137038875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8.8529196622963244</v>
      </c>
      <c r="AV202" s="21">
        <f>EXP(-LN(2)/25)*AV201+(1-EXP(-LN(2)/25))/(LN(2)/25)*Calculateur!AQ202*Calculateur!AS202*VLOOKUP('Données projet'!$B$10,Paramètres!$A$1:$I$89,3,0)*0.475*44/12</f>
        <v>1.0267908753476227</v>
      </c>
      <c r="AW202" s="21">
        <f>EXP(-LN(2)/2)*AW201+(1-EXP(-LN(2)/2))/(LN(2)/2)*AQ202*AT202*VLOOKUP('Données projet'!$B$10,Paramètres!$A$1:$I$89,3,0)*0.475*44/12</f>
        <v>7.1826941824909733E-20</v>
      </c>
      <c r="AX202" s="21">
        <f t="shared" si="166"/>
        <v>9.8797105376439465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346.55780187946573</v>
      </c>
      <c r="BJ202" s="59">
        <f t="shared" si="206"/>
        <v>297.28652094809149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24.304952937385803</v>
      </c>
      <c r="BQ202" s="21">
        <f>EXP(-LN(2)/25)*BQ201+(1-EXP(-LN(2)/25))/(LN(2)/25)*Calculateur!BL202*Calculateur!BN202*VLOOKUP('Données projet'!$B$11,Paramètres!$A$1:$I$89,3,0)*0.475*44/12</f>
        <v>3.510687206844032</v>
      </c>
      <c r="BR202" s="21">
        <f>EXP(-LN(2)/2)*BR201+(1-EXP(-LN(2)/2))/(LN(2)/2)*BL202*BO202*VLOOKUP('Données projet'!$B$11,Paramètres!$A$1:$I$89,3,0)*0.475*44/12</f>
        <v>6.8690895418816799E-14</v>
      </c>
      <c r="BS202" s="22">
        <f t="shared" si="169"/>
        <v>27.815640144229903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5.6843418860808015E-13</v>
      </c>
      <c r="BZ202" s="13">
        <f>BY202*VLOOKUP('Données projet'!$B$12,Paramètres!$A$1:$I$89,3,0)*VLOOKUP('Données projet'!$B$12,Paramètres!$A$1:$I$89,5,0)</f>
        <v>3.177547114319168E-13</v>
      </c>
      <c r="CA202" s="13">
        <f t="shared" si="170"/>
        <v>4.1725404435445377E-12</v>
      </c>
      <c r="CB202" s="20">
        <f t="shared" si="171"/>
        <v>7.820597394917325E-12</v>
      </c>
      <c r="CC202" s="59">
        <f t="shared" si="195"/>
        <v>292.31922720630217</v>
      </c>
      <c r="CD202" s="59">
        <f ca="1">AVERAGE(OFFSET($CC$3,0,0,'Données projet'!$E$12+1,1))-AVERAGE(OFFSET($H$3,0,0,'Données projet'!$E$12+1,1))</f>
        <v>394.00476121021177</v>
      </c>
      <c r="CE202" s="59">
        <f t="shared" si="207"/>
        <v>363.10016759175278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17.932000442056435</v>
      </c>
      <c r="CL202" s="21">
        <f>EXP(-LN(2)/25)*CL201+(1-EXP(-LN(2)/25))/(LN(2)/25)*Calculateur!CG202*Calculateur!CI202*VLOOKUP('Données projet'!$B$12,Paramètres!$A$1:$I$89,3,0)*0.475*44/12</f>
        <v>2.1468671361934111</v>
      </c>
      <c r="CM202" s="21">
        <f>EXP(-LN(2)/2)*CM201+(1-EXP(-LN(2)/2))/(LN(2)/2)*CG202*CJ202*VLOOKUP('Données projet'!$B$12,Paramètres!$A$1:$I$89,3,0)*0.475*44/12</f>
        <v>2.8943030841851536E-18</v>
      </c>
      <c r="CN202" s="22">
        <f t="shared" si="172"/>
        <v>20.078867578249845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69.723425601716642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3">
        <f>'Scénario référence'!$B$16*5+'Scénario référence'!$B$17*0+'Scénario référence'!$B$18*5</f>
        <v>1.7999999999999998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61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6.5999999999999988</v>
      </c>
      <c r="H203" s="67">
        <f t="shared" si="192"/>
        <v>230.26666666666665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292.33681968041299</v>
      </c>
      <c r="S203" s="59">
        <f ca="1">AVERAGE(OFFSET($R$3,0,0,'Données projet'!$E$9+1,1))-AVERAGE(OFFSET($H$3,0,0,'Données projet'!$E$9+1,1))</f>
        <v>652.18744712713965</v>
      </c>
      <c r="T203" s="59">
        <f t="shared" si="204"/>
        <v>288.65635870281199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292.33681968039878</v>
      </c>
      <c r="AN203" s="59">
        <f ca="1">AVERAGE(OFFSET($AM$3,0,0,'Données projet'!$E$10+1,1))-AVERAGE(OFFSET($H$3,0,0,'Données projet'!$E$10+1,1))</f>
        <v>307.94699176410495</v>
      </c>
      <c r="AO203" s="59">
        <f t="shared" si="205"/>
        <v>314.22983137038875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8.6793193074665069</v>
      </c>
      <c r="AV203" s="21">
        <f>EXP(-LN(2)/25)*AV202+(1-EXP(-LN(2)/25))/(LN(2)/25)*Calculateur!AQ203*Calculateur!AS203*VLOOKUP('Données projet'!$B$10,Paramètres!$A$1:$I$89,3,0)*0.475*44/12</f>
        <v>0.99871322486465663</v>
      </c>
      <c r="AW203" s="21">
        <f>EXP(-LN(2)/2)*AW202+(1-EXP(-LN(2)/2))/(LN(2)/2)*AQ203*AT203*VLOOKUP('Données projet'!$B$10,Paramètres!$A$1:$I$89,3,0)*0.475*44/12</f>
        <v>5.0789317636285325E-20</v>
      </c>
      <c r="AX203" s="21">
        <f t="shared" si="166"/>
        <v>9.678032532331164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346.55780187946573</v>
      </c>
      <c r="BJ203" s="59">
        <f t="shared" si="206"/>
        <v>297.28652094809149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23.828347634841155</v>
      </c>
      <c r="BQ203" s="21">
        <f>EXP(-LN(2)/25)*BQ202+(1-EXP(-LN(2)/25))/(LN(2)/25)*Calculateur!BL203*Calculateur!BN203*VLOOKUP('Données projet'!$B$11,Paramètres!$A$1:$I$89,3,0)*0.475*44/12</f>
        <v>3.4146872805538657</v>
      </c>
      <c r="BR203" s="21">
        <f>EXP(-LN(2)/2)*BR202+(1-EXP(-LN(2)/2))/(LN(2)/2)*BL203*BO203*VLOOKUP('Données projet'!$B$11,Paramètres!$A$1:$I$89,3,0)*0.475*44/12</f>
        <v>4.857179795642131E-14</v>
      </c>
      <c r="BS203" s="22">
        <f t="shared" si="169"/>
        <v>27.243034915395071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5.6843418860808015E-13</v>
      </c>
      <c r="BZ203" s="13">
        <f>BY203*VLOOKUP('Données projet'!$B$12,Paramètres!$A$1:$I$89,3,0)*VLOOKUP('Données projet'!$B$12,Paramètres!$A$1:$I$89,5,0)</f>
        <v>3.177547114319168E-13</v>
      </c>
      <c r="CA203" s="13">
        <f t="shared" si="170"/>
        <v>4.1725404435445377E-12</v>
      </c>
      <c r="CB203" s="20">
        <f t="shared" si="171"/>
        <v>7.820597394917325E-12</v>
      </c>
      <c r="CC203" s="59">
        <f t="shared" si="195"/>
        <v>292.33681968040463</v>
      </c>
      <c r="CD203" s="59">
        <f ca="1">AVERAGE(OFFSET($CC$3,0,0,'Données projet'!$E$12+1,1))-AVERAGE(OFFSET($H$3,0,0,'Données projet'!$E$12+1,1))</f>
        <v>394.00476121021177</v>
      </c>
      <c r="CE203" s="59">
        <f t="shared" si="207"/>
        <v>363.10016759175278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17.580364850827994</v>
      </c>
      <c r="CL203" s="21">
        <f>EXP(-LN(2)/25)*CL202+(1-EXP(-LN(2)/25))/(LN(2)/25)*Calculateur!CG203*Calculateur!CI203*VLOOKUP('Données projet'!$B$12,Paramètres!$A$1:$I$89,3,0)*0.475*44/12</f>
        <v>2.0881609414553663</v>
      </c>
      <c r="CM203" s="21">
        <f>EXP(-LN(2)/2)*CM202+(1-EXP(-LN(2)/2))/(LN(2)/2)*CG203*CJ203*VLOOKUP('Données projet'!$B$12,Paramètres!$A$1:$I$89,3,0)*0.475*44/12</f>
        <v>2.046581337636461E-18</v>
      </c>
      <c r="CN203" s="22">
        <f t="shared" si="172"/>
        <v>19.668525792283361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69.728223549199129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145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145</v>
      </c>
      <c r="BA204" s="81" t="s">
        <v>145</v>
      </c>
      <c r="BV204" s="81" t="s">
        <v>145</v>
      </c>
      <c r="CQ204" s="81" t="s">
        <v>145</v>
      </c>
      <c r="DL204" s="81" t="s">
        <v>145</v>
      </c>
      <c r="EG204" s="81" t="s">
        <v>145</v>
      </c>
      <c r="FB204" s="81" t="s">
        <v>145</v>
      </c>
      <c r="FW204" s="81" t="s">
        <v>145</v>
      </c>
      <c r="GR204" s="81" t="s">
        <v>145</v>
      </c>
    </row>
    <row r="205" spans="1:218" ht="15" thickBot="1" x14ac:dyDescent="0.4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1.3275965341357465</v>
      </c>
      <c r="BA205" s="82">
        <f>EXP(LN('Données projet'!B88)/'Données projet'!A88)</f>
        <v>1.149232942898736</v>
      </c>
      <c r="BV205" s="82">
        <f>EXP(LN('Données projet'!B114)/'Données projet'!A114)</f>
        <v>1.2855297099408214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828125" defaultRowHeight="14.6" x14ac:dyDescent="0.4"/>
  <cols>
    <col min="1" max="1" width="23.3828125" style="4" bestFit="1" customWidth="1"/>
    <col min="2" max="2" width="27.69140625" style="4" bestFit="1" customWidth="1"/>
    <col min="3" max="3" width="11.84375" style="4" bestFit="1" customWidth="1"/>
    <col min="4" max="4" width="40" style="4" bestFit="1" customWidth="1"/>
    <col min="5" max="5" width="11.84375" style="4" bestFit="1" customWidth="1"/>
    <col min="6" max="6" width="13.69140625" style="4" bestFit="1" customWidth="1"/>
    <col min="7" max="7" width="11.3828125" style="4" bestFit="1" customWidth="1"/>
    <col min="8" max="8" width="39" style="4" bestFit="1" customWidth="1"/>
    <col min="9" max="9" width="16.69140625" style="4" customWidth="1"/>
    <col min="10" max="14" width="11.3828125" style="4"/>
    <col min="15" max="15" width="23.3828125" style="4" bestFit="1" customWidth="1"/>
    <col min="16" max="16384" width="11.3828125" style="4"/>
  </cols>
  <sheetData>
    <row r="1" spans="1:16" ht="44.15" thickBot="1" x14ac:dyDescent="0.45">
      <c r="A1" s="111" t="s">
        <v>146</v>
      </c>
      <c r="B1" s="112" t="s">
        <v>147</v>
      </c>
      <c r="C1" s="113" t="s">
        <v>148</v>
      </c>
      <c r="D1" s="112" t="s">
        <v>149</v>
      </c>
      <c r="E1" s="113" t="s">
        <v>150</v>
      </c>
      <c r="F1" s="113" t="s">
        <v>149</v>
      </c>
      <c r="G1" s="113" t="s">
        <v>151</v>
      </c>
      <c r="H1" s="113" t="s">
        <v>149</v>
      </c>
      <c r="I1" s="114" t="s">
        <v>152</v>
      </c>
      <c r="J1" s="78"/>
      <c r="K1" s="78"/>
      <c r="L1" s="78"/>
      <c r="M1" s="78"/>
      <c r="N1" s="78"/>
    </row>
    <row r="2" spans="1:16" x14ac:dyDescent="0.4">
      <c r="A2" s="115" t="s">
        <v>153</v>
      </c>
      <c r="B2" s="116" t="s">
        <v>154</v>
      </c>
      <c r="C2" s="117">
        <v>0.62</v>
      </c>
      <c r="D2" s="117" t="s">
        <v>155</v>
      </c>
      <c r="E2" s="117">
        <v>1.56</v>
      </c>
      <c r="F2" s="117" t="s">
        <v>156</v>
      </c>
      <c r="G2" s="118">
        <v>0.43</v>
      </c>
      <c r="H2" s="119" t="s">
        <v>157</v>
      </c>
      <c r="I2" s="120">
        <v>0.25</v>
      </c>
      <c r="J2" s="78"/>
      <c r="K2" s="78"/>
      <c r="L2" s="78"/>
      <c r="M2" s="78"/>
      <c r="N2" s="78"/>
      <c r="O2" s="301" t="s">
        <v>158</v>
      </c>
      <c r="P2" s="121">
        <v>0</v>
      </c>
    </row>
    <row r="3" spans="1:16" ht="15" thickBot="1" x14ac:dyDescent="0.45">
      <c r="A3" s="122" t="s">
        <v>159</v>
      </c>
      <c r="B3" s="123" t="s">
        <v>160</v>
      </c>
      <c r="C3" s="124">
        <v>0.64</v>
      </c>
      <c r="D3" s="124" t="s">
        <v>155</v>
      </c>
      <c r="E3" s="124">
        <v>1.56</v>
      </c>
      <c r="F3" s="125" t="s">
        <v>156</v>
      </c>
      <c r="G3" s="126">
        <v>0.43</v>
      </c>
      <c r="H3" s="124" t="s">
        <v>157</v>
      </c>
      <c r="I3" s="127">
        <v>0.25</v>
      </c>
      <c r="J3" s="78"/>
      <c r="K3" s="78"/>
      <c r="L3" s="78"/>
      <c r="M3" s="78"/>
      <c r="N3" s="78"/>
      <c r="O3" s="302"/>
      <c r="P3" s="128">
        <v>0.2</v>
      </c>
    </row>
    <row r="4" spans="1:16" ht="15" thickBot="1" x14ac:dyDescent="0.45">
      <c r="A4" s="122" t="s">
        <v>161</v>
      </c>
      <c r="B4" s="123" t="s">
        <v>162</v>
      </c>
      <c r="C4" s="124">
        <v>0.42</v>
      </c>
      <c r="D4" s="124" t="s">
        <v>155</v>
      </c>
      <c r="E4" s="124">
        <v>1.56</v>
      </c>
      <c r="F4" s="125" t="s">
        <v>156</v>
      </c>
      <c r="G4" s="126">
        <v>0.43</v>
      </c>
      <c r="H4" s="124" t="s">
        <v>157</v>
      </c>
      <c r="I4" s="127">
        <v>0.25</v>
      </c>
      <c r="J4" s="78"/>
      <c r="K4" s="78"/>
      <c r="L4" s="78"/>
      <c r="M4" s="78"/>
      <c r="N4" s="78"/>
    </row>
    <row r="5" spans="1:16" x14ac:dyDescent="0.4">
      <c r="A5" s="122" t="s">
        <v>163</v>
      </c>
      <c r="B5" s="123" t="s">
        <v>164</v>
      </c>
      <c r="C5" s="124">
        <v>0.42</v>
      </c>
      <c r="D5" s="124" t="s">
        <v>155</v>
      </c>
      <c r="E5" s="124">
        <v>1.56</v>
      </c>
      <c r="F5" s="125" t="s">
        <v>156</v>
      </c>
      <c r="G5" s="126">
        <v>0.43</v>
      </c>
      <c r="H5" s="124" t="s">
        <v>157</v>
      </c>
      <c r="I5" s="127">
        <v>0.25</v>
      </c>
      <c r="J5" s="78"/>
      <c r="K5" s="78"/>
      <c r="L5" s="78"/>
      <c r="M5" s="78"/>
      <c r="N5" s="78"/>
      <c r="O5" s="301" t="s">
        <v>165</v>
      </c>
      <c r="P5" s="121">
        <v>0</v>
      </c>
    </row>
    <row r="6" spans="1:16" x14ac:dyDescent="0.4">
      <c r="A6" s="122" t="s">
        <v>166</v>
      </c>
      <c r="B6" s="123" t="s">
        <v>167</v>
      </c>
      <c r="C6" s="124">
        <v>0.42</v>
      </c>
      <c r="D6" s="124" t="s">
        <v>155</v>
      </c>
      <c r="E6" s="124">
        <v>1.56</v>
      </c>
      <c r="F6" s="125" t="s">
        <v>156</v>
      </c>
      <c r="G6" s="126">
        <v>0.43</v>
      </c>
      <c r="H6" s="124" t="s">
        <v>157</v>
      </c>
      <c r="I6" s="127">
        <v>0.25</v>
      </c>
      <c r="J6" s="78"/>
      <c r="K6" s="78"/>
      <c r="L6" s="78"/>
      <c r="M6" s="78"/>
      <c r="N6" s="78"/>
      <c r="O6" s="303"/>
      <c r="P6" s="129">
        <v>0.05</v>
      </c>
    </row>
    <row r="7" spans="1:16" x14ac:dyDescent="0.4">
      <c r="A7" s="122" t="s">
        <v>168</v>
      </c>
      <c r="B7" s="123" t="s">
        <v>169</v>
      </c>
      <c r="C7" s="124">
        <v>0.52</v>
      </c>
      <c r="D7" s="124" t="s">
        <v>155</v>
      </c>
      <c r="E7" s="124">
        <v>1.56</v>
      </c>
      <c r="F7" s="125" t="s">
        <v>156</v>
      </c>
      <c r="G7" s="126">
        <v>0.43</v>
      </c>
      <c r="H7" s="124" t="s">
        <v>157</v>
      </c>
      <c r="I7" s="127">
        <v>0.25</v>
      </c>
      <c r="J7" s="78"/>
      <c r="K7" s="78"/>
      <c r="L7" s="78"/>
      <c r="M7" s="78"/>
      <c r="N7" s="78"/>
      <c r="O7" s="303"/>
      <c r="P7" s="129">
        <v>0.1</v>
      </c>
    </row>
    <row r="8" spans="1:16" ht="15" thickBot="1" x14ac:dyDescent="0.45">
      <c r="A8" s="122" t="s">
        <v>170</v>
      </c>
      <c r="B8" s="123" t="s">
        <v>171</v>
      </c>
      <c r="C8" s="124">
        <v>0.36</v>
      </c>
      <c r="D8" s="124" t="s">
        <v>155</v>
      </c>
      <c r="E8" s="124">
        <v>1.3</v>
      </c>
      <c r="F8" s="125" t="s">
        <v>156</v>
      </c>
      <c r="G8" s="126">
        <v>0.55000000000000004</v>
      </c>
      <c r="H8" s="124" t="s">
        <v>172</v>
      </c>
      <c r="I8" s="127">
        <v>0.43</v>
      </c>
      <c r="J8" s="78"/>
      <c r="K8" s="78"/>
      <c r="L8" s="78"/>
      <c r="M8" s="78"/>
      <c r="N8" s="78"/>
      <c r="O8" s="302"/>
      <c r="P8" s="128">
        <v>0.15</v>
      </c>
    </row>
    <row r="9" spans="1:16" ht="15" thickBot="1" x14ac:dyDescent="0.45">
      <c r="A9" s="122" t="s">
        <v>173</v>
      </c>
      <c r="B9" s="123" t="s">
        <v>174</v>
      </c>
      <c r="C9" s="124">
        <v>0.61</v>
      </c>
      <c r="D9" s="124" t="s">
        <v>155</v>
      </c>
      <c r="E9" s="124">
        <v>1.56</v>
      </c>
      <c r="F9" s="125" t="s">
        <v>156</v>
      </c>
      <c r="G9" s="126">
        <v>0.43</v>
      </c>
      <c r="H9" s="124" t="s">
        <v>157</v>
      </c>
      <c r="I9" s="127">
        <v>0.25</v>
      </c>
      <c r="J9" s="78"/>
      <c r="K9" s="78"/>
      <c r="L9" s="78"/>
      <c r="M9" s="78"/>
      <c r="N9" s="78"/>
    </row>
    <row r="10" spans="1:16" x14ac:dyDescent="0.4">
      <c r="A10" s="122" t="s">
        <v>175</v>
      </c>
      <c r="B10" s="123" t="s">
        <v>176</v>
      </c>
      <c r="C10" s="124">
        <v>0.66</v>
      </c>
      <c r="D10" s="124" t="s">
        <v>155</v>
      </c>
      <c r="E10" s="124">
        <v>1.56</v>
      </c>
      <c r="F10" s="125" t="s">
        <v>156</v>
      </c>
      <c r="G10" s="126">
        <v>0.43</v>
      </c>
      <c r="H10" s="124" t="s">
        <v>157</v>
      </c>
      <c r="I10" s="127">
        <v>0.25</v>
      </c>
      <c r="J10" s="78"/>
      <c r="K10" s="78"/>
      <c r="L10" s="78"/>
      <c r="M10" s="78"/>
      <c r="N10" s="78"/>
      <c r="O10" s="301" t="s">
        <v>177</v>
      </c>
      <c r="P10" s="121">
        <v>0</v>
      </c>
    </row>
    <row r="11" spans="1:16" ht="15" thickBot="1" x14ac:dyDescent="0.45">
      <c r="A11" s="122" t="s">
        <v>178</v>
      </c>
      <c r="B11" s="123" t="s">
        <v>179</v>
      </c>
      <c r="C11" s="124">
        <v>0.47</v>
      </c>
      <c r="D11" s="124" t="s">
        <v>155</v>
      </c>
      <c r="E11" s="124">
        <v>1.56</v>
      </c>
      <c r="F11" s="125" t="s">
        <v>156</v>
      </c>
      <c r="G11" s="126">
        <v>0.43</v>
      </c>
      <c r="H11" s="124" t="s">
        <v>157</v>
      </c>
      <c r="I11" s="127">
        <v>0.25</v>
      </c>
      <c r="J11" s="78"/>
      <c r="K11" s="78"/>
      <c r="L11" s="78"/>
      <c r="M11" s="78"/>
      <c r="N11" s="78"/>
      <c r="O11" s="302"/>
      <c r="P11" s="128">
        <v>0.1</v>
      </c>
    </row>
    <row r="12" spans="1:16" x14ac:dyDescent="0.4">
      <c r="A12" s="122" t="s">
        <v>180</v>
      </c>
      <c r="B12" s="123" t="s">
        <v>181</v>
      </c>
      <c r="C12" s="124">
        <v>0.67</v>
      </c>
      <c r="D12" s="124" t="s">
        <v>155</v>
      </c>
      <c r="E12" s="124">
        <v>1.56</v>
      </c>
      <c r="F12" s="125" t="s">
        <v>156</v>
      </c>
      <c r="G12" s="126">
        <v>0.43</v>
      </c>
      <c r="H12" s="124" t="s">
        <v>182</v>
      </c>
      <c r="I12" s="127">
        <v>0.25</v>
      </c>
      <c r="J12" s="78"/>
      <c r="K12" s="78"/>
      <c r="L12" s="78"/>
      <c r="M12" s="78"/>
      <c r="N12" s="78"/>
    </row>
    <row r="13" spans="1:16" x14ac:dyDescent="0.4">
      <c r="A13" s="122" t="s">
        <v>183</v>
      </c>
      <c r="B13" s="123" t="s">
        <v>184</v>
      </c>
      <c r="C13" s="124">
        <v>0.7</v>
      </c>
      <c r="D13" s="124" t="s">
        <v>155</v>
      </c>
      <c r="E13" s="124">
        <v>1.56</v>
      </c>
      <c r="F13" s="125" t="s">
        <v>156</v>
      </c>
      <c r="G13" s="126">
        <v>0.43</v>
      </c>
      <c r="H13" s="124" t="s">
        <v>182</v>
      </c>
      <c r="I13" s="127">
        <v>0.25</v>
      </c>
      <c r="J13" s="78"/>
      <c r="K13" s="78"/>
      <c r="L13" s="78"/>
      <c r="M13" s="78"/>
      <c r="N13" s="78"/>
    </row>
    <row r="14" spans="1:16" x14ac:dyDescent="0.4">
      <c r="A14" s="122" t="s">
        <v>185</v>
      </c>
      <c r="B14" s="123" t="s">
        <v>186</v>
      </c>
      <c r="C14" s="124">
        <v>0.54</v>
      </c>
      <c r="D14" s="124" t="s">
        <v>155</v>
      </c>
      <c r="E14" s="124">
        <v>1.56</v>
      </c>
      <c r="F14" s="125" t="s">
        <v>156</v>
      </c>
      <c r="G14" s="126">
        <v>0.43</v>
      </c>
      <c r="H14" s="124" t="s">
        <v>182</v>
      </c>
      <c r="I14" s="127">
        <v>0.25</v>
      </c>
      <c r="J14" s="78"/>
      <c r="K14" s="78"/>
      <c r="L14" s="78"/>
      <c r="M14" s="78"/>
      <c r="N14" s="78"/>
    </row>
    <row r="15" spans="1:16" x14ac:dyDescent="0.4">
      <c r="A15" s="122" t="s">
        <v>187</v>
      </c>
      <c r="B15" s="123" t="s">
        <v>188</v>
      </c>
      <c r="C15" s="124">
        <v>0.65</v>
      </c>
      <c r="D15" s="124" t="s">
        <v>155</v>
      </c>
      <c r="E15" s="124">
        <v>1.56</v>
      </c>
      <c r="F15" s="125" t="s">
        <v>156</v>
      </c>
      <c r="G15" s="126">
        <v>0.43</v>
      </c>
      <c r="H15" s="124" t="s">
        <v>182</v>
      </c>
      <c r="I15" s="127">
        <v>0.25</v>
      </c>
      <c r="J15" s="78"/>
      <c r="K15" s="78"/>
      <c r="L15" s="78"/>
      <c r="M15" s="78"/>
      <c r="N15" s="78"/>
    </row>
    <row r="16" spans="1:16" x14ac:dyDescent="0.4">
      <c r="A16" s="122" t="s">
        <v>189</v>
      </c>
      <c r="B16" s="123" t="s">
        <v>190</v>
      </c>
      <c r="C16" s="124">
        <v>0.56000000000000005</v>
      </c>
      <c r="D16" s="124" t="s">
        <v>155</v>
      </c>
      <c r="E16" s="124">
        <v>1.56</v>
      </c>
      <c r="F16" s="125" t="s">
        <v>156</v>
      </c>
      <c r="G16" s="126">
        <v>0.43</v>
      </c>
      <c r="H16" s="124" t="s">
        <v>182</v>
      </c>
      <c r="I16" s="127">
        <v>0.25</v>
      </c>
      <c r="J16" s="78"/>
      <c r="K16" s="78"/>
      <c r="L16" s="78"/>
      <c r="M16" s="78"/>
      <c r="N16" s="78"/>
    </row>
    <row r="17" spans="1:14" x14ac:dyDescent="0.4">
      <c r="A17" s="122" t="s">
        <v>16</v>
      </c>
      <c r="B17" s="123" t="s">
        <v>191</v>
      </c>
      <c r="C17" s="124">
        <v>0.57999999999999996</v>
      </c>
      <c r="D17" s="124" t="s">
        <v>155</v>
      </c>
      <c r="E17" s="124">
        <v>1.56</v>
      </c>
      <c r="F17" s="125" t="s">
        <v>156</v>
      </c>
      <c r="G17" s="126">
        <v>0.43</v>
      </c>
      <c r="H17" s="124" t="s">
        <v>182</v>
      </c>
      <c r="I17" s="127">
        <v>0.25</v>
      </c>
      <c r="J17" s="78"/>
      <c r="K17" s="78"/>
      <c r="L17" s="78"/>
      <c r="M17" s="78"/>
      <c r="N17" s="78"/>
    </row>
    <row r="18" spans="1:14" x14ac:dyDescent="0.4">
      <c r="A18" s="122" t="s">
        <v>192</v>
      </c>
      <c r="B18" s="123" t="s">
        <v>193</v>
      </c>
      <c r="C18" s="124">
        <v>0.64</v>
      </c>
      <c r="D18" s="124" t="s">
        <v>155</v>
      </c>
      <c r="E18" s="124">
        <v>1.56</v>
      </c>
      <c r="F18" s="125" t="s">
        <v>156</v>
      </c>
      <c r="G18" s="126">
        <v>0.43</v>
      </c>
      <c r="H18" s="124" t="s">
        <v>182</v>
      </c>
      <c r="I18" s="127">
        <v>0.25</v>
      </c>
      <c r="J18" s="78"/>
      <c r="K18" s="78"/>
      <c r="L18" s="78"/>
      <c r="M18" s="78"/>
      <c r="N18" s="78"/>
    </row>
    <row r="19" spans="1:14" x14ac:dyDescent="0.4">
      <c r="A19" s="122" t="s">
        <v>194</v>
      </c>
      <c r="B19" s="123" t="s">
        <v>195</v>
      </c>
      <c r="C19" s="124">
        <v>0.73</v>
      </c>
      <c r="D19" s="124" t="s">
        <v>155</v>
      </c>
      <c r="E19" s="124">
        <v>1.56</v>
      </c>
      <c r="F19" s="125" t="s">
        <v>156</v>
      </c>
      <c r="G19" s="126">
        <v>0.43</v>
      </c>
      <c r="H19" s="124" t="s">
        <v>182</v>
      </c>
      <c r="I19" s="127">
        <v>0.25</v>
      </c>
      <c r="J19" s="78"/>
      <c r="K19" s="78"/>
      <c r="L19" s="78"/>
      <c r="M19" s="78"/>
      <c r="N19" s="78"/>
    </row>
    <row r="20" spans="1:14" x14ac:dyDescent="0.4">
      <c r="A20" s="122" t="s">
        <v>196</v>
      </c>
      <c r="B20" s="123" t="s">
        <v>197</v>
      </c>
      <c r="C20" s="124">
        <v>0.69</v>
      </c>
      <c r="D20" s="124" t="s">
        <v>198</v>
      </c>
      <c r="E20" s="124">
        <v>1.56</v>
      </c>
      <c r="F20" s="125" t="s">
        <v>156</v>
      </c>
      <c r="G20" s="126">
        <v>0.43</v>
      </c>
      <c r="H20" s="124" t="s">
        <v>199</v>
      </c>
      <c r="I20" s="127">
        <v>0.25</v>
      </c>
      <c r="J20" s="78"/>
      <c r="K20" s="78"/>
      <c r="L20" s="78"/>
      <c r="M20" s="78"/>
      <c r="N20" s="78"/>
    </row>
    <row r="21" spans="1:14" x14ac:dyDescent="0.4">
      <c r="A21" s="122" t="s">
        <v>200</v>
      </c>
      <c r="B21" s="123" t="s">
        <v>201</v>
      </c>
      <c r="C21" s="124">
        <v>0.36</v>
      </c>
      <c r="D21" s="124" t="s">
        <v>155</v>
      </c>
      <c r="E21" s="124">
        <v>1.3</v>
      </c>
      <c r="F21" s="125" t="s">
        <v>156</v>
      </c>
      <c r="G21" s="126">
        <v>0.55000000000000004</v>
      </c>
      <c r="H21" s="124" t="s">
        <v>172</v>
      </c>
      <c r="I21" s="127">
        <v>0.43</v>
      </c>
      <c r="J21" s="78"/>
      <c r="K21" s="78"/>
      <c r="L21" s="78"/>
      <c r="M21" s="78"/>
      <c r="N21" s="78"/>
    </row>
    <row r="22" spans="1:14" x14ac:dyDescent="0.4">
      <c r="A22" s="122" t="s">
        <v>202</v>
      </c>
      <c r="B22" s="123" t="s">
        <v>203</v>
      </c>
      <c r="C22" s="124">
        <v>0.4</v>
      </c>
      <c r="D22" s="124" t="s">
        <v>155</v>
      </c>
      <c r="E22" s="124">
        <v>1.3</v>
      </c>
      <c r="F22" s="125" t="s">
        <v>156</v>
      </c>
      <c r="G22" s="126">
        <v>0.55000000000000004</v>
      </c>
      <c r="H22" s="124" t="s">
        <v>172</v>
      </c>
      <c r="I22" s="127">
        <v>0.43</v>
      </c>
      <c r="J22" s="78"/>
      <c r="K22" s="78"/>
      <c r="L22" s="78"/>
      <c r="M22" s="78"/>
      <c r="N22" s="78"/>
    </row>
    <row r="23" spans="1:14" x14ac:dyDescent="0.4">
      <c r="A23" s="122" t="s">
        <v>204</v>
      </c>
      <c r="B23" s="123" t="s">
        <v>205</v>
      </c>
      <c r="C23" s="124">
        <v>0.43</v>
      </c>
      <c r="D23" s="124" t="s">
        <v>155</v>
      </c>
      <c r="E23" s="124">
        <v>1.3</v>
      </c>
      <c r="F23" s="125" t="s">
        <v>156</v>
      </c>
      <c r="G23" s="126">
        <v>0.55000000000000004</v>
      </c>
      <c r="H23" s="124" t="s">
        <v>172</v>
      </c>
      <c r="I23" s="127">
        <v>0.43</v>
      </c>
      <c r="J23" s="78"/>
      <c r="K23" s="78"/>
      <c r="L23" s="78"/>
      <c r="M23" s="78"/>
      <c r="N23" s="78"/>
    </row>
    <row r="24" spans="1:14" x14ac:dyDescent="0.4">
      <c r="A24" s="122" t="s">
        <v>206</v>
      </c>
      <c r="B24" s="123" t="s">
        <v>207</v>
      </c>
      <c r="C24" s="124">
        <v>0.37</v>
      </c>
      <c r="D24" s="124" t="s">
        <v>155</v>
      </c>
      <c r="E24" s="124">
        <v>1.3</v>
      </c>
      <c r="F24" s="125" t="s">
        <v>156</v>
      </c>
      <c r="G24" s="126">
        <v>0.55000000000000004</v>
      </c>
      <c r="H24" s="124" t="s">
        <v>182</v>
      </c>
      <c r="I24" s="127">
        <v>0.43</v>
      </c>
      <c r="J24" s="78"/>
      <c r="K24" s="78"/>
      <c r="L24" s="78"/>
      <c r="M24" s="78"/>
      <c r="N24" s="78"/>
    </row>
    <row r="25" spans="1:14" x14ac:dyDescent="0.4">
      <c r="A25" s="122" t="s">
        <v>208</v>
      </c>
      <c r="B25" s="123" t="s">
        <v>209</v>
      </c>
      <c r="C25" s="124">
        <v>0.36</v>
      </c>
      <c r="D25" s="124" t="s">
        <v>155</v>
      </c>
      <c r="E25" s="124">
        <v>1.3</v>
      </c>
      <c r="F25" s="125" t="s">
        <v>156</v>
      </c>
      <c r="G25" s="126">
        <v>0.55000000000000004</v>
      </c>
      <c r="H25" s="124" t="s">
        <v>182</v>
      </c>
      <c r="I25" s="127">
        <v>0.43</v>
      </c>
      <c r="J25" s="78"/>
      <c r="K25" s="78"/>
      <c r="L25" s="78"/>
      <c r="M25" s="78"/>
      <c r="N25" s="78"/>
    </row>
    <row r="26" spans="1:14" x14ac:dyDescent="0.4">
      <c r="A26" s="122" t="s">
        <v>210</v>
      </c>
      <c r="B26" s="123" t="s">
        <v>211</v>
      </c>
      <c r="C26" s="124">
        <v>0.56000000000000005</v>
      </c>
      <c r="D26" s="124" t="s">
        <v>155</v>
      </c>
      <c r="E26" s="124">
        <v>1.56</v>
      </c>
      <c r="F26" s="125" t="s">
        <v>156</v>
      </c>
      <c r="G26" s="126">
        <v>0.53</v>
      </c>
      <c r="H26" s="124" t="s">
        <v>212</v>
      </c>
      <c r="I26" s="127">
        <v>0.25</v>
      </c>
      <c r="J26" s="78"/>
      <c r="K26" s="78"/>
      <c r="L26" s="78"/>
      <c r="M26" s="78"/>
      <c r="N26" s="78"/>
    </row>
    <row r="27" spans="1:14" x14ac:dyDescent="0.4">
      <c r="A27" s="122" t="s">
        <v>213</v>
      </c>
      <c r="B27" s="123" t="s">
        <v>214</v>
      </c>
      <c r="C27" s="124">
        <v>0.51</v>
      </c>
      <c r="D27" s="124" t="s">
        <v>155</v>
      </c>
      <c r="E27" s="124">
        <v>1.56</v>
      </c>
      <c r="F27" s="125" t="s">
        <v>156</v>
      </c>
      <c r="G27" s="126">
        <v>0.53</v>
      </c>
      <c r="H27" s="124" t="s">
        <v>212</v>
      </c>
      <c r="I27" s="127">
        <v>0.25</v>
      </c>
      <c r="J27" s="78"/>
      <c r="K27" s="78"/>
      <c r="L27" s="78"/>
      <c r="M27" s="78"/>
      <c r="N27" s="78"/>
    </row>
    <row r="28" spans="1:14" x14ac:dyDescent="0.4">
      <c r="A28" s="122" t="s">
        <v>215</v>
      </c>
      <c r="B28" s="123" t="s">
        <v>216</v>
      </c>
      <c r="C28" s="124">
        <v>0.51</v>
      </c>
      <c r="D28" s="124" t="s">
        <v>155</v>
      </c>
      <c r="E28" s="124">
        <v>1.56</v>
      </c>
      <c r="F28" s="125" t="s">
        <v>156</v>
      </c>
      <c r="G28" s="126">
        <v>0.53</v>
      </c>
      <c r="H28" s="124" t="s">
        <v>212</v>
      </c>
      <c r="I28" s="127">
        <v>0.25</v>
      </c>
      <c r="J28" s="78"/>
      <c r="K28" s="78"/>
      <c r="L28" s="78"/>
      <c r="M28" s="78"/>
      <c r="N28" s="78"/>
    </row>
    <row r="29" spans="1:14" x14ac:dyDescent="0.4">
      <c r="A29" s="122" t="s">
        <v>217</v>
      </c>
      <c r="B29" s="123" t="s">
        <v>217</v>
      </c>
      <c r="C29" s="124">
        <v>0.56000000000000005</v>
      </c>
      <c r="D29" s="124" t="s">
        <v>155</v>
      </c>
      <c r="E29" s="124">
        <v>1.56</v>
      </c>
      <c r="F29" s="125" t="s">
        <v>156</v>
      </c>
      <c r="G29" s="126">
        <v>0.53</v>
      </c>
      <c r="H29" s="124" t="s">
        <v>212</v>
      </c>
      <c r="I29" s="127">
        <v>0.25</v>
      </c>
      <c r="J29" s="78"/>
      <c r="K29" s="78"/>
      <c r="L29" s="78"/>
      <c r="M29" s="78"/>
      <c r="N29" s="78"/>
    </row>
    <row r="30" spans="1:14" x14ac:dyDescent="0.4">
      <c r="A30" s="122" t="s">
        <v>218</v>
      </c>
      <c r="B30" s="123" t="s">
        <v>219</v>
      </c>
      <c r="C30" s="124">
        <v>0.55000000000000004</v>
      </c>
      <c r="D30" s="124" t="s">
        <v>155</v>
      </c>
      <c r="E30" s="124">
        <v>1.56</v>
      </c>
      <c r="F30" s="125" t="s">
        <v>156</v>
      </c>
      <c r="G30" s="126">
        <v>0.53</v>
      </c>
      <c r="H30" s="124" t="s">
        <v>182</v>
      </c>
      <c r="I30" s="127">
        <v>0.25</v>
      </c>
      <c r="J30" s="78"/>
      <c r="K30" s="78"/>
      <c r="L30" s="78"/>
      <c r="M30" s="78"/>
      <c r="N30" s="78"/>
    </row>
    <row r="31" spans="1:14" x14ac:dyDescent="0.4">
      <c r="A31" s="122" t="s">
        <v>220</v>
      </c>
      <c r="B31" s="123" t="s">
        <v>221</v>
      </c>
      <c r="C31" s="124">
        <v>0.56000000000000005</v>
      </c>
      <c r="D31" s="124" t="s">
        <v>155</v>
      </c>
      <c r="E31" s="124">
        <v>1.56</v>
      </c>
      <c r="F31" s="125" t="s">
        <v>156</v>
      </c>
      <c r="G31" s="126">
        <v>0.43</v>
      </c>
      <c r="H31" s="124" t="s">
        <v>157</v>
      </c>
      <c r="I31" s="127">
        <v>0.25</v>
      </c>
      <c r="J31" s="78"/>
      <c r="K31" s="78"/>
      <c r="L31" s="78"/>
      <c r="M31" s="78"/>
      <c r="N31" s="78"/>
    </row>
    <row r="32" spans="1:14" x14ac:dyDescent="0.4">
      <c r="A32" s="122" t="s">
        <v>222</v>
      </c>
      <c r="B32" s="123" t="s">
        <v>223</v>
      </c>
      <c r="C32" s="124">
        <v>0.48</v>
      </c>
      <c r="D32" s="124" t="s">
        <v>155</v>
      </c>
      <c r="E32" s="124">
        <v>1.3</v>
      </c>
      <c r="F32" s="125" t="s">
        <v>156</v>
      </c>
      <c r="G32" s="126">
        <v>0.6</v>
      </c>
      <c r="H32" s="124" t="s">
        <v>224</v>
      </c>
      <c r="I32" s="127">
        <v>0.43</v>
      </c>
      <c r="J32" s="78"/>
      <c r="K32" s="78"/>
      <c r="L32" s="78"/>
      <c r="M32" s="78"/>
      <c r="N32" s="78"/>
    </row>
    <row r="33" spans="1:14" x14ac:dyDescent="0.4">
      <c r="A33" s="122" t="s">
        <v>225</v>
      </c>
      <c r="B33" s="123" t="s">
        <v>226</v>
      </c>
      <c r="C33" s="124">
        <v>0.42</v>
      </c>
      <c r="D33" s="124" t="s">
        <v>155</v>
      </c>
      <c r="E33" s="124">
        <v>1.3</v>
      </c>
      <c r="F33" s="125" t="s">
        <v>156</v>
      </c>
      <c r="G33" s="126">
        <v>0.6</v>
      </c>
      <c r="H33" s="124" t="s">
        <v>224</v>
      </c>
      <c r="I33" s="127">
        <v>0.43</v>
      </c>
      <c r="J33" s="78"/>
      <c r="K33" s="78"/>
      <c r="L33" s="78"/>
      <c r="M33" s="78"/>
      <c r="N33" s="78"/>
    </row>
    <row r="34" spans="1:14" x14ac:dyDescent="0.4">
      <c r="A34" s="122" t="s">
        <v>227</v>
      </c>
      <c r="B34" s="123" t="s">
        <v>228</v>
      </c>
      <c r="C34" s="124">
        <v>0.42</v>
      </c>
      <c r="D34" s="124" t="s">
        <v>229</v>
      </c>
      <c r="E34" s="124">
        <v>1.3</v>
      </c>
      <c r="F34" s="125" t="s">
        <v>156</v>
      </c>
      <c r="G34" s="126">
        <v>0.6</v>
      </c>
      <c r="H34" s="123" t="s">
        <v>230</v>
      </c>
      <c r="I34" s="127">
        <v>0.43</v>
      </c>
      <c r="J34" s="78"/>
      <c r="K34" s="78"/>
      <c r="L34" s="78"/>
      <c r="M34" s="78"/>
      <c r="N34" s="78"/>
    </row>
    <row r="35" spans="1:14" x14ac:dyDescent="0.4">
      <c r="A35" s="122" t="s">
        <v>231</v>
      </c>
      <c r="B35" s="123" t="s">
        <v>232</v>
      </c>
      <c r="C35" s="124">
        <v>0.5</v>
      </c>
      <c r="D35" s="124" t="s">
        <v>155</v>
      </c>
      <c r="E35" s="124">
        <v>1.56</v>
      </c>
      <c r="F35" s="125" t="s">
        <v>156</v>
      </c>
      <c r="G35" s="126">
        <v>0.43</v>
      </c>
      <c r="H35" s="124" t="s">
        <v>157</v>
      </c>
      <c r="I35" s="127">
        <v>0.25</v>
      </c>
      <c r="J35" s="78"/>
      <c r="K35" s="78"/>
      <c r="L35" s="78"/>
      <c r="M35" s="78"/>
      <c r="N35" s="78"/>
    </row>
    <row r="36" spans="1:14" x14ac:dyDescent="0.4">
      <c r="A36" s="122" t="s">
        <v>233</v>
      </c>
      <c r="B36" s="123" t="s">
        <v>234</v>
      </c>
      <c r="C36" s="124">
        <v>0.55000000000000004</v>
      </c>
      <c r="D36" s="124" t="s">
        <v>155</v>
      </c>
      <c r="E36" s="124">
        <v>1.56</v>
      </c>
      <c r="F36" s="125" t="s">
        <v>156</v>
      </c>
      <c r="G36" s="126">
        <v>0.53</v>
      </c>
      <c r="H36" s="124" t="s">
        <v>212</v>
      </c>
      <c r="I36" s="127">
        <v>0.25</v>
      </c>
      <c r="J36" s="78"/>
      <c r="K36" s="78"/>
      <c r="L36" s="78"/>
      <c r="M36" s="78"/>
      <c r="N36" s="78"/>
    </row>
    <row r="37" spans="1:14" x14ac:dyDescent="0.4">
      <c r="A37" s="122" t="s">
        <v>235</v>
      </c>
      <c r="B37" s="123" t="s">
        <v>236</v>
      </c>
      <c r="C37" s="124">
        <v>0.52</v>
      </c>
      <c r="D37" s="124" t="s">
        <v>155</v>
      </c>
      <c r="E37" s="124">
        <v>1.56</v>
      </c>
      <c r="F37" s="125" t="s">
        <v>156</v>
      </c>
      <c r="G37" s="126">
        <v>0.53</v>
      </c>
      <c r="H37" s="124" t="s">
        <v>212</v>
      </c>
      <c r="I37" s="127">
        <v>0.25</v>
      </c>
      <c r="J37" s="78"/>
      <c r="K37" s="78"/>
      <c r="L37" s="78"/>
      <c r="M37" s="78"/>
      <c r="N37" s="78"/>
    </row>
    <row r="38" spans="1:14" x14ac:dyDescent="0.4">
      <c r="A38" s="122" t="s">
        <v>237</v>
      </c>
      <c r="B38" s="123" t="s">
        <v>238</v>
      </c>
      <c r="C38" s="124">
        <v>0.52</v>
      </c>
      <c r="D38" s="124" t="s">
        <v>155</v>
      </c>
      <c r="E38" s="124">
        <v>1.56</v>
      </c>
      <c r="F38" s="125" t="s">
        <v>156</v>
      </c>
      <c r="G38" s="126">
        <v>0.43</v>
      </c>
      <c r="H38" s="124" t="s">
        <v>157</v>
      </c>
      <c r="I38" s="127">
        <v>0.25</v>
      </c>
      <c r="J38" s="78"/>
      <c r="K38" s="78"/>
      <c r="L38" s="78"/>
      <c r="M38" s="78"/>
      <c r="N38" s="78"/>
    </row>
    <row r="39" spans="1:14" x14ac:dyDescent="0.4">
      <c r="A39" s="122" t="s">
        <v>239</v>
      </c>
      <c r="B39" s="123" t="s">
        <v>107</v>
      </c>
      <c r="C39" s="124">
        <v>0.313</v>
      </c>
      <c r="D39" s="124" t="s">
        <v>240</v>
      </c>
      <c r="E39" s="124">
        <v>1.56</v>
      </c>
      <c r="F39" s="125" t="s">
        <v>156</v>
      </c>
      <c r="G39" s="126">
        <v>0.6</v>
      </c>
      <c r="H39" s="124" t="s">
        <v>241</v>
      </c>
      <c r="I39" s="127">
        <v>1.03</v>
      </c>
      <c r="J39" s="78"/>
      <c r="K39" s="78"/>
      <c r="L39" s="78"/>
      <c r="M39" s="78"/>
      <c r="N39" s="78"/>
    </row>
    <row r="40" spans="1:14" x14ac:dyDescent="0.4">
      <c r="A40" s="122" t="s">
        <v>242</v>
      </c>
      <c r="B40" s="123" t="s">
        <v>107</v>
      </c>
      <c r="C40" s="124">
        <v>0.35199999999999998</v>
      </c>
      <c r="D40" s="124" t="s">
        <v>240</v>
      </c>
      <c r="E40" s="124">
        <v>1.56</v>
      </c>
      <c r="F40" s="125" t="s">
        <v>156</v>
      </c>
      <c r="G40" s="126">
        <v>0.6</v>
      </c>
      <c r="H40" s="124" t="s">
        <v>241</v>
      </c>
      <c r="I40" s="127">
        <v>1.03</v>
      </c>
      <c r="J40" s="78"/>
      <c r="K40" s="78"/>
      <c r="L40" s="78"/>
      <c r="M40" s="78"/>
      <c r="N40" s="78"/>
    </row>
    <row r="41" spans="1:14" x14ac:dyDescent="0.4">
      <c r="A41" s="122" t="s">
        <v>243</v>
      </c>
      <c r="B41" s="123" t="s">
        <v>107</v>
      </c>
      <c r="C41" s="124">
        <v>0.32200000000000001</v>
      </c>
      <c r="D41" s="124" t="s">
        <v>240</v>
      </c>
      <c r="E41" s="124">
        <v>1.56</v>
      </c>
      <c r="F41" s="125" t="s">
        <v>156</v>
      </c>
      <c r="G41" s="126">
        <v>0.6</v>
      </c>
      <c r="H41" s="124" t="s">
        <v>241</v>
      </c>
      <c r="I41" s="127">
        <v>1.03</v>
      </c>
      <c r="J41" s="78"/>
      <c r="K41" s="78"/>
      <c r="L41" s="78"/>
      <c r="M41" s="78"/>
      <c r="N41" s="78"/>
    </row>
    <row r="42" spans="1:14" x14ac:dyDescent="0.4">
      <c r="A42" s="122" t="s">
        <v>244</v>
      </c>
      <c r="B42" s="123" t="s">
        <v>107</v>
      </c>
      <c r="C42" s="124">
        <v>0.311</v>
      </c>
      <c r="D42" s="124" t="s">
        <v>240</v>
      </c>
      <c r="E42" s="124">
        <v>1.56</v>
      </c>
      <c r="F42" s="125" t="s">
        <v>156</v>
      </c>
      <c r="G42" s="126">
        <v>0.6</v>
      </c>
      <c r="H42" s="124" t="s">
        <v>241</v>
      </c>
      <c r="I42" s="127">
        <v>1.03</v>
      </c>
      <c r="J42" s="78"/>
      <c r="K42" s="78"/>
      <c r="L42" s="78"/>
      <c r="M42" s="78"/>
      <c r="N42" s="78"/>
    </row>
    <row r="43" spans="1:14" x14ac:dyDescent="0.4">
      <c r="A43" s="122" t="s">
        <v>245</v>
      </c>
      <c r="B43" s="123" t="s">
        <v>107</v>
      </c>
      <c r="C43" s="124">
        <v>0.33900000000000002</v>
      </c>
      <c r="D43" s="124" t="s">
        <v>240</v>
      </c>
      <c r="E43" s="124">
        <v>1.56</v>
      </c>
      <c r="F43" s="125" t="s">
        <v>156</v>
      </c>
      <c r="G43" s="126">
        <v>0.6</v>
      </c>
      <c r="H43" s="124" t="s">
        <v>241</v>
      </c>
      <c r="I43" s="127">
        <v>1.03</v>
      </c>
      <c r="J43" s="78"/>
      <c r="K43" s="78"/>
      <c r="L43" s="78"/>
      <c r="M43" s="78"/>
      <c r="N43" s="78"/>
    </row>
    <row r="44" spans="1:14" x14ac:dyDescent="0.4">
      <c r="A44" s="122" t="s">
        <v>246</v>
      </c>
      <c r="B44" s="123" t="s">
        <v>107</v>
      </c>
      <c r="C44" s="124">
        <v>0.33600000000000002</v>
      </c>
      <c r="D44" s="124" t="s">
        <v>240</v>
      </c>
      <c r="E44" s="124">
        <v>1.56</v>
      </c>
      <c r="F44" s="125" t="s">
        <v>156</v>
      </c>
      <c r="G44" s="126">
        <v>0.6</v>
      </c>
      <c r="H44" s="124" t="s">
        <v>241</v>
      </c>
      <c r="I44" s="127">
        <v>1.03</v>
      </c>
      <c r="J44" s="78"/>
      <c r="K44" s="78"/>
      <c r="L44" s="78"/>
      <c r="M44" s="78"/>
      <c r="N44" s="78"/>
    </row>
    <row r="45" spans="1:14" x14ac:dyDescent="0.4">
      <c r="A45" s="122" t="s">
        <v>247</v>
      </c>
      <c r="B45" s="123" t="s">
        <v>107</v>
      </c>
      <c r="C45" s="124">
        <v>0.32900000000000001</v>
      </c>
      <c r="D45" s="124" t="s">
        <v>240</v>
      </c>
      <c r="E45" s="124">
        <v>1.56</v>
      </c>
      <c r="F45" s="125" t="s">
        <v>156</v>
      </c>
      <c r="G45" s="126">
        <v>0.6</v>
      </c>
      <c r="H45" s="124" t="s">
        <v>241</v>
      </c>
      <c r="I45" s="127">
        <v>1.03</v>
      </c>
      <c r="J45" s="78"/>
      <c r="K45" s="78"/>
      <c r="L45" s="78"/>
      <c r="M45" s="78"/>
      <c r="N45" s="78"/>
    </row>
    <row r="46" spans="1:14" x14ac:dyDescent="0.4">
      <c r="A46" s="122" t="s">
        <v>248</v>
      </c>
      <c r="B46" s="123" t="s">
        <v>107</v>
      </c>
      <c r="C46" s="124">
        <v>0.34300000000000003</v>
      </c>
      <c r="D46" s="124" t="s">
        <v>240</v>
      </c>
      <c r="E46" s="124">
        <v>1.56</v>
      </c>
      <c r="F46" s="125" t="s">
        <v>156</v>
      </c>
      <c r="G46" s="126">
        <v>0.6</v>
      </c>
      <c r="H46" s="124" t="s">
        <v>241</v>
      </c>
      <c r="I46" s="127">
        <v>1.03</v>
      </c>
      <c r="J46" s="78"/>
      <c r="K46" s="78"/>
      <c r="L46" s="78"/>
      <c r="M46" s="78"/>
      <c r="N46" s="78"/>
    </row>
    <row r="47" spans="1:14" x14ac:dyDescent="0.4">
      <c r="A47" s="122" t="s">
        <v>249</v>
      </c>
      <c r="B47" s="123" t="s">
        <v>107</v>
      </c>
      <c r="C47" s="124">
        <v>0.32500000000000001</v>
      </c>
      <c r="D47" s="124" t="s">
        <v>240</v>
      </c>
      <c r="E47" s="124">
        <v>1.56</v>
      </c>
      <c r="F47" s="125" t="s">
        <v>156</v>
      </c>
      <c r="G47" s="126">
        <v>0.6</v>
      </c>
      <c r="H47" s="124" t="s">
        <v>241</v>
      </c>
      <c r="I47" s="127">
        <v>1.03</v>
      </c>
      <c r="J47" s="78"/>
      <c r="K47" s="78"/>
      <c r="L47" s="78"/>
      <c r="M47" s="78"/>
      <c r="N47" s="78"/>
    </row>
    <row r="48" spans="1:14" x14ac:dyDescent="0.4">
      <c r="A48" s="122" t="s">
        <v>250</v>
      </c>
      <c r="B48" s="123" t="s">
        <v>107</v>
      </c>
      <c r="C48" s="124">
        <v>0.32</v>
      </c>
      <c r="D48" s="124" t="s">
        <v>240</v>
      </c>
      <c r="E48" s="124">
        <v>1.56</v>
      </c>
      <c r="F48" s="125" t="s">
        <v>156</v>
      </c>
      <c r="G48" s="126">
        <v>0.6</v>
      </c>
      <c r="H48" s="124" t="s">
        <v>241</v>
      </c>
      <c r="I48" s="127">
        <v>1.03</v>
      </c>
      <c r="J48" s="78"/>
      <c r="K48" s="78"/>
      <c r="L48" s="78"/>
      <c r="M48" s="78"/>
      <c r="N48" s="78"/>
    </row>
    <row r="49" spans="1:14" x14ac:dyDescent="0.4">
      <c r="A49" s="122" t="s">
        <v>251</v>
      </c>
      <c r="B49" s="123" t="s">
        <v>107</v>
      </c>
      <c r="C49" s="124">
        <v>0.28199999999999997</v>
      </c>
      <c r="D49" s="124" t="s">
        <v>240</v>
      </c>
      <c r="E49" s="124">
        <v>1.56</v>
      </c>
      <c r="F49" s="125" t="s">
        <v>156</v>
      </c>
      <c r="G49" s="126">
        <v>0.6</v>
      </c>
      <c r="H49" s="124" t="s">
        <v>241</v>
      </c>
      <c r="I49" s="127">
        <v>1.03</v>
      </c>
      <c r="J49" s="78"/>
      <c r="K49" s="78"/>
      <c r="L49" s="78"/>
      <c r="M49" s="78"/>
      <c r="N49" s="78"/>
    </row>
    <row r="50" spans="1:14" x14ac:dyDescent="0.4">
      <c r="A50" s="122" t="s">
        <v>252</v>
      </c>
      <c r="B50" s="123" t="s">
        <v>107</v>
      </c>
      <c r="C50" s="124">
        <v>0.32800000000000001</v>
      </c>
      <c r="D50" s="124" t="s">
        <v>240</v>
      </c>
      <c r="E50" s="124">
        <v>1.56</v>
      </c>
      <c r="F50" s="125" t="s">
        <v>156</v>
      </c>
      <c r="G50" s="126">
        <v>0.6</v>
      </c>
      <c r="H50" s="124" t="s">
        <v>241</v>
      </c>
      <c r="I50" s="127">
        <v>1.03</v>
      </c>
      <c r="J50" s="78"/>
      <c r="K50" s="78"/>
      <c r="L50" s="78"/>
      <c r="M50" s="78"/>
      <c r="N50" s="78"/>
    </row>
    <row r="51" spans="1:14" x14ac:dyDescent="0.4">
      <c r="A51" s="122" t="s">
        <v>253</v>
      </c>
      <c r="B51" s="123" t="s">
        <v>107</v>
      </c>
      <c r="C51" s="124">
        <v>0.32600000000000001</v>
      </c>
      <c r="D51" s="124" t="s">
        <v>240</v>
      </c>
      <c r="E51" s="124">
        <v>1.56</v>
      </c>
      <c r="F51" s="125" t="s">
        <v>156</v>
      </c>
      <c r="G51" s="126">
        <v>0.6</v>
      </c>
      <c r="H51" s="124" t="s">
        <v>241</v>
      </c>
      <c r="I51" s="127">
        <v>1.03</v>
      </c>
      <c r="J51" s="78"/>
      <c r="K51" s="78"/>
      <c r="L51" s="78"/>
      <c r="M51" s="78"/>
      <c r="N51" s="78"/>
    </row>
    <row r="52" spans="1:14" x14ac:dyDescent="0.4">
      <c r="A52" s="122" t="s">
        <v>254</v>
      </c>
      <c r="B52" s="123" t="s">
        <v>107</v>
      </c>
      <c r="C52" s="124">
        <v>0.35899999999999999</v>
      </c>
      <c r="D52" s="124" t="s">
        <v>240</v>
      </c>
      <c r="E52" s="124">
        <v>1.56</v>
      </c>
      <c r="F52" s="125" t="s">
        <v>156</v>
      </c>
      <c r="G52" s="126">
        <v>0.6</v>
      </c>
      <c r="H52" s="124" t="s">
        <v>241</v>
      </c>
      <c r="I52" s="127">
        <v>1.03</v>
      </c>
      <c r="J52" s="78"/>
      <c r="K52" s="78"/>
      <c r="L52" s="78"/>
      <c r="M52" s="78"/>
      <c r="N52" s="78"/>
    </row>
    <row r="53" spans="1:14" x14ac:dyDescent="0.4">
      <c r="A53" s="122" t="s">
        <v>255</v>
      </c>
      <c r="B53" s="123" t="s">
        <v>107</v>
      </c>
      <c r="C53" s="124">
        <v>0.34599999999999997</v>
      </c>
      <c r="D53" s="124" t="s">
        <v>240</v>
      </c>
      <c r="E53" s="124">
        <v>1.56</v>
      </c>
      <c r="F53" s="125" t="s">
        <v>156</v>
      </c>
      <c r="G53" s="126">
        <v>0.6</v>
      </c>
      <c r="H53" s="124" t="s">
        <v>241</v>
      </c>
      <c r="I53" s="127">
        <v>1.03</v>
      </c>
      <c r="J53" s="78"/>
      <c r="K53" s="78"/>
      <c r="L53" s="78"/>
      <c r="M53" s="78"/>
      <c r="N53" s="78"/>
    </row>
    <row r="54" spans="1:14" x14ac:dyDescent="0.4">
      <c r="A54" s="122" t="s">
        <v>256</v>
      </c>
      <c r="B54" s="123" t="s">
        <v>107</v>
      </c>
      <c r="C54" s="124">
        <v>0.32600000000000001</v>
      </c>
      <c r="D54" s="124" t="s">
        <v>240</v>
      </c>
      <c r="E54" s="124">
        <v>1.56</v>
      </c>
      <c r="F54" s="125" t="s">
        <v>156</v>
      </c>
      <c r="G54" s="126">
        <v>0.6</v>
      </c>
      <c r="H54" s="124" t="s">
        <v>241</v>
      </c>
      <c r="I54" s="127">
        <v>1.03</v>
      </c>
      <c r="J54" s="78"/>
      <c r="K54" s="78"/>
      <c r="L54" s="78"/>
      <c r="M54" s="78"/>
      <c r="N54" s="78"/>
    </row>
    <row r="55" spans="1:14" x14ac:dyDescent="0.4">
      <c r="A55" s="122" t="s">
        <v>257</v>
      </c>
      <c r="B55" s="123" t="s">
        <v>107</v>
      </c>
      <c r="C55" s="124">
        <v>0.30499999999999999</v>
      </c>
      <c r="D55" s="124" t="s">
        <v>240</v>
      </c>
      <c r="E55" s="124">
        <v>1.56</v>
      </c>
      <c r="F55" s="125" t="s">
        <v>156</v>
      </c>
      <c r="G55" s="126">
        <v>0.6</v>
      </c>
      <c r="H55" s="124" t="s">
        <v>241</v>
      </c>
      <c r="I55" s="127">
        <v>1.03</v>
      </c>
      <c r="J55" s="78"/>
      <c r="K55" s="78"/>
      <c r="L55" s="78"/>
      <c r="M55" s="78"/>
      <c r="N55" s="78"/>
    </row>
    <row r="56" spans="1:14" x14ac:dyDescent="0.4">
      <c r="A56" s="122" t="s">
        <v>258</v>
      </c>
      <c r="B56" s="123" t="s">
        <v>107</v>
      </c>
      <c r="C56" s="124">
        <v>0.32300000000000001</v>
      </c>
      <c r="D56" s="124" t="s">
        <v>240</v>
      </c>
      <c r="E56" s="124">
        <v>1.56</v>
      </c>
      <c r="F56" s="125" t="s">
        <v>156</v>
      </c>
      <c r="G56" s="126">
        <v>0.6</v>
      </c>
      <c r="H56" s="124" t="s">
        <v>241</v>
      </c>
      <c r="I56" s="127">
        <v>1.03</v>
      </c>
      <c r="J56" s="78"/>
      <c r="K56" s="78"/>
      <c r="L56" s="78"/>
      <c r="M56" s="78"/>
      <c r="N56" s="78"/>
    </row>
    <row r="57" spans="1:14" x14ac:dyDescent="0.4">
      <c r="A57" s="122" t="s">
        <v>259</v>
      </c>
      <c r="B57" s="123" t="s">
        <v>107</v>
      </c>
      <c r="C57" s="124">
        <v>0.36699999999999999</v>
      </c>
      <c r="D57" s="124" t="s">
        <v>240</v>
      </c>
      <c r="E57" s="124">
        <v>1.56</v>
      </c>
      <c r="F57" s="125" t="s">
        <v>156</v>
      </c>
      <c r="G57" s="126">
        <v>0.6</v>
      </c>
      <c r="H57" s="124" t="s">
        <v>241</v>
      </c>
      <c r="I57" s="127">
        <v>1.03</v>
      </c>
      <c r="J57" s="78"/>
      <c r="K57" s="78"/>
      <c r="L57" s="78"/>
      <c r="M57" s="78"/>
      <c r="N57" s="78"/>
    </row>
    <row r="58" spans="1:14" x14ac:dyDescent="0.4">
      <c r="A58" s="122" t="s">
        <v>260</v>
      </c>
      <c r="B58" s="123" t="s">
        <v>107</v>
      </c>
      <c r="C58" s="124">
        <v>0.36</v>
      </c>
      <c r="D58" s="124" t="s">
        <v>240</v>
      </c>
      <c r="E58" s="124">
        <v>1.56</v>
      </c>
      <c r="F58" s="125" t="s">
        <v>156</v>
      </c>
      <c r="G58" s="126">
        <v>0.6</v>
      </c>
      <c r="H58" s="124" t="s">
        <v>241</v>
      </c>
      <c r="I58" s="127">
        <v>1.03</v>
      </c>
      <c r="J58" s="78"/>
      <c r="K58" s="78"/>
      <c r="L58" s="78"/>
      <c r="M58" s="78"/>
      <c r="N58" s="78"/>
    </row>
    <row r="59" spans="1:14" x14ac:dyDescent="0.4">
      <c r="A59" s="122" t="s">
        <v>261</v>
      </c>
      <c r="B59" s="123" t="s">
        <v>107</v>
      </c>
      <c r="C59" s="124">
        <v>0.36799999999999999</v>
      </c>
      <c r="D59" s="124" t="s">
        <v>240</v>
      </c>
      <c r="E59" s="124">
        <v>1.56</v>
      </c>
      <c r="F59" s="125" t="s">
        <v>156</v>
      </c>
      <c r="G59" s="126">
        <v>0.6</v>
      </c>
      <c r="H59" s="124" t="s">
        <v>241</v>
      </c>
      <c r="I59" s="127">
        <v>1.03</v>
      </c>
      <c r="J59" s="78"/>
      <c r="K59" s="78"/>
      <c r="L59" s="78"/>
      <c r="M59" s="78"/>
      <c r="N59" s="78"/>
    </row>
    <row r="60" spans="1:14" x14ac:dyDescent="0.4">
      <c r="A60" s="122" t="s">
        <v>262</v>
      </c>
      <c r="B60" s="123" t="s">
        <v>107</v>
      </c>
      <c r="C60" s="124">
        <v>0.30599999999999999</v>
      </c>
      <c r="D60" s="124" t="s">
        <v>240</v>
      </c>
      <c r="E60" s="124">
        <v>1.56</v>
      </c>
      <c r="F60" s="125" t="s">
        <v>156</v>
      </c>
      <c r="G60" s="126">
        <v>0.6</v>
      </c>
      <c r="H60" s="124" t="s">
        <v>241</v>
      </c>
      <c r="I60" s="127">
        <v>1.03</v>
      </c>
      <c r="J60" s="78"/>
      <c r="K60" s="78"/>
      <c r="L60" s="78"/>
      <c r="M60" s="78"/>
      <c r="N60" s="78"/>
    </row>
    <row r="61" spans="1:14" x14ac:dyDescent="0.4">
      <c r="A61" s="122" t="s">
        <v>263</v>
      </c>
      <c r="B61" s="123" t="s">
        <v>107</v>
      </c>
      <c r="C61" s="124">
        <v>0.313</v>
      </c>
      <c r="D61" s="124" t="s">
        <v>240</v>
      </c>
      <c r="E61" s="124">
        <v>1.56</v>
      </c>
      <c r="F61" s="125" t="s">
        <v>156</v>
      </c>
      <c r="G61" s="126">
        <v>0.6</v>
      </c>
      <c r="H61" s="124" t="s">
        <v>241</v>
      </c>
      <c r="I61" s="127">
        <v>1.03</v>
      </c>
      <c r="J61" s="78"/>
      <c r="K61" s="78"/>
      <c r="L61" s="78"/>
      <c r="M61" s="78"/>
      <c r="N61" s="78"/>
    </row>
    <row r="62" spans="1:14" x14ac:dyDescent="0.4">
      <c r="A62" s="122" t="s">
        <v>264</v>
      </c>
      <c r="B62" s="123" t="s">
        <v>265</v>
      </c>
      <c r="C62" s="124">
        <v>0.37</v>
      </c>
      <c r="D62" s="124" t="s">
        <v>155</v>
      </c>
      <c r="E62" s="124">
        <v>1.56</v>
      </c>
      <c r="F62" s="125" t="s">
        <v>156</v>
      </c>
      <c r="G62" s="126">
        <v>0.6</v>
      </c>
      <c r="H62" s="124" t="s">
        <v>241</v>
      </c>
      <c r="I62" s="127">
        <v>1.03</v>
      </c>
      <c r="J62" s="78"/>
      <c r="K62" s="78"/>
      <c r="L62" s="78"/>
      <c r="M62" s="78"/>
      <c r="N62" s="78"/>
    </row>
    <row r="63" spans="1:14" x14ac:dyDescent="0.4">
      <c r="A63" s="122" t="s">
        <v>266</v>
      </c>
      <c r="B63" s="123" t="s">
        <v>267</v>
      </c>
      <c r="C63" s="124">
        <v>0.45</v>
      </c>
      <c r="D63" s="124" t="s">
        <v>155</v>
      </c>
      <c r="E63" s="124">
        <v>1.3</v>
      </c>
      <c r="F63" s="125" t="s">
        <v>156</v>
      </c>
      <c r="G63" s="126">
        <v>0.45</v>
      </c>
      <c r="H63" s="124" t="s">
        <v>268</v>
      </c>
      <c r="I63" s="127">
        <v>0.43</v>
      </c>
      <c r="J63" s="78"/>
      <c r="K63" s="78"/>
      <c r="L63" s="78"/>
      <c r="M63" s="78"/>
      <c r="N63" s="78"/>
    </row>
    <row r="64" spans="1:14" x14ac:dyDescent="0.4">
      <c r="A64" s="122" t="s">
        <v>269</v>
      </c>
      <c r="B64" s="123" t="s">
        <v>270</v>
      </c>
      <c r="C64" s="124">
        <v>0.39</v>
      </c>
      <c r="D64" s="124" t="s">
        <v>155</v>
      </c>
      <c r="E64" s="124">
        <v>1.3</v>
      </c>
      <c r="F64" s="125" t="s">
        <v>156</v>
      </c>
      <c r="G64" s="126">
        <v>0.45</v>
      </c>
      <c r="H64" s="124" t="s">
        <v>268</v>
      </c>
      <c r="I64" s="127">
        <v>0.43</v>
      </c>
      <c r="J64" s="78"/>
      <c r="K64" s="78"/>
      <c r="L64" s="78"/>
      <c r="M64" s="78"/>
      <c r="N64" s="78"/>
    </row>
    <row r="65" spans="1:14" x14ac:dyDescent="0.4">
      <c r="A65" s="122" t="s">
        <v>271</v>
      </c>
      <c r="B65" s="123" t="s">
        <v>272</v>
      </c>
      <c r="C65" s="124">
        <v>0.44</v>
      </c>
      <c r="D65" s="124" t="s">
        <v>155</v>
      </c>
      <c r="E65" s="124">
        <v>1.3</v>
      </c>
      <c r="F65" s="125" t="s">
        <v>156</v>
      </c>
      <c r="G65" s="126">
        <v>0.45</v>
      </c>
      <c r="H65" s="124" t="s">
        <v>268</v>
      </c>
      <c r="I65" s="127">
        <v>0.43</v>
      </c>
      <c r="J65" s="78"/>
      <c r="K65" s="78"/>
      <c r="L65" s="78"/>
      <c r="M65" s="78"/>
      <c r="N65" s="78"/>
    </row>
    <row r="66" spans="1:14" x14ac:dyDescent="0.4">
      <c r="A66" s="122" t="s">
        <v>273</v>
      </c>
      <c r="B66" s="123" t="s">
        <v>274</v>
      </c>
      <c r="C66" s="124">
        <v>0.46</v>
      </c>
      <c r="D66" s="124" t="s">
        <v>155</v>
      </c>
      <c r="E66" s="124">
        <v>1.3</v>
      </c>
      <c r="F66" s="125" t="s">
        <v>156</v>
      </c>
      <c r="G66" s="126">
        <v>0.45</v>
      </c>
      <c r="H66" s="124" t="s">
        <v>268</v>
      </c>
      <c r="I66" s="127">
        <v>0.43</v>
      </c>
      <c r="J66" s="78"/>
      <c r="K66" s="78"/>
      <c r="L66" s="78"/>
      <c r="M66" s="78"/>
      <c r="N66" s="78"/>
    </row>
    <row r="67" spans="1:14" x14ac:dyDescent="0.4">
      <c r="A67" s="122" t="s">
        <v>19</v>
      </c>
      <c r="B67" s="123" t="s">
        <v>275</v>
      </c>
      <c r="C67" s="124">
        <v>0.46</v>
      </c>
      <c r="D67" s="124" t="s">
        <v>155</v>
      </c>
      <c r="E67" s="124">
        <v>1.3</v>
      </c>
      <c r="F67" s="125" t="s">
        <v>156</v>
      </c>
      <c r="G67" s="126">
        <v>0.45</v>
      </c>
      <c r="H67" s="124" t="s">
        <v>182</v>
      </c>
      <c r="I67" s="127">
        <v>0.59</v>
      </c>
      <c r="J67" s="78"/>
      <c r="K67" s="78"/>
      <c r="L67" s="78"/>
      <c r="M67" s="78"/>
      <c r="N67" s="78"/>
    </row>
    <row r="68" spans="1:14" x14ac:dyDescent="0.4">
      <c r="A68" s="122" t="s">
        <v>276</v>
      </c>
      <c r="B68" s="123" t="s">
        <v>277</v>
      </c>
      <c r="C68" s="124">
        <v>0.44</v>
      </c>
      <c r="D68" s="124" t="s">
        <v>155</v>
      </c>
      <c r="E68" s="124">
        <v>1.3</v>
      </c>
      <c r="F68" s="125" t="s">
        <v>156</v>
      </c>
      <c r="G68" s="126">
        <v>0.45</v>
      </c>
      <c r="H68" s="124" t="s">
        <v>268</v>
      </c>
      <c r="I68" s="127">
        <v>0.43</v>
      </c>
      <c r="J68" s="78"/>
      <c r="K68" s="78"/>
      <c r="L68" s="78"/>
      <c r="M68" s="78"/>
      <c r="N68" s="78"/>
    </row>
    <row r="69" spans="1:14" x14ac:dyDescent="0.4">
      <c r="A69" s="122" t="s">
        <v>278</v>
      </c>
      <c r="B69" s="123" t="s">
        <v>279</v>
      </c>
      <c r="C69" s="124">
        <v>0.46</v>
      </c>
      <c r="D69" s="124" t="s">
        <v>155</v>
      </c>
      <c r="E69" s="124">
        <v>1.3</v>
      </c>
      <c r="F69" s="125" t="s">
        <v>156</v>
      </c>
      <c r="G69" s="126">
        <v>0.45</v>
      </c>
      <c r="H69" s="124" t="s">
        <v>268</v>
      </c>
      <c r="I69" s="127">
        <v>0.43</v>
      </c>
      <c r="J69" s="78"/>
      <c r="K69" s="78"/>
      <c r="L69" s="78"/>
      <c r="M69" s="78"/>
      <c r="N69" s="78"/>
    </row>
    <row r="70" spans="1:14" x14ac:dyDescent="0.4">
      <c r="A70" s="122" t="s">
        <v>280</v>
      </c>
      <c r="B70" s="123" t="s">
        <v>281</v>
      </c>
      <c r="C70" s="124">
        <v>0.48</v>
      </c>
      <c r="D70" s="124" t="s">
        <v>155</v>
      </c>
      <c r="E70" s="124">
        <v>2.4</v>
      </c>
      <c r="F70" s="124" t="s">
        <v>282</v>
      </c>
      <c r="G70" s="126">
        <v>0.45</v>
      </c>
      <c r="H70" s="124" t="s">
        <v>268</v>
      </c>
      <c r="I70" s="127">
        <v>0.43</v>
      </c>
      <c r="J70" s="78"/>
      <c r="K70" s="78"/>
      <c r="L70" s="78"/>
      <c r="M70" s="78"/>
      <c r="N70" s="78"/>
    </row>
    <row r="71" spans="1:14" x14ac:dyDescent="0.4">
      <c r="A71" s="122" t="s">
        <v>283</v>
      </c>
      <c r="B71" s="123" t="s">
        <v>284</v>
      </c>
      <c r="C71" s="124">
        <v>0.46</v>
      </c>
      <c r="D71" s="124" t="s">
        <v>285</v>
      </c>
      <c r="E71" s="124">
        <v>1.3</v>
      </c>
      <c r="F71" s="125" t="s">
        <v>156</v>
      </c>
      <c r="G71" s="126">
        <v>0.45</v>
      </c>
      <c r="H71" s="124" t="s">
        <v>268</v>
      </c>
      <c r="I71" s="127">
        <v>0.43</v>
      </c>
      <c r="J71" s="78"/>
      <c r="K71" s="78"/>
      <c r="L71" s="78"/>
      <c r="M71" s="78"/>
      <c r="N71" s="78"/>
    </row>
    <row r="72" spans="1:14" x14ac:dyDescent="0.4">
      <c r="A72" s="122" t="s">
        <v>286</v>
      </c>
      <c r="B72" s="123" t="s">
        <v>287</v>
      </c>
      <c r="C72" s="124">
        <v>0.44</v>
      </c>
      <c r="D72" s="124" t="s">
        <v>155</v>
      </c>
      <c r="E72" s="124">
        <v>1.3</v>
      </c>
      <c r="F72" s="125" t="s">
        <v>156</v>
      </c>
      <c r="G72" s="126">
        <v>0.45</v>
      </c>
      <c r="H72" s="124" t="s">
        <v>268</v>
      </c>
      <c r="I72" s="127">
        <v>0.43</v>
      </c>
      <c r="J72" s="78"/>
      <c r="K72" s="78"/>
      <c r="L72" s="78"/>
      <c r="M72" s="78"/>
      <c r="N72" s="78"/>
    </row>
    <row r="73" spans="1:14" x14ac:dyDescent="0.4">
      <c r="A73" s="122" t="s">
        <v>288</v>
      </c>
      <c r="B73" s="123" t="s">
        <v>289</v>
      </c>
      <c r="C73" s="124">
        <v>0.46</v>
      </c>
      <c r="D73" s="124" t="s">
        <v>290</v>
      </c>
      <c r="E73" s="124">
        <v>1.3</v>
      </c>
      <c r="F73" s="125" t="s">
        <v>156</v>
      </c>
      <c r="G73" s="126">
        <v>0.45</v>
      </c>
      <c r="H73" s="124" t="s">
        <v>268</v>
      </c>
      <c r="I73" s="127">
        <v>0.43</v>
      </c>
      <c r="J73" s="78"/>
      <c r="K73" s="78"/>
      <c r="L73" s="78"/>
      <c r="M73" s="78"/>
      <c r="N73" s="78"/>
    </row>
    <row r="74" spans="1:14" x14ac:dyDescent="0.4">
      <c r="A74" s="122" t="s">
        <v>291</v>
      </c>
      <c r="B74" s="123" t="s">
        <v>292</v>
      </c>
      <c r="C74" s="124">
        <v>0.34</v>
      </c>
      <c r="D74" s="124" t="s">
        <v>155</v>
      </c>
      <c r="E74" s="124">
        <v>1.3</v>
      </c>
      <c r="F74" s="125" t="s">
        <v>156</v>
      </c>
      <c r="G74" s="126">
        <v>0.45</v>
      </c>
      <c r="H74" s="124" t="s">
        <v>268</v>
      </c>
      <c r="I74" s="127">
        <v>0.43</v>
      </c>
      <c r="J74" s="78"/>
      <c r="K74" s="78"/>
      <c r="L74" s="78"/>
      <c r="M74" s="78"/>
      <c r="N74" s="78"/>
    </row>
    <row r="75" spans="1:14" x14ac:dyDescent="0.4">
      <c r="A75" s="122" t="s">
        <v>293</v>
      </c>
      <c r="B75" s="123" t="s">
        <v>294</v>
      </c>
      <c r="C75" s="124">
        <v>0.5</v>
      </c>
      <c r="D75" s="124" t="s">
        <v>155</v>
      </c>
      <c r="E75" s="124">
        <v>1.56</v>
      </c>
      <c r="F75" s="125" t="s">
        <v>156</v>
      </c>
      <c r="G75" s="126">
        <v>0.53</v>
      </c>
      <c r="H75" s="124" t="s">
        <v>212</v>
      </c>
      <c r="I75" s="127">
        <v>0.25</v>
      </c>
      <c r="J75" s="78"/>
      <c r="K75" s="78"/>
      <c r="L75" s="78"/>
      <c r="M75" s="78"/>
      <c r="N75" s="78"/>
    </row>
    <row r="76" spans="1:14" x14ac:dyDescent="0.4">
      <c r="A76" s="122" t="s">
        <v>295</v>
      </c>
      <c r="B76" s="123" t="s">
        <v>296</v>
      </c>
      <c r="C76" s="124">
        <v>0.57999999999999996</v>
      </c>
      <c r="D76" s="124" t="s">
        <v>155</v>
      </c>
      <c r="E76" s="124">
        <v>1.56</v>
      </c>
      <c r="F76" s="125" t="s">
        <v>156</v>
      </c>
      <c r="G76" s="126">
        <v>0.3</v>
      </c>
      <c r="H76" s="124" t="s">
        <v>297</v>
      </c>
      <c r="I76" s="127">
        <v>0.25</v>
      </c>
      <c r="J76" s="78"/>
      <c r="K76" s="78"/>
      <c r="L76" s="78"/>
      <c r="M76" s="78"/>
      <c r="N76" s="78"/>
    </row>
    <row r="77" spans="1:14" x14ac:dyDescent="0.4">
      <c r="A77" s="122" t="s">
        <v>298</v>
      </c>
      <c r="B77" s="123" t="s">
        <v>299</v>
      </c>
      <c r="C77" s="124">
        <v>0.37</v>
      </c>
      <c r="D77" s="124" t="s">
        <v>155</v>
      </c>
      <c r="E77" s="124">
        <v>1.3</v>
      </c>
      <c r="F77" s="125" t="s">
        <v>156</v>
      </c>
      <c r="G77" s="126">
        <v>0.55000000000000004</v>
      </c>
      <c r="H77" s="124" t="s">
        <v>182</v>
      </c>
      <c r="I77" s="127">
        <v>0.43</v>
      </c>
      <c r="J77" s="78"/>
      <c r="K77" s="78"/>
      <c r="L77" s="78"/>
      <c r="M77" s="78"/>
      <c r="N77" s="78"/>
    </row>
    <row r="78" spans="1:14" x14ac:dyDescent="0.4">
      <c r="A78" s="122" t="s">
        <v>300</v>
      </c>
      <c r="B78" s="123" t="s">
        <v>301</v>
      </c>
      <c r="C78" s="124">
        <v>0.37</v>
      </c>
      <c r="D78" s="124" t="s">
        <v>155</v>
      </c>
      <c r="E78" s="124">
        <v>1.3</v>
      </c>
      <c r="F78" s="125" t="s">
        <v>156</v>
      </c>
      <c r="G78" s="126">
        <v>0.55000000000000004</v>
      </c>
      <c r="H78" s="124" t="s">
        <v>182</v>
      </c>
      <c r="I78" s="127">
        <v>0.43</v>
      </c>
      <c r="J78" s="78"/>
      <c r="K78" s="78"/>
      <c r="L78" s="78"/>
      <c r="M78" s="78"/>
      <c r="N78" s="78"/>
    </row>
    <row r="79" spans="1:14" x14ac:dyDescent="0.4">
      <c r="A79" s="122" t="s">
        <v>302</v>
      </c>
      <c r="B79" s="123" t="s">
        <v>303</v>
      </c>
      <c r="C79" s="124">
        <v>0.38</v>
      </c>
      <c r="D79" s="124" t="s">
        <v>155</v>
      </c>
      <c r="E79" s="124">
        <v>1.3</v>
      </c>
      <c r="F79" s="125" t="s">
        <v>156</v>
      </c>
      <c r="G79" s="126">
        <v>0.55000000000000004</v>
      </c>
      <c r="H79" s="124" t="s">
        <v>172</v>
      </c>
      <c r="I79" s="127">
        <v>0.43</v>
      </c>
      <c r="J79" s="78"/>
      <c r="K79" s="78"/>
      <c r="L79" s="78"/>
      <c r="M79" s="78"/>
      <c r="N79" s="78"/>
    </row>
    <row r="80" spans="1:14" x14ac:dyDescent="0.4">
      <c r="A80" s="122" t="s">
        <v>304</v>
      </c>
      <c r="B80" s="123" t="s">
        <v>305</v>
      </c>
      <c r="C80" s="124">
        <v>0.36</v>
      </c>
      <c r="D80" s="124" t="s">
        <v>155</v>
      </c>
      <c r="E80" s="124">
        <v>1.3</v>
      </c>
      <c r="F80" s="125" t="s">
        <v>156</v>
      </c>
      <c r="G80" s="126">
        <v>0.55000000000000004</v>
      </c>
      <c r="H80" s="124" t="s">
        <v>172</v>
      </c>
      <c r="I80" s="127">
        <v>0.43</v>
      </c>
      <c r="J80" s="78"/>
      <c r="K80" s="78"/>
      <c r="L80" s="78"/>
      <c r="M80" s="78"/>
      <c r="N80" s="78"/>
    </row>
    <row r="81" spans="1:14" x14ac:dyDescent="0.4">
      <c r="A81" s="122" t="s">
        <v>306</v>
      </c>
      <c r="B81" s="123" t="s">
        <v>307</v>
      </c>
      <c r="C81" s="124">
        <v>0.37</v>
      </c>
      <c r="D81" s="124" t="s">
        <v>155</v>
      </c>
      <c r="E81" s="124">
        <v>1.56</v>
      </c>
      <c r="F81" s="125" t="s">
        <v>156</v>
      </c>
      <c r="G81" s="126">
        <v>0.43</v>
      </c>
      <c r="H81" s="124" t="s">
        <v>157</v>
      </c>
      <c r="I81" s="127">
        <v>0.25</v>
      </c>
      <c r="J81" s="78"/>
      <c r="K81" s="78"/>
      <c r="L81" s="78"/>
      <c r="M81" s="78"/>
      <c r="N81" s="78"/>
    </row>
    <row r="82" spans="1:14" x14ac:dyDescent="0.4">
      <c r="A82" s="122" t="s">
        <v>308</v>
      </c>
      <c r="B82" s="123" t="s">
        <v>309</v>
      </c>
      <c r="C82" s="124">
        <v>0.35</v>
      </c>
      <c r="D82" s="124" t="s">
        <v>310</v>
      </c>
      <c r="E82" s="124">
        <v>1.3</v>
      </c>
      <c r="F82" s="125" t="s">
        <v>156</v>
      </c>
      <c r="G82" s="126">
        <v>0.55000000000000004</v>
      </c>
      <c r="H82" s="124" t="s">
        <v>172</v>
      </c>
      <c r="I82" s="127">
        <v>0.43</v>
      </c>
      <c r="J82" s="78"/>
      <c r="K82" s="78"/>
      <c r="L82" s="78"/>
      <c r="M82" s="78"/>
      <c r="N82" s="78"/>
    </row>
    <row r="83" spans="1:14" x14ac:dyDescent="0.4">
      <c r="A83" s="122" t="s">
        <v>311</v>
      </c>
      <c r="B83" s="123" t="s">
        <v>312</v>
      </c>
      <c r="C83" s="124">
        <v>0.34</v>
      </c>
      <c r="D83" s="124" t="s">
        <v>155</v>
      </c>
      <c r="E83" s="124">
        <v>1.3</v>
      </c>
      <c r="F83" s="125" t="s">
        <v>156</v>
      </c>
      <c r="G83" s="126">
        <v>0.55000000000000004</v>
      </c>
      <c r="H83" s="124" t="s">
        <v>172</v>
      </c>
      <c r="I83" s="127">
        <v>0.43</v>
      </c>
      <c r="J83" s="78"/>
      <c r="K83" s="78"/>
      <c r="L83" s="78"/>
      <c r="M83" s="78"/>
      <c r="N83" s="78"/>
    </row>
    <row r="84" spans="1:14" x14ac:dyDescent="0.4">
      <c r="A84" s="122" t="s">
        <v>313</v>
      </c>
      <c r="B84" s="123" t="s">
        <v>314</v>
      </c>
      <c r="C84" s="124">
        <v>0.31</v>
      </c>
      <c r="D84" s="124" t="s">
        <v>155</v>
      </c>
      <c r="E84" s="124">
        <v>1.3</v>
      </c>
      <c r="F84" s="125" t="s">
        <v>156</v>
      </c>
      <c r="G84" s="126">
        <v>0.55000000000000004</v>
      </c>
      <c r="H84" s="124" t="s">
        <v>172</v>
      </c>
      <c r="I84" s="127">
        <v>0.43</v>
      </c>
      <c r="J84" s="78"/>
      <c r="K84" s="78"/>
      <c r="L84" s="78"/>
      <c r="M84" s="78"/>
      <c r="N84" s="78"/>
    </row>
    <row r="85" spans="1:14" x14ac:dyDescent="0.4">
      <c r="A85" s="122" t="s">
        <v>315</v>
      </c>
      <c r="B85" s="123" t="s">
        <v>316</v>
      </c>
      <c r="C85" s="124">
        <v>0.43</v>
      </c>
      <c r="D85" s="124" t="s">
        <v>155</v>
      </c>
      <c r="E85" s="124">
        <v>1.56</v>
      </c>
      <c r="F85" s="125" t="s">
        <v>156</v>
      </c>
      <c r="G85" s="126">
        <v>0.53</v>
      </c>
      <c r="H85" s="124" t="s">
        <v>212</v>
      </c>
      <c r="I85" s="127">
        <v>0.25</v>
      </c>
      <c r="J85" s="78"/>
      <c r="K85" s="78"/>
      <c r="L85" s="78"/>
      <c r="M85" s="78"/>
      <c r="N85" s="78"/>
    </row>
    <row r="86" spans="1:14" x14ac:dyDescent="0.4">
      <c r="A86" s="122" t="s">
        <v>317</v>
      </c>
      <c r="B86" s="123" t="s">
        <v>318</v>
      </c>
      <c r="C86" s="124">
        <v>0.38</v>
      </c>
      <c r="D86" s="124" t="s">
        <v>155</v>
      </c>
      <c r="E86" s="124">
        <v>1.56</v>
      </c>
      <c r="F86" s="125" t="s">
        <v>156</v>
      </c>
      <c r="G86" s="126">
        <v>0.6</v>
      </c>
      <c r="H86" s="124" t="s">
        <v>319</v>
      </c>
      <c r="I86" s="127">
        <v>0.25</v>
      </c>
      <c r="J86" s="78"/>
      <c r="K86" s="78"/>
      <c r="L86" s="78"/>
      <c r="M86" s="78"/>
      <c r="N86" s="78"/>
    </row>
    <row r="87" spans="1:14" x14ac:dyDescent="0.4">
      <c r="A87" s="251" t="s">
        <v>320</v>
      </c>
      <c r="B87" s="252" t="s">
        <v>321</v>
      </c>
      <c r="C87" s="253">
        <v>0.41</v>
      </c>
      <c r="D87" s="253" t="s">
        <v>322</v>
      </c>
      <c r="E87" s="253">
        <v>1.56</v>
      </c>
      <c r="F87" s="254" t="s">
        <v>156</v>
      </c>
      <c r="G87" s="255">
        <v>0.43</v>
      </c>
      <c r="H87" s="253" t="s">
        <v>157</v>
      </c>
      <c r="I87" s="256">
        <v>0.25</v>
      </c>
      <c r="J87" s="78"/>
      <c r="K87" s="78"/>
      <c r="L87" s="78"/>
      <c r="M87" s="78"/>
      <c r="N87" s="78"/>
    </row>
    <row r="88" spans="1:14" x14ac:dyDescent="0.4">
      <c r="A88" s="122" t="s">
        <v>81</v>
      </c>
      <c r="B88" s="130"/>
      <c r="C88" s="124">
        <v>0.42</v>
      </c>
      <c r="D88" s="124" t="s">
        <v>155</v>
      </c>
      <c r="E88" s="124">
        <v>1.3</v>
      </c>
      <c r="F88" s="125" t="s">
        <v>156</v>
      </c>
      <c r="G88" s="131"/>
      <c r="H88" s="130"/>
      <c r="I88" s="132"/>
    </row>
    <row r="89" spans="1:14" ht="15" thickBot="1" x14ac:dyDescent="0.45">
      <c r="A89" s="133" t="s">
        <v>323</v>
      </c>
      <c r="B89" s="134"/>
      <c r="C89" s="135">
        <v>0.56999999999999995</v>
      </c>
      <c r="D89" s="136" t="s">
        <v>155</v>
      </c>
      <c r="E89" s="135">
        <v>1.56</v>
      </c>
      <c r="F89" s="135" t="s">
        <v>156</v>
      </c>
      <c r="G89" s="134"/>
      <c r="H89" s="134"/>
      <c r="I89" s="137"/>
    </row>
    <row r="93" spans="1:14" x14ac:dyDescent="0.4">
      <c r="A93" s="122" t="s">
        <v>82</v>
      </c>
    </row>
    <row r="94" spans="1:14" x14ac:dyDescent="0.4">
      <c r="A94" s="122" t="s">
        <v>83</v>
      </c>
    </row>
    <row r="95" spans="1:14" x14ac:dyDescent="0.4">
      <c r="A95" s="122" t="s">
        <v>84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8AC9D696-D84B-4CC2-BEF6-E410D8F02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646556-3F16-46C4-9E73-D2C9AA132D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404A52-7464-49AD-B9F8-BD15FA5D5342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REE</vt:lpstr>
      <vt:lpstr>VAN</vt:lpstr>
      <vt:lpstr>Calculateur</vt:lpstr>
      <vt:lpstr>Paramètres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Constantin DESCAMPS</cp:lastModifiedBy>
  <cp:revision/>
  <dcterms:created xsi:type="dcterms:W3CDTF">2021-02-01T08:22:39Z</dcterms:created>
  <dcterms:modified xsi:type="dcterms:W3CDTF">2024-10-18T09:35:23Z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MediaServiceImageTags">
    <vt:lpwstr/>
  </property>
</Properties>
</file>