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Déposé\PRUNOY MORISOIS\"/>
    </mc:Choice>
  </mc:AlternateContent>
  <xr:revisionPtr revIDLastSave="0" documentId="13_ncr:1_{8EBA6DB1-5431-4576-9EAD-D8F04ED9D78E}" xr6:coauthVersionLast="47" xr6:coauthVersionMax="47" xr10:uidLastSave="{00000000-0000-0000-0000-000000000000}"/>
  <bookViews>
    <workbookView xWindow="12330" yWindow="2535" windowWidth="13830" windowHeight="122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8" i="1" l="1"/>
  <c r="B68" i="1"/>
  <c r="D67" i="1"/>
  <c r="B67" i="1"/>
  <c r="D66" i="1"/>
  <c r="B66" i="1"/>
  <c r="D65" i="1"/>
  <c r="B65" i="1"/>
  <c r="D64" i="1"/>
  <c r="B64" i="1"/>
  <c r="D63" i="1"/>
  <c r="B63" i="1"/>
  <c r="D62" i="1"/>
  <c r="B62" i="1"/>
  <c r="I20" i="6"/>
  <c r="D94" i="1"/>
  <c r="B94" i="1"/>
  <c r="D93" i="1"/>
  <c r="B93" i="1"/>
  <c r="D92" i="1"/>
  <c r="B92" i="1"/>
  <c r="D91" i="1"/>
  <c r="B91" i="1"/>
  <c r="D90" i="1"/>
  <c r="B90" i="1"/>
  <c r="D89" i="1"/>
  <c r="B89" i="1"/>
  <c r="D88" i="1"/>
  <c r="B88" i="1"/>
  <c r="D53" i="1"/>
  <c r="B53" i="1"/>
  <c r="D52" i="1"/>
  <c r="B52" i="1"/>
  <c r="D51" i="1"/>
  <c r="B51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<sst xmlns="http://schemas.openxmlformats.org/spreadsheetml/2006/main" count="1172" uniqueCount="324">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</sst>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2.6857443894652788</c:v>
                </c:pt>
                <c:pt idx="2">
                  <c:v>3.1220341302776515</c:v>
                </c:pt>
                <c:pt idx="3">
                  <c:v>3.6294543059658344</c:v>
                </c:pt>
                <c:pt idx="4">
                  <c:v>4.2196411947233265</c:v>
                </c:pt>
                <c:pt idx="5">
                  <c:v>4.9061407295843642</c:v>
                </c:pt>
                <c:pt idx="6">
                  <c:v>5.7047228240822028</c:v>
                </c:pt>
                <c:pt idx="7">
                  <c:v>6.6337475768236276</c:v>
                </c:pt>
                <c:pt idx="8">
                  <c:v>7.7145919390154418</c:v>
                </c:pt>
                <c:pt idx="9">
                  <c:v>8.9721468525785806</c:v>
                </c:pt>
                <c:pt idx="10">
                  <c:v>10.435396526672468</c:v>
                </c:pt>
                <c:pt idx="11">
                  <c:v>12.138093456618288</c:v>
                </c:pt>
                <c:pt idx="12">
                  <c:v>14.119545047318164</c:v>
                </c:pt>
                <c:pt idx="13">
                  <c:v>16.42553033694788</c:v>
                </c:pt>
                <c:pt idx="14">
                  <c:v>19.109368388533348</c:v>
                </c:pt>
                <c:pt idx="15">
                  <c:v>22.233163500028613</c:v>
                </c:pt>
                <c:pt idx="16">
                  <c:v>25.869256562909538</c:v>
                </c:pt>
                <c:pt idx="17">
                  <c:v>30.101916774523115</c:v>
                </c:pt>
                <c:pt idx="18">
                  <c:v>35.029313596535836</c:v>
                </c:pt>
                <c:pt idx="19">
                  <c:v>40.765815486236747</c:v>
                </c:pt>
                <c:pt idx="20">
                  <c:v>47.444669667229327</c:v>
                </c:pt>
                <c:pt idx="21">
                  <c:v>55.221126235661643</c:v>
                </c:pt>
                <c:pt idx="22">
                  <c:v>64.276080432892542</c:v>
                </c:pt>
                <c:pt idx="23">
                  <c:v>74.820319206666056</c:v>
                </c:pt>
                <c:pt idx="24">
                  <c:v>87.099472523768256</c:v>
                </c:pt>
                <c:pt idx="25">
                  <c:v>101.39978663012171</c:v>
                </c:pt>
                <c:pt idx="26">
                  <c:v>118.05485597894473</c:v>
                </c:pt>
                <c:pt idx="27">
                  <c:v>137.45347333042426</c:v>
                </c:pt>
                <c:pt idx="28">
                  <c:v>160.04878411183111</c:v>
                </c:pt>
                <c:pt idx="29">
                  <c:v>186.36896215076243</c:v>
                </c:pt>
                <c:pt idx="30">
                  <c:v>217.02966009824979</c:v>
                </c:pt>
                <c:pt idx="31">
                  <c:v>233.29934918161189</c:v>
                </c:pt>
                <c:pt idx="32">
                  <c:v>249.54313827544206</c:v>
                </c:pt>
                <c:pt idx="33">
                  <c:v>265.76295073470305</c:v>
                </c:pt>
                <c:pt idx="34">
                  <c:v>281.96045587897055</c:v>
                </c:pt>
                <c:pt idx="35">
                  <c:v>239.57200365874317</c:v>
                </c:pt>
                <c:pt idx="36">
                  <c:v>258.66397322459017</c:v>
                </c:pt>
                <c:pt idx="37">
                  <c:v>277.72410067515142</c:v>
                </c:pt>
                <c:pt idx="38">
                  <c:v>296.75487826703966</c:v>
                </c:pt>
                <c:pt idx="39">
                  <c:v>315.75845245576846</c:v>
                </c:pt>
                <c:pt idx="40">
                  <c:v>334.73669023881172</c:v>
                </c:pt>
                <c:pt idx="41">
                  <c:v>353.69122965293923</c:v>
                </c:pt>
                <c:pt idx="42">
                  <c:v>372.62351887402855</c:v>
                </c:pt>
                <c:pt idx="43">
                  <c:v>304.4811604279688</c:v>
                </c:pt>
                <c:pt idx="44">
                  <c:v>323.72845473353181</c:v>
                </c:pt>
                <c:pt idx="45">
                  <c:v>342.95046115732583</c:v>
                </c:pt>
                <c:pt idx="46">
                  <c:v>362.14879588268133</c:v>
                </c:pt>
                <c:pt idx="47">
                  <c:v>381.3248897952999</c:v>
                </c:pt>
                <c:pt idx="48">
                  <c:v>400.48001817068416</c:v>
                </c:pt>
                <c:pt idx="49">
                  <c:v>419.6153243839251</c:v>
                </c:pt>
                <c:pt idx="50">
                  <c:v>438.73183906857093</c:v>
                </c:pt>
                <c:pt idx="51">
                  <c:v>356.63981068825109</c:v>
                </c:pt>
                <c:pt idx="52">
                  <c:v>375.2751819801511</c:v>
                </c:pt>
                <c:pt idx="53">
                  <c:v>393.89040213906009</c:v>
                </c:pt>
                <c:pt idx="54">
                  <c:v>412.48655707987967</c:v>
                </c:pt>
                <c:pt idx="55">
                  <c:v>431.06462685517272</c:v>
                </c:pt>
                <c:pt idx="56">
                  <c:v>449.62550018688563</c:v>
                </c:pt>
                <c:pt idx="57">
                  <c:v>468.16998647367103</c:v>
                </c:pt>
                <c:pt idx="58">
                  <c:v>486.69882579693893</c:v>
                </c:pt>
                <c:pt idx="59">
                  <c:v>413.23439994638017</c:v>
                </c:pt>
                <c:pt idx="60">
                  <c:v>430.97219592837968</c:v>
                </c:pt>
                <c:pt idx="61">
                  <c:v>448.69431201217094</c:v>
                </c:pt>
                <c:pt idx="62">
                  <c:v>466.40145438313789</c:v>
                </c:pt>
                <c:pt idx="63">
                  <c:v>484.09427125729331</c:v>
                </c:pt>
                <c:pt idx="64">
                  <c:v>501.77335962815204</c:v>
                </c:pt>
                <c:pt idx="65">
                  <c:v>519.4392710135229</c:v>
                </c:pt>
                <c:pt idx="66">
                  <c:v>537.09251638010244</c:v>
                </c:pt>
                <c:pt idx="67">
                  <c:v>449.95486925959204</c:v>
                </c:pt>
                <c:pt idx="68">
                  <c:v>466.6352163771781</c:v>
                </c:pt>
                <c:pt idx="69">
                  <c:v>483.30285804649662</c:v>
                </c:pt>
                <c:pt idx="70">
                  <c:v>499.95829393317217</c:v>
                </c:pt>
                <c:pt idx="71">
                  <c:v>516.60198771211776</c:v>
                </c:pt>
                <c:pt idx="72">
                  <c:v>533.23437075982554</c:v>
                </c:pt>
                <c:pt idx="73">
                  <c:v>549.85584536218471</c:v>
                </c:pt>
                <c:pt idx="74">
                  <c:v>566.46678751441152</c:v>
                </c:pt>
                <c:pt idx="75">
                  <c:v>481.14515659638232</c:v>
                </c:pt>
                <c:pt idx="76">
                  <c:v>496.8192212898191</c:v>
                </c:pt>
                <c:pt idx="77">
                  <c:v>512.4828143853855</c:v>
                </c:pt>
                <c:pt idx="78">
                  <c:v>528.13630087550121</c:v>
                </c:pt>
                <c:pt idx="79">
                  <c:v>543.78002236188331</c:v>
                </c:pt>
                <c:pt idx="80">
                  <c:v>559.41429919824748</c:v>
                </c:pt>
                <c:pt idx="81">
                  <c:v>575.03943238111356</c:v>
                </c:pt>
                <c:pt idx="82">
                  <c:v>590.65570522450832</c:v>
                </c:pt>
                <c:pt idx="83">
                  <c:v>528.50902868707601</c:v>
                </c:pt>
                <c:pt idx="84">
                  <c:v>543.56541133325175</c:v>
                </c:pt>
                <c:pt idx="85">
                  <c:v>558.61304131693703</c:v>
                </c:pt>
                <c:pt idx="86">
                  <c:v>573.65218751421037</c:v>
                </c:pt>
                <c:pt idx="87">
                  <c:v>588.68310356054678</c:v>
                </c:pt>
                <c:pt idx="88">
                  <c:v>603.70602908982733</c:v>
                </c:pt>
                <c:pt idx="89">
                  <c:v>618.72119084367489</c:v>
                </c:pt>
                <c:pt idx="90">
                  <c:v>633.72880366755624</c:v>
                </c:pt>
                <c:pt idx="91">
                  <c:v>557.88346206307892</c:v>
                </c:pt>
                <c:pt idx="92">
                  <c:v>572.38676311297058</c:v>
                </c:pt>
                <c:pt idx="93">
                  <c:v>586.88239135079641</c:v>
                </c:pt>
                <c:pt idx="94">
                  <c:v>601.37056289851682</c:v>
                </c:pt>
                <c:pt idx="95">
                  <c:v>615.85148262061796</c:v>
                </c:pt>
                <c:pt idx="96">
                  <c:v>630.32534496689959</c:v>
                </c:pt>
                <c:pt idx="97">
                  <c:v>644.79233473387114</c:v>
                </c:pt>
                <c:pt idx="98">
                  <c:v>659.25262775429837</c:v>
                </c:pt>
                <c:pt idx="99">
                  <c:v>673.70639152314664</c:v>
                </c:pt>
                <c:pt idx="100">
                  <c:v>688.15378576704654</c:v>
                </c:pt>
                <c:pt idx="101">
                  <c:v>580.3495169316717</c:v>
                </c:pt>
                <c:pt idx="102">
                  <c:v>594.23756277685459</c:v>
                </c:pt>
                <c:pt idx="103">
                  <c:v>608.11885699251968</c:v>
                </c:pt>
                <c:pt idx="104">
                  <c:v>621.99357533785758</c:v>
                </c:pt>
                <c:pt idx="105">
                  <c:v>635.86188509529109</c:v>
                </c:pt>
                <c:pt idx="106">
                  <c:v>649.72394565911247</c:v>
                </c:pt>
                <c:pt idx="107">
                  <c:v>663.57990907129715</c:v>
                </c:pt>
                <c:pt idx="108">
                  <c:v>677.42992051026795</c:v>
                </c:pt>
                <c:pt idx="109">
                  <c:v>691.27411873763378</c:v>
                </c:pt>
                <c:pt idx="110">
                  <c:v>705.11263650730291</c:v>
                </c:pt>
                <c:pt idx="111">
                  <c:v>623.42557076354058</c:v>
                </c:pt>
                <c:pt idx="112">
                  <c:v>637.10988303719455</c:v>
                </c:pt>
                <c:pt idx="113">
                  <c:v>650.78812393060309</c:v>
                </c:pt>
                <c:pt idx="114">
                  <c:v>664.46043896444064</c:v>
                </c:pt>
                <c:pt idx="115">
                  <c:v>678.12696718579889</c:v>
                </c:pt>
                <c:pt idx="116">
                  <c:v>691.78784158353881</c:v>
                </c:pt>
                <c:pt idx="117">
                  <c:v>705.44318946914564</c:v>
                </c:pt>
                <c:pt idx="118">
                  <c:v>719.09313282658798</c:v>
                </c:pt>
                <c:pt idx="119">
                  <c:v>732.73778863424411</c:v>
                </c:pt>
                <c:pt idx="120">
                  <c:v>746.3772691616241</c:v>
                </c:pt>
                <c:pt idx="121">
                  <c:v>674.5439171068449</c:v>
                </c:pt>
                <c:pt idx="122">
                  <c:v>688.20260040166215</c:v>
                </c:pt>
                <c:pt idx="123">
                  <c:v>701.85572727628733</c:v>
                </c:pt>
                <c:pt idx="124">
                  <c:v>715.50342098236149</c:v>
                </c:pt>
                <c:pt idx="125">
                  <c:v>729.14579968934993</c:v>
                </c:pt>
                <c:pt idx="126">
                  <c:v>742.782976787238</c:v>
                </c:pt>
                <c:pt idx="127">
                  <c:v>756.41506116585845</c:v>
                </c:pt>
                <c:pt idx="128">
                  <c:v>770.04215747305261</c:v>
                </c:pt>
                <c:pt idx="129">
                  <c:v>783.66436635362095</c:v>
                </c:pt>
                <c:pt idx="130">
                  <c:v>797.28178467080909</c:v>
                </c:pt>
                <c:pt idx="131">
                  <c:v>713.37917246490554</c:v>
                </c:pt>
                <c:pt idx="132">
                  <c:v>727.11745261066346</c:v>
                </c:pt>
                <c:pt idx="133">
                  <c:v>740.85044157147502</c:v>
                </c:pt>
                <c:pt idx="134">
                  <c:v>754.57825118102039</c:v>
                </c:pt>
                <c:pt idx="135">
                  <c:v>768.30098887504801</c:v>
                </c:pt>
                <c:pt idx="136">
                  <c:v>782.01875794141324</c:v>
                </c:pt>
                <c:pt idx="137">
                  <c:v>795.73165775167456</c:v>
                </c:pt>
                <c:pt idx="138">
                  <c:v>809.43978397591002</c:v>
                </c:pt>
                <c:pt idx="139">
                  <c:v>823.14322878223766</c:v>
                </c:pt>
                <c:pt idx="140">
                  <c:v>836.84208102237096</c:v>
                </c:pt>
                <c:pt idx="141">
                  <c:v>754.77192441771376</c:v>
                </c:pt>
                <c:pt idx="142">
                  <c:v>768.51042037633067</c:v>
                </c:pt>
                <c:pt idx="143">
                  <c:v>782.24393778449996</c:v>
                </c:pt>
                <c:pt idx="144">
                  <c:v>795.97257629769945</c:v>
                </c:pt>
                <c:pt idx="145">
                  <c:v>809.69643185621999</c:v>
                </c:pt>
                <c:pt idx="146">
                  <c:v>823.41559688559244</c:v>
                </c:pt>
                <c:pt idx="147">
                  <c:v>837.13016048297004</c:v>
                </c:pt>
                <c:pt idx="148">
                  <c:v>850.84020859067994</c:v>
                </c:pt>
                <c:pt idx="149">
                  <c:v>864.54582415801235</c:v>
                </c:pt>
                <c:pt idx="150">
                  <c:v>878.24708729223005</c:v>
                </c:pt>
                <c:pt idx="151">
                  <c:v>549.64639299167777</c:v>
                </c:pt>
                <c:pt idx="152">
                  <c:v>561.16482880194019</c:v>
                </c:pt>
                <c:pt idx="153">
                  <c:v>572.67831815051125</c:v>
                </c:pt>
                <c:pt idx="154">
                  <c:v>375.91176747689912</c:v>
                </c:pt>
                <c:pt idx="155">
                  <c:v>381.16425054600518</c:v>
                </c:pt>
                <c:pt idx="156">
                  <c:v>386.41515941560237</c:v>
                </c:pt>
                <c:pt idx="157">
                  <c:v>263.62343412107509</c:v>
                </c:pt>
                <c:pt idx="158">
                  <c:v>266.73759424597955</c:v>
                </c:pt>
                <c:pt idx="159">
                  <c:v>269.85093503021159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1.8657311255390123</c:v>
                </c:pt>
                <c:pt idx="2">
                  <c:v>2.2444369493147502</c:v>
                </c:pt>
                <c:pt idx="3">
                  <c:v>2.7003052100180258</c:v>
                </c:pt>
                <c:pt idx="4">
                  <c:v>3.2491144211917753</c:v>
                </c:pt>
                <c:pt idx="5">
                  <c:v>3.909880393761179</c:v>
                </c:pt>
                <c:pt idx="6">
                  <c:v>4.7055225101143057</c:v>
                </c:pt>
                <c:pt idx="7">
                  <c:v>5.6636675207308</c:v>
                </c:pt>
                <c:pt idx="8">
                  <c:v>6.8176193239321679</c:v>
                </c:pt>
                <c:pt idx="9">
                  <c:v>8.2075290935528908</c:v>
                </c:pt>
                <c:pt idx="10">
                  <c:v>9.8818072510996942</c:v>
                </c:pt>
                <c:pt idx="11">
                  <c:v>11.89882739400254</c:v>
                </c:pt>
                <c:pt idx="12">
                  <c:v>14.328982698959813</c:v>
                </c:pt>
                <c:pt idx="13">
                  <c:v>17.257167892761622</c:v>
                </c:pt>
                <c:pt idx="14">
                  <c:v>20.78577507397539</c:v>
                </c:pt>
                <c:pt idx="15">
                  <c:v>25.038310023465428</c:v>
                </c:pt>
                <c:pt idx="16">
                  <c:v>30.163757819928311</c:v>
                </c:pt>
                <c:pt idx="17">
                  <c:v>36.341853376424055</c:v>
                </c:pt>
                <c:pt idx="18">
                  <c:v>43.789444900038347</c:v>
                </c:pt>
                <c:pt idx="19">
                  <c:v>52.7681774158035</c:v>
                </c:pt>
                <c:pt idx="20">
                  <c:v>63.593770798274043</c:v>
                </c:pt>
                <c:pt idx="21">
                  <c:v>76.647223925169385</c:v>
                </c:pt>
                <c:pt idx="22">
                  <c:v>92.388345669585405</c:v>
                </c:pt>
                <c:pt idx="23">
                  <c:v>111.37209697436424</c:v>
                </c:pt>
                <c:pt idx="24">
                  <c:v>134.26832922028481</c:v>
                </c:pt>
                <c:pt idx="25">
                  <c:v>161.88562615625563</c:v>
                </c:pt>
                <c:pt idx="26">
                  <c:v>108.67889896014218</c:v>
                </c:pt>
                <c:pt idx="27">
                  <c:v>122.653115456267</c:v>
                </c:pt>
                <c:pt idx="28">
                  <c:v>136.58860071227019</c:v>
                </c:pt>
                <c:pt idx="29">
                  <c:v>150.48986753340748</c:v>
                </c:pt>
                <c:pt idx="30">
                  <c:v>164.36052485661972</c:v>
                </c:pt>
                <c:pt idx="31">
                  <c:v>178.2035215638316</c:v>
                </c:pt>
                <c:pt idx="32">
                  <c:v>192.02131026541755</c:v>
                </c:pt>
                <c:pt idx="33">
                  <c:v>152.12058697210048</c:v>
                </c:pt>
                <c:pt idx="34">
                  <c:v>166.04135403257644</c:v>
                </c:pt>
                <c:pt idx="35">
                  <c:v>179.93456993941342</c:v>
                </c:pt>
                <c:pt idx="36">
                  <c:v>193.80266283389687</c:v>
                </c:pt>
                <c:pt idx="37">
                  <c:v>207.64768454143697</c:v>
                </c:pt>
                <c:pt idx="38">
                  <c:v>221.4713906492118</c:v>
                </c:pt>
                <c:pt idx="39">
                  <c:v>235.2752995011158</c:v>
                </c:pt>
                <c:pt idx="40">
                  <c:v>249.06073659797303</c:v>
                </c:pt>
                <c:pt idx="41">
                  <c:v>199.78285420191298</c:v>
                </c:pt>
                <c:pt idx="42">
                  <c:v>212.83113143496419</c:v>
                </c:pt>
                <c:pt idx="43">
                  <c:v>225.86098194539568</c:v>
                </c:pt>
                <c:pt idx="44">
                  <c:v>238.87361897896383</c:v>
                </c:pt>
                <c:pt idx="45">
                  <c:v>251.87011271015248</c:v>
                </c:pt>
                <c:pt idx="46">
                  <c:v>264.85141378468586</c:v>
                </c:pt>
                <c:pt idx="47">
                  <c:v>277.81837199973774</c:v>
                </c:pt>
                <c:pt idx="48">
                  <c:v>290.77175131080861</c:v>
                </c:pt>
                <c:pt idx="49">
                  <c:v>303.71224202243161</c:v>
                </c:pt>
                <c:pt idx="50">
                  <c:v>316.64047079111413</c:v>
                </c:pt>
                <c:pt idx="51">
                  <c:v>256.7146224069283</c:v>
                </c:pt>
                <c:pt idx="52">
                  <c:v>268.19619912778239</c:v>
                </c:pt>
                <c:pt idx="53">
                  <c:v>279.66670899601081</c:v>
                </c:pt>
                <c:pt idx="54">
                  <c:v>291.12667010921319</c:v>
                </c:pt>
                <c:pt idx="55">
                  <c:v>302.5765564234851</c:v>
                </c:pt>
                <c:pt idx="56">
                  <c:v>314.0168030781735</c:v>
                </c:pt>
                <c:pt idx="57">
                  <c:v>325.44781090364035</c:v>
                </c:pt>
                <c:pt idx="58">
                  <c:v>336.86995026227123</c:v>
                </c:pt>
                <c:pt idx="59">
                  <c:v>348.28356434107985</c:v>
                </c:pt>
                <c:pt idx="60">
                  <c:v>359.68897198998178</c:v>
                </c:pt>
                <c:pt idx="61">
                  <c:v>305.54805097224425</c:v>
                </c:pt>
                <c:pt idx="62">
                  <c:v>315.41431572975137</c:v>
                </c:pt>
                <c:pt idx="63">
                  <c:v>325.27374213915141</c:v>
                </c:pt>
                <c:pt idx="64">
                  <c:v>335.12656682526256</c:v>
                </c:pt>
                <c:pt idx="65">
                  <c:v>344.97301135541824</c:v>
                </c:pt>
                <c:pt idx="66">
                  <c:v>354.81328360937846</c:v>
                </c:pt>
                <c:pt idx="67">
                  <c:v>364.64757898926524</c:v>
                </c:pt>
                <c:pt idx="68">
                  <c:v>374.4760814921047</c:v>
                </c:pt>
                <c:pt idx="69">
                  <c:v>384.29896466384798</c:v>
                </c:pt>
                <c:pt idx="70">
                  <c:v>394.11639245072735</c:v>
                </c:pt>
                <c:pt idx="71">
                  <c:v>332.88562249920523</c:v>
                </c:pt>
                <c:pt idx="72">
                  <c:v>340.81394308562659</c:v>
                </c:pt>
                <c:pt idx="73">
                  <c:v>348.73820795545868</c:v>
                </c:pt>
                <c:pt idx="74">
                  <c:v>356.65852233773853</c:v>
                </c:pt>
                <c:pt idx="75">
                  <c:v>364.57498640280323</c:v>
                </c:pt>
                <c:pt idx="76">
                  <c:v>372.48769561245859</c:v>
                </c:pt>
                <c:pt idx="77">
                  <c:v>380.39674103882379</c:v>
                </c:pt>
                <c:pt idx="78">
                  <c:v>388.30220965526092</c:v>
                </c:pt>
                <c:pt idx="79">
                  <c:v>396.2041846023663</c:v>
                </c:pt>
                <c:pt idx="80">
                  <c:v>404.10274543162222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277.64048093700978</c:v>
                </c:pt>
                <c:pt idx="38">
                  <c:v>294.48954060352384</c:v>
                </c:pt>
                <c:pt idx="39">
                  <c:v>311.31709651831665</c:v>
                </c:pt>
                <c:pt idx="40">
                  <c:v>328.12447444010144</c:v>
                </c:pt>
                <c:pt idx="41">
                  <c:v>344.91285322325461</c:v>
                </c:pt>
                <c:pt idx="42">
                  <c:v>361.6832876036994</c:v>
                </c:pt>
                <c:pt idx="43">
                  <c:v>378.43672653622252</c:v>
                </c:pt>
                <c:pt idx="44">
                  <c:v>395.17402811417611</c:v>
                </c:pt>
                <c:pt idx="45">
                  <c:v>327.7803309925909</c:v>
                </c:pt>
                <c:pt idx="46">
                  <c:v>342.65491458987913</c:v>
                </c:pt>
                <c:pt idx="47">
                  <c:v>357.51530938507517</c:v>
                </c:pt>
                <c:pt idx="48">
                  <c:v>372.362188160926</c:v>
                </c:pt>
                <c:pt idx="49">
                  <c:v>387.1961656731425</c:v>
                </c:pt>
                <c:pt idx="50">
                  <c:v>402.01780573308952</c:v>
                </c:pt>
                <c:pt idx="51">
                  <c:v>416.82762719136463</c:v>
                </c:pt>
                <c:pt idx="52">
                  <c:v>431.62610902660225</c:v>
                </c:pt>
                <c:pt idx="53">
                  <c:v>366.26587036399184</c:v>
                </c:pt>
                <c:pt idx="54">
                  <c:v>379.56512784230637</c:v>
                </c:pt>
                <c:pt idx="55">
                  <c:v>392.85424897119765</c:v>
                </c:pt>
                <c:pt idx="56">
                  <c:v>406.13362494673282</c:v>
                </c:pt>
                <c:pt idx="57">
                  <c:v>419.40361929545037</c:v>
                </c:pt>
                <c:pt idx="58">
                  <c:v>432.66457066342628</c:v>
                </c:pt>
                <c:pt idx="59">
                  <c:v>445.91679524557213</c:v>
                </c:pt>
                <c:pt idx="60">
                  <c:v>459.1605889111022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3" zoomScale="80" zoomScaleNormal="80" workbookViewId="0">
      <selection activeCell="I69" sqref="I69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27.2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0.53400000000000003</v>
      </c>
      <c r="D9" s="33">
        <f t="shared" ref="D9:D18" si="0">C9*$C$5</f>
        <v>14.524800000000001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35</v>
      </c>
      <c r="C10" s="32">
        <v>0.28000000000000003</v>
      </c>
      <c r="D10" s="33">
        <f t="shared" si="0"/>
        <v>7.6160000000000005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36</v>
      </c>
      <c r="C11" s="32">
        <v>0.186</v>
      </c>
      <c r="D11" s="33">
        <f t="shared" si="0"/>
        <v>5.0591999999999997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27.200000000000003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f>169.14/1.56</f>
        <v>108.42307692307691</v>
      </c>
      <c r="C36" s="60"/>
      <c r="D36" s="60"/>
      <c r="E36" s="51"/>
      <c r="F36" s="51"/>
      <c r="G36" s="51"/>
      <c r="H36" s="51"/>
      <c r="I36" s="49">
        <f>IFERROR(B36/A36,"")</f>
        <v>3.6141025641025637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34</v>
      </c>
      <c r="B37" s="60">
        <f>221.19/1.56</f>
        <v>141.78846153846152</v>
      </c>
      <c r="C37" s="60">
        <v>1</v>
      </c>
      <c r="D37" s="60">
        <f>49.32/1.56</f>
        <v>31.615384615384613</v>
      </c>
      <c r="E37" s="51"/>
      <c r="F37" s="51"/>
      <c r="G37" s="51"/>
      <c r="H37" s="51"/>
      <c r="I37" s="53">
        <f t="shared" ref="I37:I55" si="1">IF(A37&lt;&gt;0,(B37-(B36-D36))/(A37-A36),"")</f>
        <v>8.3413461538461533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42</v>
      </c>
      <c r="B38" s="60">
        <f>294.31/1.56</f>
        <v>188.66025641025641</v>
      </c>
      <c r="C38" s="60">
        <v>2</v>
      </c>
      <c r="D38" s="60">
        <f>70.51/1.56</f>
        <v>45.198717948717949</v>
      </c>
      <c r="E38" s="51"/>
      <c r="F38" s="51"/>
      <c r="G38" s="51"/>
      <c r="H38" s="51"/>
      <c r="I38" s="53">
        <f t="shared" si="1"/>
        <v>9.8108974358974379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f>347.88/1.56</f>
        <v>223</v>
      </c>
      <c r="C39" s="60">
        <v>3</v>
      </c>
      <c r="D39" s="60">
        <f>81.56/1.56</f>
        <v>52.282051282051285</v>
      </c>
      <c r="E39" s="51"/>
      <c r="F39" s="51"/>
      <c r="G39" s="51"/>
      <c r="H39" s="51"/>
      <c r="I39" s="49">
        <f t="shared" si="1"/>
        <v>9.9423076923076934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58</v>
      </c>
      <c r="B40" s="60">
        <f>386.86/1.56</f>
        <v>247.98717948717947</v>
      </c>
      <c r="C40" s="60">
        <v>4</v>
      </c>
      <c r="D40" s="60">
        <f>74.05/1.56</f>
        <v>47.467948717948715</v>
      </c>
      <c r="E40" s="51"/>
      <c r="F40" s="51"/>
      <c r="G40" s="51"/>
      <c r="H40" s="51"/>
      <c r="I40" s="49">
        <f t="shared" si="1"/>
        <v>9.6586538461538431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66</v>
      </c>
      <c r="B41" s="60">
        <f>427.9/1.56</f>
        <v>274.29487179487177</v>
      </c>
      <c r="C41" s="60">
        <v>5</v>
      </c>
      <c r="D41" s="60">
        <f>84.46/1.56</f>
        <v>54.141025641025635</v>
      </c>
      <c r="E41" s="51"/>
      <c r="F41" s="51"/>
      <c r="G41" s="51"/>
      <c r="H41" s="51"/>
      <c r="I41" s="53">
        <f t="shared" si="1"/>
        <v>9.2219551282051242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74</v>
      </c>
      <c r="B42" s="60">
        <f>451.86/1.56</f>
        <v>289.65384615384613</v>
      </c>
      <c r="C42" s="60">
        <v>6</v>
      </c>
      <c r="D42" s="60">
        <f>82.27/1.56</f>
        <v>52.737179487179482</v>
      </c>
      <c r="E42" s="51"/>
      <c r="F42" s="51"/>
      <c r="G42" s="51"/>
      <c r="H42" s="51"/>
      <c r="I42" s="53">
        <f t="shared" si="1"/>
        <v>8.6875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82</v>
      </c>
      <c r="B43" s="60">
        <f>471.61/1.56</f>
        <v>302.31410256410254</v>
      </c>
      <c r="C43" s="60">
        <v>7</v>
      </c>
      <c r="D43" s="60">
        <f>62.98/1.56</f>
        <v>40.371794871794869</v>
      </c>
      <c r="E43" s="51"/>
      <c r="F43" s="51"/>
      <c r="G43" s="51"/>
      <c r="H43" s="51"/>
      <c r="I43" s="49">
        <f t="shared" si="1"/>
        <v>8.1746794871794854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90</v>
      </c>
      <c r="B44" s="60">
        <f>506.82/1.56</f>
        <v>324.88461538461536</v>
      </c>
      <c r="C44" s="60">
        <v>8</v>
      </c>
      <c r="D44" s="60">
        <f>73.8/1.56</f>
        <v>47.307692307692307</v>
      </c>
      <c r="E44" s="51"/>
      <c r="F44" s="51"/>
      <c r="G44" s="51"/>
      <c r="H44" s="51"/>
      <c r="I44" s="49">
        <f t="shared" si="1"/>
        <v>7.8677884615384599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100</v>
      </c>
      <c r="B45" s="60">
        <f>551.38/1.56</f>
        <v>353.44871794871796</v>
      </c>
      <c r="C45" s="60">
        <v>9</v>
      </c>
      <c r="D45" s="60">
        <f>99.53/1.56</f>
        <v>63.801282051282051</v>
      </c>
      <c r="E45" s="51"/>
      <c r="F45" s="51"/>
      <c r="G45" s="51"/>
      <c r="H45" s="51"/>
      <c r="I45" s="49">
        <f t="shared" si="1"/>
        <v>7.5871794871794922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110</v>
      </c>
      <c r="B46" s="60">
        <f>565.28/1.56</f>
        <v>362.35897435897431</v>
      </c>
      <c r="C46" s="60">
        <v>10</v>
      </c>
      <c r="D46" s="60">
        <f>78.08/1.56</f>
        <v>50.051282051282051</v>
      </c>
      <c r="E46" s="51"/>
      <c r="F46" s="51"/>
      <c r="G46" s="51"/>
      <c r="H46" s="51"/>
      <c r="I46" s="49">
        <f t="shared" si="1"/>
        <v>7.2711538461538394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120</v>
      </c>
      <c r="B47" s="60">
        <f>599.13/1.56</f>
        <v>384.05769230769226</v>
      </c>
      <c r="C47" s="60">
        <v>11</v>
      </c>
      <c r="D47" s="60">
        <f>70.09/1.56</f>
        <v>44.929487179487182</v>
      </c>
      <c r="E47" s="51"/>
      <c r="F47" s="51"/>
      <c r="G47" s="51"/>
      <c r="H47" s="51"/>
      <c r="I47" s="49">
        <f t="shared" si="1"/>
        <v>7.1749999999999998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130</v>
      </c>
      <c r="B48" s="60">
        <f>640.94/1.56</f>
        <v>410.85897435897436</v>
      </c>
      <c r="C48" s="60">
        <v>12</v>
      </c>
      <c r="D48" s="60">
        <f>80.15/1.56</f>
        <v>51.378205128205131</v>
      </c>
      <c r="E48" s="51"/>
      <c r="F48" s="51"/>
      <c r="G48" s="51"/>
      <c r="H48" s="51"/>
      <c r="I48" s="49">
        <f t="shared" si="1"/>
        <v>7.1730769230769287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140</v>
      </c>
      <c r="B49" s="60">
        <f>673.47/1.56</f>
        <v>431.71153846153845</v>
      </c>
      <c r="C49" s="60">
        <v>13</v>
      </c>
      <c r="D49" s="60">
        <f>78.73/1.56</f>
        <v>50.467948717948715</v>
      </c>
      <c r="E49" s="51"/>
      <c r="F49" s="51"/>
      <c r="G49" s="51"/>
      <c r="H49" s="51"/>
      <c r="I49" s="49">
        <f t="shared" si="1"/>
        <v>7.2230769230769223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150</v>
      </c>
      <c r="B50" s="50">
        <f>707.55/1.56</f>
        <v>453.55769230769226</v>
      </c>
      <c r="C50" s="50">
        <v>14</v>
      </c>
      <c r="D50" s="50">
        <f>278.81/1.56</f>
        <v>178.72435897435898</v>
      </c>
      <c r="E50" s="51"/>
      <c r="F50" s="51"/>
      <c r="G50" s="51"/>
      <c r="H50" s="51"/>
      <c r="I50" s="49">
        <f t="shared" si="1"/>
        <v>7.2314102564102543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153</v>
      </c>
      <c r="B51" s="50">
        <f>456.93/1.56</f>
        <v>292.90384615384613</v>
      </c>
      <c r="C51" s="50">
        <v>15</v>
      </c>
      <c r="D51" s="50">
        <f>164.21/1.56</f>
        <v>105.26282051282051</v>
      </c>
      <c r="E51" s="51"/>
      <c r="F51" s="51"/>
      <c r="G51" s="51"/>
      <c r="H51" s="51"/>
      <c r="I51" s="49">
        <f t="shared" si="1"/>
        <v>6.0235042735042912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156</v>
      </c>
      <c r="B52" s="50">
        <f>305.47/1.56</f>
        <v>195.81410256410257</v>
      </c>
      <c r="C52" s="50">
        <v>16</v>
      </c>
      <c r="D52" s="50">
        <f>101.51/1.56</f>
        <v>65.070512820512818</v>
      </c>
      <c r="E52" s="51"/>
      <c r="F52" s="51"/>
      <c r="G52" s="51"/>
      <c r="H52" s="51"/>
      <c r="I52" s="49">
        <f t="shared" si="1"/>
        <v>2.724358974358978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159</v>
      </c>
      <c r="B53" s="50">
        <f>211.46/1.56</f>
        <v>135.55128205128204</v>
      </c>
      <c r="C53" s="50">
        <v>17</v>
      </c>
      <c r="D53" s="50">
        <f>211.46/1.56</f>
        <v>135.55128205128204</v>
      </c>
      <c r="E53" s="51"/>
      <c r="F53" s="51"/>
      <c r="G53" s="51"/>
      <c r="H53" s="51"/>
      <c r="I53" s="49">
        <f t="shared" si="1"/>
        <v>1.6025641025640975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25</v>
      </c>
      <c r="B62" s="60">
        <f>157.88/1.3</f>
        <v>121.44615384615383</v>
      </c>
      <c r="C62" s="60">
        <v>1</v>
      </c>
      <c r="D62" s="60">
        <f>66.88/1.3</f>
        <v>51.446153846153841</v>
      </c>
      <c r="E62" s="51"/>
      <c r="F62" s="51">
        <v>0.5</v>
      </c>
      <c r="G62" s="51">
        <v>0.5</v>
      </c>
      <c r="H62" s="51"/>
      <c r="I62" s="53">
        <f>IFERROR(B62/A62,"")</f>
        <v>4.857846153846153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32</v>
      </c>
      <c r="B63" s="60">
        <f>188.1/1.3</f>
        <v>144.69230769230768</v>
      </c>
      <c r="C63" s="60">
        <v>2</v>
      </c>
      <c r="D63" s="60">
        <f>53.91/1.3</f>
        <v>41.469230769230762</v>
      </c>
      <c r="E63" s="51"/>
      <c r="F63" s="51">
        <v>0.5</v>
      </c>
      <c r="G63" s="51">
        <v>0.5</v>
      </c>
      <c r="H63" s="51"/>
      <c r="I63" s="49">
        <f>IF(A63&lt;&gt;0,(B63-(B62-D62))/(A63-A62),"")</f>
        <v>10.670329670329668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245.59/1.3</f>
        <v>188.91538461538462</v>
      </c>
      <c r="C64" s="60">
        <v>3</v>
      </c>
      <c r="D64" s="60">
        <f>62.82/1.3</f>
        <v>48.323076923076918</v>
      </c>
      <c r="E64" s="51"/>
      <c r="F64" s="51"/>
      <c r="G64" s="51"/>
      <c r="H64" s="51"/>
      <c r="I64" s="49">
        <f>IF(A64&lt;&gt;0,(B64-(B63-D63))/(A64-A63),"")</f>
        <v>10.711538461538463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314.09/1.3</f>
        <v>241.60769230769228</v>
      </c>
      <c r="C65" s="60">
        <v>4</v>
      </c>
      <c r="D65" s="60">
        <f>72.38/1.3</f>
        <v>55.676923076923075</v>
      </c>
      <c r="E65" s="51"/>
      <c r="F65" s="51"/>
      <c r="G65" s="51"/>
      <c r="H65" s="51"/>
      <c r="I65" s="49">
        <f>IF(A65&lt;&gt;0,(B65-(B64-D64))/(A65-A64),"")</f>
        <v>10.101538461538457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357.9/1.3</f>
        <v>275.30769230769226</v>
      </c>
      <c r="C66" s="60">
        <v>5</v>
      </c>
      <c r="D66" s="60">
        <f>65.1/1.3</f>
        <v>50.076923076923073</v>
      </c>
      <c r="E66" s="51"/>
      <c r="F66" s="51"/>
      <c r="G66" s="51"/>
      <c r="H66" s="51"/>
      <c r="I66" s="49">
        <f t="shared" ref="I66:I81" si="2">IF(A66&lt;&gt;0,(B66-(B65-D65))/(A66-A65),"")</f>
        <v>8.9376923076923056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393.02/1.3</f>
        <v>302.32307692307688</v>
      </c>
      <c r="C67" s="60">
        <v>6</v>
      </c>
      <c r="D67" s="60">
        <f>70.48/1.3</f>
        <v>54.215384615384615</v>
      </c>
      <c r="E67" s="51"/>
      <c r="F67" s="51"/>
      <c r="G67" s="51"/>
      <c r="H67" s="51"/>
      <c r="I67" s="49">
        <f t="shared" si="2"/>
        <v>7.7092307692307687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403.22/1.3</f>
        <v>310.16923076923081</v>
      </c>
      <c r="C68" s="60">
        <v>7</v>
      </c>
      <c r="D68" s="60">
        <f>403.22/1.3</f>
        <v>310.16923076923081</v>
      </c>
      <c r="E68" s="51"/>
      <c r="F68" s="51"/>
      <c r="G68" s="51"/>
      <c r="H68" s="51"/>
      <c r="I68" s="49">
        <f t="shared" si="2"/>
        <v>6.2061538461538532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17</v>
      </c>
      <c r="B88" s="60">
        <f>164.23/1.3</f>
        <v>126.33076923076922</v>
      </c>
      <c r="C88" s="60">
        <v>1</v>
      </c>
      <c r="D88" s="60">
        <f>54.71/1.3</f>
        <v>42.084615384615383</v>
      </c>
      <c r="E88" s="51"/>
      <c r="F88" s="51">
        <v>0.5</v>
      </c>
      <c r="G88" s="51">
        <v>0.5</v>
      </c>
      <c r="H88" s="87"/>
      <c r="I88" s="53">
        <f>IFERROR(B88/A88,"")</f>
        <v>7.4312217194570129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23</v>
      </c>
      <c r="B89" s="60">
        <f>225.95/1.3</f>
        <v>173.80769230769229</v>
      </c>
      <c r="C89" s="60">
        <v>2</v>
      </c>
      <c r="D89" s="60">
        <f>70.33/1.3</f>
        <v>54.099999999999994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14.926923076923075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29</v>
      </c>
      <c r="B90" s="60">
        <f>273.19/1.3</f>
        <v>210.14615384615385</v>
      </c>
      <c r="C90" s="60">
        <v>3</v>
      </c>
      <c r="D90" s="60">
        <f>61.96/1.3</f>
        <v>47.661538461538463</v>
      </c>
      <c r="E90" s="87">
        <v>0.1</v>
      </c>
      <c r="F90" s="87">
        <v>0.45</v>
      </c>
      <c r="G90" s="87">
        <v>0.45</v>
      </c>
      <c r="H90" s="87"/>
      <c r="I90" s="53">
        <f t="shared" si="3"/>
        <v>15.073076923076925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36</v>
      </c>
      <c r="B91" s="60">
        <f>341.35/1.3</f>
        <v>262.57692307692309</v>
      </c>
      <c r="C91" s="60">
        <v>4</v>
      </c>
      <c r="D91" s="60">
        <f>83.92/1.3</f>
        <v>64.553846153846152</v>
      </c>
      <c r="E91" s="87"/>
      <c r="F91" s="87"/>
      <c r="G91" s="87"/>
      <c r="H91" s="87"/>
      <c r="I91" s="53">
        <f t="shared" si="3"/>
        <v>14.298901098901101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44</v>
      </c>
      <c r="B92" s="60">
        <f>394.1/1.3</f>
        <v>303.15384615384619</v>
      </c>
      <c r="C92" s="60">
        <v>5</v>
      </c>
      <c r="D92" s="60">
        <f>83.82/1.3</f>
        <v>64.476923076923072</v>
      </c>
      <c r="E92" s="87"/>
      <c r="F92" s="87"/>
      <c r="G92" s="87"/>
      <c r="H92" s="87"/>
      <c r="I92" s="53">
        <f t="shared" si="3"/>
        <v>13.141346153846158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52</v>
      </c>
      <c r="B93" s="60">
        <f>431.36/1.3</f>
        <v>331.81538461538463</v>
      </c>
      <c r="C93" s="60">
        <v>6</v>
      </c>
      <c r="D93" s="60">
        <f>80.32/1.3</f>
        <v>61.784615384615378</v>
      </c>
      <c r="E93" s="87"/>
      <c r="F93" s="87"/>
      <c r="G93" s="87"/>
      <c r="H93" s="87"/>
      <c r="I93" s="53">
        <f t="shared" si="3"/>
        <v>11.642307692307689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60</v>
      </c>
      <c r="B94" s="60">
        <f>459.55/1.3</f>
        <v>353.5</v>
      </c>
      <c r="C94" s="60">
        <v>7</v>
      </c>
      <c r="D94" s="60">
        <f>459.55/1.3</f>
        <v>353.5</v>
      </c>
      <c r="E94" s="87"/>
      <c r="F94" s="87"/>
      <c r="G94" s="87"/>
      <c r="H94" s="87"/>
      <c r="I94" s="53">
        <f t="shared" si="3"/>
        <v>10.433653846153845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E26" sqref="E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309.07357540707869</v>
      </c>
      <c r="T3" s="59">
        <f>IF('Données projet'!E9&gt;30,$R$33-$H$33,LOOKUP('Données projet'!$E$9,$A$3:$A$203,R3:R203)-LOOKUP('Données projet'!$E$9,$A$3:$A$203,$H$3:$H$203))</f>
        <v>155.9593924683299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122.69576746316494</v>
      </c>
      <c r="AO3" s="59">
        <f>IF('Données projet'!E10&gt;30,$AM$33-$H$33,LOOKUP('Données projet'!$E$10,$A$3:$A$203,AM3:AM203)-LOOKUP('Données projet'!$E$10,$A$3:$A$203,$H$3:$H$203))</f>
        <v>103.29025722669985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171.96009656745713</v>
      </c>
      <c r="BJ3" s="59">
        <f>IF('Données projet'!E11&gt;30,$BH$33-$H$33,LOOKUP('Données projet'!$E$11,$A$3:$A$203,BH3:BH203)-LOOKUP('Données projet'!$E$11,$A$3:$A$203,$H$3:$H$203))</f>
        <v>172.37574906747716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3.6141025641025637</v>
      </c>
      <c r="N4" s="13">
        <f>IF('Données projet'!$A$36&gt;35,N3+M4-V3,IF(A4&lt;'Données projet'!$A$36,$K$205^A4,IF(A4='Données projet'!$A$36,'Données projet'!$B$36,N3+M4-V3)))</f>
        <v>1.1690615875970631</v>
      </c>
      <c r="O4" s="13">
        <f>N4*VLOOKUP('Données projet'!$B$9,Paramètres!$A$1:$I$89,3,0)*VLOOKUP('Données projet'!$B$9,Paramètres!$A$1:$I$89,5,0)</f>
        <v>1.0577669244578227</v>
      </c>
      <c r="P4" s="13">
        <f>EXP(-1.0587+0.8836*LN(O4)+0.284)</f>
        <v>0.48428727045047132</v>
      </c>
      <c r="Q4" s="20">
        <f t="shared" ref="Q4:Q34" si="2">(O4+P4)*0.475*44/12</f>
        <v>2.6857443894652788</v>
      </c>
      <c r="R4" s="59">
        <f t="shared" si="0"/>
        <v>296.01907772279861</v>
      </c>
      <c r="S4" s="59">
        <f ca="1">AVERAGE(OFFSET($R$3,0,0,'Données projet'!$E$9+1,1))-AVERAGE(OFFSET($H$3,0,0,'Données projet'!$E$9+1,1))</f>
        <v>309.07357540707869</v>
      </c>
      <c r="T4" s="59">
        <f>$T$3</f>
        <v>155.9593924683299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4.857846153846153</v>
      </c>
      <c r="AI4" s="13">
        <f>IF('Données projet'!$A$62&gt;35,AI3+AH4-AQ3,IF(A4&lt;'Données projet'!$A$62,$AF$205^A4,IF(A4='Données projet'!$A$62,'Données projet'!$B$62,AI3+AH4-AQ3)))</f>
        <v>1.2116448776253546</v>
      </c>
      <c r="AJ4" s="13">
        <f>AI4*VLOOKUP('Données projet'!$B$10,Paramètres!$A$1:$I$89,3,0)*VLOOKUP('Données projet'!$B$10,Paramètres!$A$1:$I$89,5,0)</f>
        <v>0.72456363681996205</v>
      </c>
      <c r="AK4" s="13">
        <f>EXP(-1.0587+0.8836*LN(AJ4)+0.284)</f>
        <v>0.34666954530770067</v>
      </c>
      <c r="AL4" s="20">
        <f t="shared" ref="AL4:AL67" si="4">(AJ4+AK4)*0.475*44/12</f>
        <v>1.8657311255390123</v>
      </c>
      <c r="AM4" s="59">
        <f t="shared" ref="AM4:AM67" si="5">AL4+(AD4+AE4)*44/12</f>
        <v>295.19906445887233</v>
      </c>
      <c r="AN4" s="59">
        <f ca="1">AVERAGE(OFFSET($AM$3,0,0,'Données projet'!$E$10+1,1))-AVERAGE(OFFSET($H$3,0,0,'Données projet'!$E$10+1,1))</f>
        <v>122.69576746316494</v>
      </c>
      <c r="AO4" s="59">
        <f>$AO$3</f>
        <v>103.29025722669985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7.4312217194570129</v>
      </c>
      <c r="BD4" s="12">
        <f>IF('Données projet'!$A$88&gt;35,BD3+BC4-BL3,IF(A4&lt;'Données projet'!$A$88,$BA$205^A4,IF(A4='Données projet'!$A$88,'Données projet'!$B$88,BD3+BC4-BL3)))</f>
        <v>1.3292852468636394</v>
      </c>
      <c r="BE4" s="13">
        <f>BD4*VLOOKUP('Données projet'!$B$11,Paramètres!$A$1:$I$89,3,0)*VLOOKUP('Données projet'!$B$11,Paramètres!$A$1:$I$89,5,0)</f>
        <v>0.79491257762445644</v>
      </c>
      <c r="BF4" s="13">
        <f>EXP(-1.0587+0.8836*LN(BE4)+0.284)</f>
        <v>0.37624805113513943</v>
      </c>
      <c r="BG4" s="20">
        <f t="shared" ref="BG4:BG67" si="7">(BE4+BF4)*0.475*44/12</f>
        <v>2.0397714284229629</v>
      </c>
      <c r="BH4" s="59">
        <f t="shared" ref="BH4:BH67" si="8">BG4+(AY4+AZ4)*44/12</f>
        <v>295.37310476175628</v>
      </c>
      <c r="BI4" s="59">
        <f ca="1">AVERAGE(OFFSET($BH$3,0,0,'Données projet'!$E$11+1,1))-AVERAGE(OFFSET($H$3,0,0,'Données projet'!$E$11+1,1))</f>
        <v>171.96009656745713</v>
      </c>
      <c r="BJ4" s="59">
        <f>$BJ$3</f>
        <v>172.37574906747716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3.6141025641025637</v>
      </c>
      <c r="N5" s="13">
        <f>IF('Données projet'!$A$36&gt;35,N4+M5-V4,IF(A5&lt;'Données projet'!$A$36,$K$205^A5,IF(A5='Données projet'!$A$36,'Données projet'!$B$36,N4+M5-V4)))</f>
        <v>1.3667049955949657</v>
      </c>
      <c r="O5" s="13">
        <f>N5*VLOOKUP('Données projet'!$B$9,Paramètres!$A$1:$I$89,3,0)*VLOOKUP('Données projet'!$B$9,Paramètres!$A$1:$I$89,5,0)</f>
        <v>1.236594680014325</v>
      </c>
      <c r="P5" s="13">
        <f t="shared" ref="P5:P68" si="33">EXP(-1.0587+0.8836*LN(O5)+0.284)</f>
        <v>0.55596080148480498</v>
      </c>
      <c r="Q5" s="20">
        <f t="shared" si="2"/>
        <v>3.1220341302776515</v>
      </c>
      <c r="R5" s="59">
        <f t="shared" si="0"/>
        <v>296.45536746361097</v>
      </c>
      <c r="S5" s="59">
        <f ca="1">AVERAGE(OFFSET($R$3,0,0,'Données projet'!$E$9+1,1))-AVERAGE(OFFSET($H$3,0,0,'Données projet'!$E$9+1,1))</f>
        <v>309.07357540707869</v>
      </c>
      <c r="T5" s="59">
        <f t="shared" ref="T5:T68" si="34">$T$3</f>
        <v>155.9593924683299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4.857846153846153</v>
      </c>
      <c r="AI5" s="13">
        <f>IF('Données projet'!$A$62&gt;35,AI4+AH5-AQ4,IF(A5&lt;'Données projet'!$A$62,$AF$205^A5,IF(A5='Données projet'!$A$62,'Données projet'!$B$62,AI4+AH5-AQ4)))</f>
        <v>1.4680833094757604</v>
      </c>
      <c r="AJ5" s="13">
        <f>AI5*VLOOKUP('Données projet'!$B$10,Paramètres!$A$1:$I$89,3,0)*VLOOKUP('Données projet'!$B$10,Paramètres!$A$1:$I$89,5,0)</f>
        <v>0.87791381906650479</v>
      </c>
      <c r="AK5" s="13">
        <f t="shared" ref="AK5:AK68" si="35">EXP(-1.0587+0.8836*LN(AJ5)+0.284)</f>
        <v>0.41075811355440428</v>
      </c>
      <c r="AL5" s="20">
        <f t="shared" si="4"/>
        <v>2.2444369493147502</v>
      </c>
      <c r="AM5" s="59">
        <f t="shared" si="5"/>
        <v>295.57777028264809</v>
      </c>
      <c r="AN5" s="59">
        <f ca="1">AVERAGE(OFFSET($AM$3,0,0,'Données projet'!$E$10+1,1))-AVERAGE(OFFSET($H$3,0,0,'Données projet'!$E$10+1,1))</f>
        <v>122.69576746316494</v>
      </c>
      <c r="AO5" s="59">
        <f t="shared" ref="AO5:AO68" si="36">$AO$3</f>
        <v>103.29025722669985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7.4312217194570129</v>
      </c>
      <c r="BD5" s="12">
        <f>IF('Données projet'!$A$88&gt;35,BD4+BC5-BL4,IF(A5&lt;'Données projet'!$A$88,$BA$205^A5,IF(A5='Données projet'!$A$88,'Données projet'!$B$88,BD4+BC5-BL4)))</f>
        <v>1.7669992675293267</v>
      </c>
      <c r="BE5" s="13">
        <f>BD5*VLOOKUP('Données projet'!$B$11,Paramètres!$A$1:$I$89,3,0)*VLOOKUP('Données projet'!$B$11,Paramètres!$A$1:$I$89,5,0)</f>
        <v>1.0566655619825374</v>
      </c>
      <c r="BF5" s="13">
        <f t="shared" ref="BF5:BF68" si="37">EXP(-1.0587+0.8836*LN(BE5)+0.284)</f>
        <v>0.48384169076702271</v>
      </c>
      <c r="BG5" s="20">
        <f t="shared" si="7"/>
        <v>2.6830501318721502</v>
      </c>
      <c r="BH5" s="59">
        <f t="shared" si="8"/>
        <v>296.01638346520548</v>
      </c>
      <c r="BI5" s="59">
        <f ca="1">AVERAGE(OFFSET($BH$3,0,0,'Données projet'!$E$11+1,1))-AVERAGE(OFFSET($H$3,0,0,'Données projet'!$E$11+1,1))</f>
        <v>171.96009656745713</v>
      </c>
      <c r="BJ5" s="59">
        <f t="shared" ref="BJ5:BJ68" si="38">$BJ$3</f>
        <v>172.37574906747716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3.6141025641025637</v>
      </c>
      <c r="N6" s="13">
        <f>IF('Données projet'!$A$36&gt;35,N5+M6-V5,IF(A6&lt;'Données projet'!$A$36,$K$205^A6,IF(A6='Données projet'!$A$36,'Données projet'!$B$36,N5+M6-V5)))</f>
        <v>1.5977623119270878</v>
      </c>
      <c r="O6" s="13">
        <f>N6*VLOOKUP('Données projet'!$B$9,Paramètres!$A$1:$I$89,3,0)*VLOOKUP('Données projet'!$B$9,Paramètres!$A$1:$I$89,5,0)</f>
        <v>1.445655339831629</v>
      </c>
      <c r="P6" s="13">
        <f t="shared" si="33"/>
        <v>0.63824186933535754</v>
      </c>
      <c r="Q6" s="20">
        <f t="shared" si="2"/>
        <v>3.6294543059658344</v>
      </c>
      <c r="R6" s="59">
        <f t="shared" si="0"/>
        <v>296.96278763929917</v>
      </c>
      <c r="S6" s="59">
        <f ca="1">AVERAGE(OFFSET($R$3,0,0,'Données projet'!$E$9+1,1))-AVERAGE(OFFSET($H$3,0,0,'Données projet'!$E$9+1,1))</f>
        <v>309.07357540707869</v>
      </c>
      <c r="T6" s="59">
        <f t="shared" si="34"/>
        <v>155.9593924683299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4.857846153846153</v>
      </c>
      <c r="AI6" s="13">
        <f>IF('Données projet'!$A$62&gt;35,AI5+AH6-AQ5,IF(A6&lt;'Données projet'!$A$62,$AF$205^A6,IF(A6='Données projet'!$A$62,'Données projet'!$B$62,AI5+AH6-AQ5)))</f>
        <v>1.7787956218535832</v>
      </c>
      <c r="AJ6" s="13">
        <f>AI6*VLOOKUP('Données projet'!$B$10,Paramètres!$A$1:$I$89,3,0)*VLOOKUP('Données projet'!$B$10,Paramètres!$A$1:$I$89,5,0)</f>
        <v>1.0637197818684427</v>
      </c>
      <c r="AK6" s="13">
        <f t="shared" si="35"/>
        <v>0.48669469278305533</v>
      </c>
      <c r="AL6" s="20">
        <f t="shared" si="4"/>
        <v>2.7003052100180258</v>
      </c>
      <c r="AM6" s="59">
        <f t="shared" si="5"/>
        <v>296.03363854335134</v>
      </c>
      <c r="AN6" s="59">
        <f ca="1">AVERAGE(OFFSET($AM$3,0,0,'Données projet'!$E$10+1,1))-AVERAGE(OFFSET($H$3,0,0,'Données projet'!$E$10+1,1))</f>
        <v>122.69576746316494</v>
      </c>
      <c r="AO6" s="59">
        <f t="shared" si="36"/>
        <v>103.29025722669985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7.4312217194570129</v>
      </c>
      <c r="BD6" s="12">
        <f>IF('Données projet'!$A$88&gt;35,BD5+BC6-BL5,IF(A6&lt;'Données projet'!$A$88,$BA$205^A6,IF(A6='Données projet'!$A$88,'Données projet'!$B$88,BD5+BC6-BL5)))</f>
        <v>2.3488460575455909</v>
      </c>
      <c r="BE6" s="13">
        <f>BD6*VLOOKUP('Données projet'!$B$11,Paramètres!$A$1:$I$89,3,0)*VLOOKUP('Données projet'!$B$11,Paramètres!$A$1:$I$89,5,0)</f>
        <v>1.4046099424122636</v>
      </c>
      <c r="BF6" s="13">
        <f t="shared" si="37"/>
        <v>0.62220330714804695</v>
      </c>
      <c r="BG6" s="20">
        <f t="shared" si="7"/>
        <v>3.5300330763175403</v>
      </c>
      <c r="BH6" s="59">
        <f t="shared" si="8"/>
        <v>296.86336640965084</v>
      </c>
      <c r="BI6" s="59">
        <f ca="1">AVERAGE(OFFSET($BH$3,0,0,'Données projet'!$E$11+1,1))-AVERAGE(OFFSET($H$3,0,0,'Données projet'!$E$11+1,1))</f>
        <v>171.96009656745713</v>
      </c>
      <c r="BJ6" s="59">
        <f t="shared" si="38"/>
        <v>172.37574906747716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3.6141025641025637</v>
      </c>
      <c r="N7" s="13">
        <f>IF('Données projet'!$A$36&gt;35,N6+M7-V6,IF(A7&lt;'Données projet'!$A$36,$K$205^A7,IF(A7='Données projet'!$A$36,'Données projet'!$B$36,N6+M7-V6)))</f>
        <v>1.8678825449842353</v>
      </c>
      <c r="O7" s="13">
        <f>N7*VLOOKUP('Données projet'!$B$9,Paramètres!$A$1:$I$89,3,0)*VLOOKUP('Données projet'!$B$9,Paramètres!$A$1:$I$89,5,0)</f>
        <v>1.6900601267017361</v>
      </c>
      <c r="P7" s="13">
        <f t="shared" si="33"/>
        <v>0.73270036787625048</v>
      </c>
      <c r="Q7" s="20">
        <f t="shared" si="2"/>
        <v>4.2196411947233265</v>
      </c>
      <c r="R7" s="59">
        <f t="shared" si="0"/>
        <v>297.55297452805667</v>
      </c>
      <c r="S7" s="59">
        <f ca="1">AVERAGE(OFFSET($R$3,0,0,'Données projet'!$E$9+1,1))-AVERAGE(OFFSET($H$3,0,0,'Données projet'!$E$9+1,1))</f>
        <v>309.07357540707869</v>
      </c>
      <c r="T7" s="59">
        <f t="shared" si="34"/>
        <v>155.9593924683299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4.857846153846153</v>
      </c>
      <c r="AI7" s="13">
        <f>IF('Données projet'!$A$62&gt;35,AI6+AH7-AQ6,IF(A7&lt;'Données projet'!$A$62,$AF$205^A7,IF(A7='Données projet'!$A$62,'Données projet'!$B$62,AI6+AH7-AQ6)))</f>
        <v>2.1552686035613013</v>
      </c>
      <c r="AJ7" s="13">
        <f>AI7*VLOOKUP('Données projet'!$B$10,Paramètres!$A$1:$I$89,3,0)*VLOOKUP('Données projet'!$B$10,Paramètres!$A$1:$I$89,5,0)</f>
        <v>1.2888506249296583</v>
      </c>
      <c r="AK7" s="13">
        <f t="shared" si="35"/>
        <v>0.57666961690294016</v>
      </c>
      <c r="AL7" s="20">
        <f t="shared" si="4"/>
        <v>3.2491144211917753</v>
      </c>
      <c r="AM7" s="59">
        <f t="shared" si="5"/>
        <v>296.58244775452511</v>
      </c>
      <c r="AN7" s="59">
        <f ca="1">AVERAGE(OFFSET($AM$3,0,0,'Données projet'!$E$10+1,1))-AVERAGE(OFFSET($H$3,0,0,'Données projet'!$E$10+1,1))</f>
        <v>122.69576746316494</v>
      </c>
      <c r="AO7" s="59">
        <f t="shared" si="36"/>
        <v>103.29025722669985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7.4312217194570129</v>
      </c>
      <c r="BD7" s="12">
        <f>IF('Données projet'!$A$88&gt;35,BD6+BC7-BL6,IF(A7&lt;'Données projet'!$A$88,$BA$205^A7,IF(A7='Données projet'!$A$88,'Données projet'!$B$88,BD6+BC7-BL6)))</f>
        <v>3.1222864114491768</v>
      </c>
      <c r="BE7" s="13">
        <f>BD7*VLOOKUP('Données projet'!$B$11,Paramètres!$A$1:$I$89,3,0)*VLOOKUP('Données projet'!$B$11,Paramètres!$A$1:$I$89,5,0)</f>
        <v>1.8671272740466078</v>
      </c>
      <c r="BF7" s="13">
        <f t="shared" si="37"/>
        <v>0.80013145376589556</v>
      </c>
      <c r="BG7" s="20">
        <f t="shared" si="7"/>
        <v>4.6454756176067766</v>
      </c>
      <c r="BH7" s="59">
        <f t="shared" si="8"/>
        <v>297.97880895094011</v>
      </c>
      <c r="BI7" s="59">
        <f ca="1">AVERAGE(OFFSET($BH$3,0,0,'Données projet'!$E$11+1,1))-AVERAGE(OFFSET($H$3,0,0,'Données projet'!$E$11+1,1))</f>
        <v>171.96009656745713</v>
      </c>
      <c r="BJ7" s="59">
        <f t="shared" si="38"/>
        <v>172.37574906747716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3.6141025641025637</v>
      </c>
      <c r="N8" s="13">
        <f>IF('Données projet'!$A$36&gt;35,N7+M8-V7,IF(A8&lt;'Données projet'!$A$36,$K$205^A8,IF(A8='Données projet'!$A$36,'Données projet'!$B$36,N7+M8-V7)))</f>
        <v>2.1836697334841126</v>
      </c>
      <c r="O8" s="13">
        <f>N8*VLOOKUP('Données projet'!$B$9,Paramètres!$A$1:$I$89,3,0)*VLOOKUP('Données projet'!$B$9,Paramètres!$A$1:$I$89,5,0)</f>
        <v>1.975784374856425</v>
      </c>
      <c r="P8" s="13">
        <f t="shared" si="33"/>
        <v>0.84113853208196609</v>
      </c>
      <c r="Q8" s="20">
        <f t="shared" si="2"/>
        <v>4.9061407295843642</v>
      </c>
      <c r="R8" s="59">
        <f t="shared" si="0"/>
        <v>298.23947406291768</v>
      </c>
      <c r="S8" s="59">
        <f ca="1">AVERAGE(OFFSET($R$3,0,0,'Données projet'!$E$9+1,1))-AVERAGE(OFFSET($H$3,0,0,'Données projet'!$E$9+1,1))</f>
        <v>309.07357540707869</v>
      </c>
      <c r="T8" s="59">
        <f t="shared" si="34"/>
        <v>155.9593924683299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4.857846153846153</v>
      </c>
      <c r="AI8" s="13">
        <f>IF('Données projet'!$A$62&gt;35,AI7+AH8-AQ7,IF(A8&lt;'Données projet'!$A$62,$AF$205^A8,IF(A8='Données projet'!$A$62,'Données projet'!$B$62,AI7+AH8-AQ7)))</f>
        <v>2.6114201634118017</v>
      </c>
      <c r="AJ8" s="13">
        <f>AI8*VLOOKUP('Données projet'!$B$10,Paramètres!$A$1:$I$89,3,0)*VLOOKUP('Données projet'!$B$10,Paramètres!$A$1:$I$89,5,0)</f>
        <v>1.5616292577202577</v>
      </c>
      <c r="AK8" s="13">
        <f t="shared" si="35"/>
        <v>0.68327814539620879</v>
      </c>
      <c r="AL8" s="20">
        <f t="shared" si="4"/>
        <v>3.909880393761179</v>
      </c>
      <c r="AM8" s="59">
        <f t="shared" si="5"/>
        <v>297.24321372709448</v>
      </c>
      <c r="AN8" s="59">
        <f ca="1">AVERAGE(OFFSET($AM$3,0,0,'Données projet'!$E$10+1,1))-AVERAGE(OFFSET($H$3,0,0,'Données projet'!$E$10+1,1))</f>
        <v>122.69576746316494</v>
      </c>
      <c r="AO8" s="59">
        <f t="shared" si="36"/>
        <v>103.29025722669985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7.4312217194570129</v>
      </c>
      <c r="BD8" s="12">
        <f>IF('Données projet'!$A$88&gt;35,BD7+BC8-BL7,IF(A8&lt;'Données projet'!$A$88,$BA$205^A8,IF(A8='Données projet'!$A$88,'Données projet'!$B$88,BD7+BC8-BL7)))</f>
        <v>4.1504092632222056</v>
      </c>
      <c r="BE8" s="13">
        <f>BD8*VLOOKUP('Données projet'!$B$11,Paramètres!$A$1:$I$89,3,0)*VLOOKUP('Données projet'!$B$11,Paramètres!$A$1:$I$89,5,0)</f>
        <v>2.4819447394068792</v>
      </c>
      <c r="BF8" s="13">
        <f t="shared" si="37"/>
        <v>1.0289407593154982</v>
      </c>
      <c r="BG8" s="20">
        <f t="shared" si="7"/>
        <v>6.1147922436081394</v>
      </c>
      <c r="BH8" s="59">
        <f t="shared" si="8"/>
        <v>299.44812557694144</v>
      </c>
      <c r="BI8" s="59">
        <f ca="1">AVERAGE(OFFSET($BH$3,0,0,'Données projet'!$E$11+1,1))-AVERAGE(OFFSET($H$3,0,0,'Données projet'!$E$11+1,1))</f>
        <v>171.96009656745713</v>
      </c>
      <c r="BJ8" s="59">
        <f t="shared" si="38"/>
        <v>172.37574906747716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3.6141025641025637</v>
      </c>
      <c r="N9" s="13">
        <f>IF('Données projet'!$A$36&gt;35,N8+M9-V8,IF(A9&lt;'Données projet'!$A$36,$K$205^A9,IF(A9='Données projet'!$A$36,'Données projet'!$B$36,N8+M9-V8)))</f>
        <v>2.5528444054145929</v>
      </c>
      <c r="O9" s="13">
        <f>N9*VLOOKUP('Données projet'!$B$9,Paramètres!$A$1:$I$89,3,0)*VLOOKUP('Données projet'!$B$9,Paramètres!$A$1:$I$89,5,0)</f>
        <v>2.3098136180191235</v>
      </c>
      <c r="P9" s="13">
        <f t="shared" si="33"/>
        <v>0.96562532403764356</v>
      </c>
      <c r="Q9" s="20">
        <f t="shared" si="2"/>
        <v>5.7047228240822028</v>
      </c>
      <c r="R9" s="59">
        <f t="shared" si="0"/>
        <v>299.0380561574155</v>
      </c>
      <c r="S9" s="59">
        <f ca="1">AVERAGE(OFFSET($R$3,0,0,'Données projet'!$E$9+1,1))-AVERAGE(OFFSET($H$3,0,0,'Données projet'!$E$9+1,1))</f>
        <v>309.07357540707869</v>
      </c>
      <c r="T9" s="59">
        <f t="shared" si="34"/>
        <v>155.9593924683299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4.857846153846153</v>
      </c>
      <c r="AI9" s="13">
        <f>IF('Données projet'!$A$62&gt;35,AI8+AH9-AQ8,IF(A9&lt;'Données projet'!$A$62,$AF$205^A9,IF(A9='Données projet'!$A$62,'Données projet'!$B$62,AI8+AH9-AQ8)))</f>
        <v>3.164113864325476</v>
      </c>
      <c r="AJ9" s="13">
        <f>AI9*VLOOKUP('Données projet'!$B$10,Paramètres!$A$1:$I$89,3,0)*VLOOKUP('Données projet'!$B$10,Paramètres!$A$1:$I$89,5,0)</f>
        <v>1.8921400908666348</v>
      </c>
      <c r="AK9" s="13">
        <f t="shared" si="35"/>
        <v>0.80959532163918713</v>
      </c>
      <c r="AL9" s="20">
        <f t="shared" si="4"/>
        <v>4.7055225101143057</v>
      </c>
      <c r="AM9" s="59">
        <f t="shared" si="5"/>
        <v>298.03885584344761</v>
      </c>
      <c r="AN9" s="59">
        <f ca="1">AVERAGE(OFFSET($AM$3,0,0,'Données projet'!$E$10+1,1))-AVERAGE(OFFSET($H$3,0,0,'Données projet'!$E$10+1,1))</f>
        <v>122.69576746316494</v>
      </c>
      <c r="AO9" s="59">
        <f t="shared" si="36"/>
        <v>103.29025722669985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7.4312217194570129</v>
      </c>
      <c r="BD9" s="12">
        <f>IF('Données projet'!$A$88&gt;35,BD8+BC9-BL8,IF(A9&lt;'Données projet'!$A$88,$BA$205^A9,IF(A9='Données projet'!$A$88,'Données projet'!$B$88,BD8+BC9-BL8)))</f>
        <v>5.5170778020474653</v>
      </c>
      <c r="BE9" s="13">
        <f>BD9*VLOOKUP('Données projet'!$B$11,Paramètres!$A$1:$I$89,3,0)*VLOOKUP('Données projet'!$B$11,Paramètres!$A$1:$I$89,5,0)</f>
        <v>3.2992125256243843</v>
      </c>
      <c r="BF9" s="13">
        <f t="shared" si="37"/>
        <v>1.3231814362474952</v>
      </c>
      <c r="BG9" s="20">
        <f t="shared" si="7"/>
        <v>8.0506694835935235</v>
      </c>
      <c r="BH9" s="59">
        <f t="shared" si="8"/>
        <v>301.38400281692685</v>
      </c>
      <c r="BI9" s="59">
        <f ca="1">AVERAGE(OFFSET($BH$3,0,0,'Données projet'!$E$11+1,1))-AVERAGE(OFFSET($H$3,0,0,'Données projet'!$E$11+1,1))</f>
        <v>171.96009656745713</v>
      </c>
      <c r="BJ9" s="59">
        <f t="shared" si="38"/>
        <v>172.37574906747716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3.6141025641025637</v>
      </c>
      <c r="N10" s="13">
        <f>IF('Données projet'!$A$36&gt;35,N9+M10-V9,IF(A10&lt;'Données projet'!$A$36,$K$205^A10,IF(A10='Données projet'!$A$36,'Données projet'!$B$36,N9+M10-V9)))</f>
        <v>2.9844323334822644</v>
      </c>
      <c r="O10" s="13">
        <f>N10*VLOOKUP('Données projet'!$B$9,Paramètres!$A$1:$I$89,3,0)*VLOOKUP('Données projet'!$B$9,Paramètres!$A$1:$I$89,5,0)</f>
        <v>2.7003143753347527</v>
      </c>
      <c r="P10" s="13">
        <f t="shared" si="33"/>
        <v>1.1085359080089574</v>
      </c>
      <c r="Q10" s="20">
        <f t="shared" si="2"/>
        <v>6.6337475768236276</v>
      </c>
      <c r="R10" s="59">
        <f t="shared" si="0"/>
        <v>299.96708091015694</v>
      </c>
      <c r="S10" s="59">
        <f ca="1">AVERAGE(OFFSET($R$3,0,0,'Données projet'!$E$9+1,1))-AVERAGE(OFFSET($H$3,0,0,'Données projet'!$E$9+1,1))</f>
        <v>309.07357540707869</v>
      </c>
      <c r="T10" s="59">
        <f t="shared" si="34"/>
        <v>155.9593924683299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4.857846153846153</v>
      </c>
      <c r="AI10" s="13">
        <f>IF('Données projet'!$A$62&gt;35,AI9+AH10-AQ9,IF(A10&lt;'Données projet'!$A$62,$AF$205^A10,IF(A10='Données projet'!$A$62,'Données projet'!$B$62,AI9+AH10-AQ9)))</f>
        <v>3.8337823559333288</v>
      </c>
      <c r="AJ10" s="13">
        <f>AI10*VLOOKUP('Données projet'!$B$10,Paramètres!$A$1:$I$89,3,0)*VLOOKUP('Données projet'!$B$10,Paramètres!$A$1:$I$89,5,0)</f>
        <v>2.2926018488481308</v>
      </c>
      <c r="AK10" s="13">
        <f t="shared" si="35"/>
        <v>0.95926467023175421</v>
      </c>
      <c r="AL10" s="20">
        <f t="shared" si="4"/>
        <v>5.6636675207308</v>
      </c>
      <c r="AM10" s="59">
        <f t="shared" si="5"/>
        <v>298.99700085406414</v>
      </c>
      <c r="AN10" s="59">
        <f ca="1">AVERAGE(OFFSET($AM$3,0,0,'Données projet'!$E$10+1,1))-AVERAGE(OFFSET($H$3,0,0,'Données projet'!$E$10+1,1))</f>
        <v>122.69576746316494</v>
      </c>
      <c r="AO10" s="59">
        <f t="shared" si="36"/>
        <v>103.29025722669985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7.4312217194570129</v>
      </c>
      <c r="BD10" s="12">
        <f>IF('Données projet'!$A$88&gt;35,BD9+BC10-BL9,IF(A10&lt;'Données projet'!$A$88,$BA$205^A10,IF(A10='Données projet'!$A$88,'Données projet'!$B$88,BD9+BC10-BL9)))</f>
        <v>7.3337701280605696</v>
      </c>
      <c r="BE10" s="13">
        <f>BD10*VLOOKUP('Données projet'!$B$11,Paramètres!$A$1:$I$89,3,0)*VLOOKUP('Données projet'!$B$11,Paramètres!$A$1:$I$89,5,0)</f>
        <v>4.3855945365802205</v>
      </c>
      <c r="BF10" s="13">
        <f t="shared" si="37"/>
        <v>1.7015645433219191</v>
      </c>
      <c r="BG10" s="20">
        <f t="shared" si="7"/>
        <v>10.601802064162893</v>
      </c>
      <c r="BH10" s="59">
        <f t="shared" si="8"/>
        <v>303.9351353974962</v>
      </c>
      <c r="BI10" s="59">
        <f ca="1">AVERAGE(OFFSET($BH$3,0,0,'Données projet'!$E$11+1,1))-AVERAGE(OFFSET($H$3,0,0,'Données projet'!$E$11+1,1))</f>
        <v>171.96009656745713</v>
      </c>
      <c r="BJ10" s="59">
        <f t="shared" si="38"/>
        <v>172.37574906747716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3.6141025641025637</v>
      </c>
      <c r="N11" s="13">
        <f>IF('Données projet'!$A$36&gt;35,N10+M11-V10,IF(A11&lt;'Données projet'!$A$36,$K$205^A11,IF(A11='Données projet'!$A$36,'Données projet'!$B$36,N10+M11-V10)))</f>
        <v>3.4889852018567837</v>
      </c>
      <c r="O11" s="13">
        <f>N11*VLOOKUP('Données projet'!$B$9,Paramètres!$A$1:$I$89,3,0)*VLOOKUP('Données projet'!$B$9,Paramètres!$A$1:$I$89,5,0)</f>
        <v>3.156833810640018</v>
      </c>
      <c r="P11" s="13">
        <f t="shared" si="33"/>
        <v>1.2725969677420546</v>
      </c>
      <c r="Q11" s="20">
        <f t="shared" si="2"/>
        <v>7.7145919390154418</v>
      </c>
      <c r="R11" s="59">
        <f t="shared" si="0"/>
        <v>301.04792527234878</v>
      </c>
      <c r="S11" s="59">
        <f ca="1">AVERAGE(OFFSET($R$3,0,0,'Données projet'!$E$9+1,1))-AVERAGE(OFFSET($H$3,0,0,'Données projet'!$E$9+1,1))</f>
        <v>309.07357540707869</v>
      </c>
      <c r="T11" s="59">
        <f t="shared" si="34"/>
        <v>155.9593924683299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4.857846153846153</v>
      </c>
      <c r="AI11" s="13">
        <f>IF('Données projet'!$A$62&gt;35,AI10+AH11-AQ10,IF(A11&lt;'Données projet'!$A$62,$AF$205^A11,IF(A11='Données projet'!$A$62,'Données projet'!$B$62,AI10+AH11-AQ10)))</f>
        <v>4.6451827534970818</v>
      </c>
      <c r="AJ11" s="13">
        <f>AI11*VLOOKUP('Données projet'!$B$10,Paramètres!$A$1:$I$89,3,0)*VLOOKUP('Données projet'!$B$10,Paramètres!$A$1:$I$89,5,0)</f>
        <v>2.7778192865912552</v>
      </c>
      <c r="AK11" s="13">
        <f t="shared" si="35"/>
        <v>1.136603291743004</v>
      </c>
      <c r="AL11" s="20">
        <f t="shared" si="4"/>
        <v>6.8176193239321679</v>
      </c>
      <c r="AM11" s="59">
        <f t="shared" si="5"/>
        <v>300.15095265726546</v>
      </c>
      <c r="AN11" s="59">
        <f ca="1">AVERAGE(OFFSET($AM$3,0,0,'Données projet'!$E$10+1,1))-AVERAGE(OFFSET($H$3,0,0,'Données projet'!$E$10+1,1))</f>
        <v>122.69576746316494</v>
      </c>
      <c r="AO11" s="59">
        <f t="shared" si="36"/>
        <v>103.29025722669985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7.4312217194570129</v>
      </c>
      <c r="BD11" s="12">
        <f>IF('Données projet'!$A$88&gt;35,BD10+BC11-BL10,IF(A11&lt;'Données projet'!$A$88,$BA$205^A11,IF(A11='Données projet'!$A$88,'Données projet'!$B$88,BD10+BC11-BL10)))</f>
        <v>9.748672435120179</v>
      </c>
      <c r="BE11" s="13">
        <f>BD11*VLOOKUP('Données projet'!$B$11,Paramètres!$A$1:$I$89,3,0)*VLOOKUP('Données projet'!$B$11,Paramètres!$A$1:$I$89,5,0)</f>
        <v>5.8297061162018684</v>
      </c>
      <c r="BF11" s="13">
        <f t="shared" si="37"/>
        <v>2.1881518405377438</v>
      </c>
      <c r="BG11" s="20">
        <f t="shared" si="7"/>
        <v>13.96443594132149</v>
      </c>
      <c r="BH11" s="59">
        <f t="shared" si="8"/>
        <v>307.2977692746548</v>
      </c>
      <c r="BI11" s="59">
        <f ca="1">AVERAGE(OFFSET($BH$3,0,0,'Données projet'!$E$11+1,1))-AVERAGE(OFFSET($H$3,0,0,'Données projet'!$E$11+1,1))</f>
        <v>171.96009656745713</v>
      </c>
      <c r="BJ11" s="59">
        <f t="shared" si="38"/>
        <v>172.37574906747716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3.6141025641025637</v>
      </c>
      <c r="N12" s="13">
        <f>IF('Données projet'!$A$36&gt;35,N11+M12-V11,IF(A12&lt;'Données projet'!$A$36,$K$205^A12,IF(A12='Données projet'!$A$36,'Données projet'!$B$36,N11+M12-V11)))</f>
        <v>4.0788385791853514</v>
      </c>
      <c r="O12" s="13">
        <f>N12*VLOOKUP('Données projet'!$B$9,Paramètres!$A$1:$I$89,3,0)*VLOOKUP('Données projet'!$B$9,Paramètres!$A$1:$I$89,5,0)</f>
        <v>3.690533146446906</v>
      </c>
      <c r="P12" s="13">
        <f t="shared" si="33"/>
        <v>1.4609387306317054</v>
      </c>
      <c r="Q12" s="20">
        <f t="shared" si="2"/>
        <v>8.9721468525785806</v>
      </c>
      <c r="R12" s="59">
        <f t="shared" si="0"/>
        <v>302.3054801859119</v>
      </c>
      <c r="S12" s="59">
        <f ca="1">AVERAGE(OFFSET($R$3,0,0,'Données projet'!$E$9+1,1))-AVERAGE(OFFSET($H$3,0,0,'Données projet'!$E$9+1,1))</f>
        <v>309.07357540707869</v>
      </c>
      <c r="T12" s="59">
        <f t="shared" si="34"/>
        <v>155.9593924683299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4.857846153846153</v>
      </c>
      <c r="AI12" s="13">
        <f>IF('Données projet'!$A$62&gt;35,AI11+AH12-AQ11,IF(A12&lt;'Données projet'!$A$62,$AF$205^A12,IF(A12='Données projet'!$A$62,'Données projet'!$B$62,AI11+AH12-AQ11)))</f>
        <v>5.628311888908379</v>
      </c>
      <c r="AJ12" s="13">
        <f>AI12*VLOOKUP('Données projet'!$B$10,Paramètres!$A$1:$I$89,3,0)*VLOOKUP('Données projet'!$B$10,Paramètres!$A$1:$I$89,5,0)</f>
        <v>3.3657305095672108</v>
      </c>
      <c r="AK12" s="13">
        <f t="shared" si="35"/>
        <v>1.3467263862526309</v>
      </c>
      <c r="AL12" s="20">
        <f t="shared" si="4"/>
        <v>8.2075290935528908</v>
      </c>
      <c r="AM12" s="59">
        <f t="shared" si="5"/>
        <v>301.54086242688618</v>
      </c>
      <c r="AN12" s="59">
        <f ca="1">AVERAGE(OFFSET($AM$3,0,0,'Données projet'!$E$10+1,1))-AVERAGE(OFFSET($H$3,0,0,'Données projet'!$E$10+1,1))</f>
        <v>122.69576746316494</v>
      </c>
      <c r="AO12" s="59">
        <f t="shared" si="36"/>
        <v>103.29025722669985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7.4312217194570129</v>
      </c>
      <c r="BD12" s="12">
        <f>IF('Données projet'!$A$88&gt;35,BD11+BC12-BL11,IF(A12&lt;'Données projet'!$A$88,$BA$205^A12,IF(A12='Données projet'!$A$88,'Données projet'!$B$88,BD11+BC12-BL11)))</f>
        <v>12.958766444511483</v>
      </c>
      <c r="BE12" s="13">
        <f>BD12*VLOOKUP('Données projet'!$B$11,Paramètres!$A$1:$I$89,3,0)*VLOOKUP('Données projet'!$B$11,Paramètres!$A$1:$I$89,5,0)</f>
        <v>7.7493423338178671</v>
      </c>
      <c r="BF12" s="13">
        <f t="shared" si="37"/>
        <v>2.8138859005026107</v>
      </c>
      <c r="BG12" s="20">
        <f t="shared" si="7"/>
        <v>18.397622508108167</v>
      </c>
      <c r="BH12" s="59">
        <f t="shared" si="8"/>
        <v>311.73095584144147</v>
      </c>
      <c r="BI12" s="59">
        <f ca="1">AVERAGE(OFFSET($BH$3,0,0,'Données projet'!$E$11+1,1))-AVERAGE(OFFSET($H$3,0,0,'Données projet'!$E$11+1,1))</f>
        <v>171.96009656745713</v>
      </c>
      <c r="BJ12" s="59">
        <f t="shared" si="38"/>
        <v>172.37574906747716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3.6141025641025637</v>
      </c>
      <c r="N13" s="13">
        <f>IF('Données projet'!$A$36&gt;35,N12+M13-V12,IF(A13&lt;'Données projet'!$A$36,$K$205^A13,IF(A13='Données projet'!$A$36,'Données projet'!$B$36,N12+M13-V12)))</f>
        <v>4.7684135049345766</v>
      </c>
      <c r="O13" s="13">
        <f>N13*VLOOKUP('Données projet'!$B$9,Paramètres!$A$1:$I$89,3,0)*VLOOKUP('Données projet'!$B$9,Paramètres!$A$1:$I$89,5,0)</f>
        <v>4.3144605392648048</v>
      </c>
      <c r="P13" s="13">
        <f t="shared" si="33"/>
        <v>1.677154691360536</v>
      </c>
      <c r="Q13" s="20">
        <f t="shared" si="2"/>
        <v>10.435396526672468</v>
      </c>
      <c r="R13" s="59">
        <f t="shared" si="0"/>
        <v>303.76872986000581</v>
      </c>
      <c r="S13" s="59">
        <f ca="1">AVERAGE(OFFSET($R$3,0,0,'Données projet'!$E$9+1,1))-AVERAGE(OFFSET($H$3,0,0,'Données projet'!$E$9+1,1))</f>
        <v>309.07357540707869</v>
      </c>
      <c r="T13" s="59">
        <f t="shared" si="34"/>
        <v>155.9593924683299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4.857846153846153</v>
      </c>
      <c r="AI13" s="13">
        <f>IF('Données projet'!$A$62&gt;35,AI12+AH13-AQ12,IF(A13&lt;'Données projet'!$A$62,$AF$205^A13,IF(A13='Données projet'!$A$62,'Données projet'!$B$62,AI12+AH13-AQ12)))</f>
        <v>6.8195152698737207</v>
      </c>
      <c r="AJ13" s="13">
        <f>AI13*VLOOKUP('Données projet'!$B$10,Paramètres!$A$1:$I$89,3,0)*VLOOKUP('Données projet'!$B$10,Paramètres!$A$1:$I$89,5,0)</f>
        <v>4.0780701313844849</v>
      </c>
      <c r="AK13" s="13">
        <f t="shared" si="35"/>
        <v>1.5956947974765834</v>
      </c>
      <c r="AL13" s="20">
        <f t="shared" si="4"/>
        <v>9.8818072510996942</v>
      </c>
      <c r="AM13" s="59">
        <f t="shared" si="5"/>
        <v>303.21514058443302</v>
      </c>
      <c r="AN13" s="59">
        <f ca="1">AVERAGE(OFFSET($AM$3,0,0,'Données projet'!$E$10+1,1))-AVERAGE(OFFSET($H$3,0,0,'Données projet'!$E$10+1,1))</f>
        <v>122.69576746316494</v>
      </c>
      <c r="AO13" s="59">
        <f t="shared" si="36"/>
        <v>103.29025722669985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7.4312217194570129</v>
      </c>
      <c r="BD13" s="12">
        <f>IF('Données projet'!$A$88&gt;35,BD12+BC13-BL12,IF(A13&lt;'Données projet'!$A$88,$BA$205^A13,IF(A13='Données projet'!$A$88,'Données projet'!$B$88,BD12+BC13-BL12)))</f>
        <v>17.225897052240693</v>
      </c>
      <c r="BE13" s="13">
        <f>BD13*VLOOKUP('Données projet'!$B$11,Paramètres!$A$1:$I$89,3,0)*VLOOKUP('Données projet'!$B$11,Paramètres!$A$1:$I$89,5,0)</f>
        <v>10.301086437239935</v>
      </c>
      <c r="BF13" s="13">
        <f t="shared" si="37"/>
        <v>3.6185577775542006</v>
      </c>
      <c r="BG13" s="20">
        <f t="shared" si="7"/>
        <v>24.243380340766453</v>
      </c>
      <c r="BH13" s="59">
        <f t="shared" si="8"/>
        <v>317.57671367409978</v>
      </c>
      <c r="BI13" s="59">
        <f ca="1">AVERAGE(OFFSET($BH$3,0,0,'Données projet'!$E$11+1,1))-AVERAGE(OFFSET($H$3,0,0,'Données projet'!$E$11+1,1))</f>
        <v>171.96009656745713</v>
      </c>
      <c r="BJ13" s="59">
        <f t="shared" si="38"/>
        <v>172.37574906747716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3.6141025641025637</v>
      </c>
      <c r="N14" s="13">
        <f>IF('Données projet'!$A$36&gt;35,N13+M14-V13,IF(A14&lt;'Données projet'!$A$36,$K$205^A14,IF(A14='Données projet'!$A$36,'Données projet'!$B$36,N13+M14-V13)))</f>
        <v>5.5745690623980924</v>
      </c>
      <c r="O14" s="13">
        <f>N14*VLOOKUP('Données projet'!$B$9,Paramètres!$A$1:$I$89,3,0)*VLOOKUP('Données projet'!$B$9,Paramètres!$A$1:$I$89,5,0)</f>
        <v>5.043870087657794</v>
      </c>
      <c r="P14" s="13">
        <f t="shared" si="33"/>
        <v>1.9253701745153864</v>
      </c>
      <c r="Q14" s="20">
        <f t="shared" si="2"/>
        <v>12.138093456618288</v>
      </c>
      <c r="R14" s="59">
        <f t="shared" si="0"/>
        <v>305.47142678995158</v>
      </c>
      <c r="S14" s="59">
        <f ca="1">AVERAGE(OFFSET($R$3,0,0,'Données projet'!$E$9+1,1))-AVERAGE(OFFSET($H$3,0,0,'Données projet'!$E$9+1,1))</f>
        <v>309.07357540707869</v>
      </c>
      <c r="T14" s="59">
        <f t="shared" si="34"/>
        <v>155.9593924683299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4.857846153846153</v>
      </c>
      <c r="AI14" s="13">
        <f>IF('Données projet'!$A$62&gt;35,AI13+AH14-AQ13,IF(A14&lt;'Données projet'!$A$62,$AF$205^A14,IF(A14='Données projet'!$A$62,'Données projet'!$B$62,AI13+AH14-AQ13)))</f>
        <v>8.2628307446303815</v>
      </c>
      <c r="AJ14" s="13">
        <f>AI14*VLOOKUP('Données projet'!$B$10,Paramètres!$A$1:$I$89,3,0)*VLOOKUP('Données projet'!$B$10,Paramètres!$A$1:$I$89,5,0)</f>
        <v>4.9411727852889689</v>
      </c>
      <c r="AK14" s="13">
        <f t="shared" si="35"/>
        <v>1.8906898332770827</v>
      </c>
      <c r="AL14" s="20">
        <f t="shared" si="4"/>
        <v>11.89882739400254</v>
      </c>
      <c r="AM14" s="59">
        <f t="shared" si="5"/>
        <v>305.23216072733584</v>
      </c>
      <c r="AN14" s="59">
        <f ca="1">AVERAGE(OFFSET($AM$3,0,0,'Données projet'!$E$10+1,1))-AVERAGE(OFFSET($H$3,0,0,'Données projet'!$E$10+1,1))</f>
        <v>122.69576746316494</v>
      </c>
      <c r="AO14" s="59">
        <f t="shared" si="36"/>
        <v>103.29025722669985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7.4312217194570129</v>
      </c>
      <c r="BD14" s="12">
        <f>IF('Données projet'!$A$88&gt;35,BD13+BC14-BL13,IF(A14&lt;'Données projet'!$A$88,$BA$205^A14,IF(A14='Données projet'!$A$88,'Données projet'!$B$88,BD13+BC14-BL13)))</f>
        <v>22.89813081553541</v>
      </c>
      <c r="BE14" s="13">
        <f>BD14*VLOOKUP('Données projet'!$B$11,Paramètres!$A$1:$I$89,3,0)*VLOOKUP('Données projet'!$B$11,Paramètres!$A$1:$I$89,5,0)</f>
        <v>13.693082227690176</v>
      </c>
      <c r="BF14" s="13">
        <f t="shared" si="37"/>
        <v>4.6533373606794726</v>
      </c>
      <c r="BG14" s="20">
        <f t="shared" si="7"/>
        <v>31.953347449743802</v>
      </c>
      <c r="BH14" s="59">
        <f t="shared" si="8"/>
        <v>325.28668078307714</v>
      </c>
      <c r="BI14" s="59">
        <f ca="1">AVERAGE(OFFSET($BH$3,0,0,'Données projet'!$E$11+1,1))-AVERAGE(OFFSET($H$3,0,0,'Données projet'!$E$11+1,1))</f>
        <v>171.96009656745713</v>
      </c>
      <c r="BJ14" s="59">
        <f t="shared" si="38"/>
        <v>172.37574906747716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3.6141025641025637</v>
      </c>
      <c r="N15" s="13">
        <f>IF('Données projet'!$A$36&gt;35,N14+M15-V14,IF(A15&lt;'Données projet'!$A$36,$K$205^A15,IF(A15='Données projet'!$A$36,'Données projet'!$B$36,N14+M15-V14)))</f>
        <v>6.5170145582565855</v>
      </c>
      <c r="O15" s="13">
        <f>N15*VLOOKUP('Données projet'!$B$9,Paramètres!$A$1:$I$89,3,0)*VLOOKUP('Données projet'!$B$9,Paramètres!$A$1:$I$89,5,0)</f>
        <v>5.896594772310559</v>
      </c>
      <c r="P15" s="13">
        <f t="shared" si="33"/>
        <v>2.21032104433145</v>
      </c>
      <c r="Q15" s="20">
        <f t="shared" si="2"/>
        <v>14.119545047318164</v>
      </c>
      <c r="R15" s="59">
        <f t="shared" si="0"/>
        <v>307.4528783806515</v>
      </c>
      <c r="S15" s="59">
        <f ca="1">AVERAGE(OFFSET($R$3,0,0,'Données projet'!$E$9+1,1))-AVERAGE(OFFSET($H$3,0,0,'Données projet'!$E$9+1,1))</f>
        <v>309.07357540707869</v>
      </c>
      <c r="T15" s="59">
        <f t="shared" si="34"/>
        <v>155.9593924683299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4.857846153846153</v>
      </c>
      <c r="AI15" s="13">
        <f>IF('Données projet'!$A$62&gt;35,AI14+AH15-AQ14,IF(A15&lt;'Données projet'!$A$62,$AF$205^A15,IF(A15='Données projet'!$A$62,'Données projet'!$B$62,AI14+AH15-AQ14)))</f>
        <v>10.011616546416697</v>
      </c>
      <c r="AJ15" s="13">
        <f>AI15*VLOOKUP('Données projet'!$B$10,Paramètres!$A$1:$I$89,3,0)*VLOOKUP('Données projet'!$B$10,Paramètres!$A$1:$I$89,5,0)</f>
        <v>5.9869466947571857</v>
      </c>
      <c r="AK15" s="13">
        <f t="shared" si="35"/>
        <v>2.2402204051240453</v>
      </c>
      <c r="AL15" s="20">
        <f t="shared" si="4"/>
        <v>14.328982698959813</v>
      </c>
      <c r="AM15" s="59">
        <f t="shared" si="5"/>
        <v>307.66231603229312</v>
      </c>
      <c r="AN15" s="59">
        <f ca="1">AVERAGE(OFFSET($AM$3,0,0,'Données projet'!$E$10+1,1))-AVERAGE(OFFSET($H$3,0,0,'Données projet'!$E$10+1,1))</f>
        <v>122.69576746316494</v>
      </c>
      <c r="AO15" s="59">
        <f t="shared" si="36"/>
        <v>103.29025722669985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7.4312217194570129</v>
      </c>
      <c r="BD15" s="12">
        <f>IF('Données projet'!$A$88&gt;35,BD14+BC15-BL14,IF(A15&lt;'Données projet'!$A$88,$BA$205^A15,IF(A15='Données projet'!$A$88,'Données projet'!$B$88,BD14+BC15-BL14)))</f>
        <v>30.438147473844893</v>
      </c>
      <c r="BE15" s="13">
        <f>BD15*VLOOKUP('Données projet'!$B$11,Paramètres!$A$1:$I$89,3,0)*VLOOKUP('Données projet'!$B$11,Paramètres!$A$1:$I$89,5,0)</f>
        <v>18.202012189359248</v>
      </c>
      <c r="BF15" s="13">
        <f t="shared" si="37"/>
        <v>5.984027317903192</v>
      </c>
      <c r="BG15" s="20">
        <f t="shared" si="7"/>
        <v>42.124018808482084</v>
      </c>
      <c r="BH15" s="59">
        <f t="shared" si="8"/>
        <v>335.45735214181542</v>
      </c>
      <c r="BI15" s="59">
        <f ca="1">AVERAGE(OFFSET($BH$3,0,0,'Données projet'!$E$11+1,1))-AVERAGE(OFFSET($H$3,0,0,'Données projet'!$E$11+1,1))</f>
        <v>171.96009656745713</v>
      </c>
      <c r="BJ15" s="59">
        <f t="shared" si="38"/>
        <v>172.37574906747716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3.6141025641025637</v>
      </c>
      <c r="N16" s="13">
        <f>IF('Données projet'!$A$36&gt;35,N15+M16-V15,IF(A16&lt;'Données projet'!$A$36,$K$205^A16,IF(A16='Données projet'!$A$36,'Données projet'!$B$36,N15+M16-V15)))</f>
        <v>7.618791385868616</v>
      </c>
      <c r="O16" s="13">
        <f>N16*VLOOKUP('Données projet'!$B$9,Paramètres!$A$1:$I$89,3,0)*VLOOKUP('Données projet'!$B$9,Paramètres!$A$1:$I$89,5,0)</f>
        <v>6.8934824459339232</v>
      </c>
      <c r="P16" s="13">
        <f t="shared" si="33"/>
        <v>2.5374440633184476</v>
      </c>
      <c r="Q16" s="20">
        <f t="shared" si="2"/>
        <v>16.42553033694788</v>
      </c>
      <c r="R16" s="59">
        <f t="shared" si="0"/>
        <v>309.75886367028119</v>
      </c>
      <c r="S16" s="59">
        <f ca="1">AVERAGE(OFFSET($R$3,0,0,'Données projet'!$E$9+1,1))-AVERAGE(OFFSET($H$3,0,0,'Données projet'!$E$9+1,1))</f>
        <v>309.07357540707869</v>
      </c>
      <c r="T16" s="59">
        <f t="shared" si="34"/>
        <v>155.9593924683299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4.857846153846153</v>
      </c>
      <c r="AI16" s="13">
        <f>IF('Données projet'!$A$62&gt;35,AI15+AH16-AQ15,IF(A16&lt;'Données projet'!$A$62,$AF$205^A16,IF(A16='Données projet'!$A$62,'Données projet'!$B$62,AI15+AH16-AQ15)))</f>
        <v>12.130523905215032</v>
      </c>
      <c r="AJ16" s="13">
        <f>AI16*VLOOKUP('Données projet'!$B$10,Paramètres!$A$1:$I$89,3,0)*VLOOKUP('Données projet'!$B$10,Paramètres!$A$1:$I$89,5,0)</f>
        <v>7.2540532953185899</v>
      </c>
      <c r="AK16" s="13">
        <f t="shared" si="35"/>
        <v>2.6543684612909537</v>
      </c>
      <c r="AL16" s="20">
        <f t="shared" si="4"/>
        <v>17.257167892761622</v>
      </c>
      <c r="AM16" s="59">
        <f t="shared" si="5"/>
        <v>310.59050122609494</v>
      </c>
      <c r="AN16" s="59">
        <f ca="1">AVERAGE(OFFSET($AM$3,0,0,'Données projet'!$E$10+1,1))-AVERAGE(OFFSET($H$3,0,0,'Données projet'!$E$10+1,1))</f>
        <v>122.69576746316494</v>
      </c>
      <c r="AO16" s="59">
        <f t="shared" si="36"/>
        <v>103.29025722669985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7.4312217194570129</v>
      </c>
      <c r="BD16" s="12">
        <f>IF('Données projet'!$A$88&gt;35,BD15+BC16-BL15,IF(A16&lt;'Données projet'!$A$88,$BA$205^A16,IF(A16='Données projet'!$A$88,'Données projet'!$B$88,BD15+BC16-BL15)))</f>
        <v>40.460980378841768</v>
      </c>
      <c r="BE16" s="13">
        <f>BD16*VLOOKUP('Données projet'!$B$11,Paramètres!$A$1:$I$89,3,0)*VLOOKUP('Données projet'!$B$11,Paramètres!$A$1:$I$89,5,0)</f>
        <v>24.195666266547377</v>
      </c>
      <c r="BF16" s="13">
        <f t="shared" si="37"/>
        <v>7.6952475537219458</v>
      </c>
      <c r="BG16" s="20">
        <f t="shared" si="7"/>
        <v>55.543341570302402</v>
      </c>
      <c r="BH16" s="59">
        <f t="shared" si="8"/>
        <v>348.87667490363572</v>
      </c>
      <c r="BI16" s="59">
        <f ca="1">AVERAGE(OFFSET($BH$3,0,0,'Données projet'!$E$11+1,1))-AVERAGE(OFFSET($H$3,0,0,'Données projet'!$E$11+1,1))</f>
        <v>171.96009656745713</v>
      </c>
      <c r="BJ16" s="59">
        <f t="shared" si="38"/>
        <v>172.37574906747716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3.6141025641025637</v>
      </c>
      <c r="N17" s="13">
        <f>IF('Données projet'!$A$36&gt;35,N16+M17-V16,IF(A17&lt;'Données projet'!$A$36,$K$205^A17,IF(A17='Données projet'!$A$36,'Données projet'!$B$36,N16+M17-V16)))</f>
        <v>8.9068363531343948</v>
      </c>
      <c r="O17" s="13">
        <f>N17*VLOOKUP('Données projet'!$B$9,Paramètres!$A$1:$I$89,3,0)*VLOOKUP('Données projet'!$B$9,Paramètres!$A$1:$I$89,5,0)</f>
        <v>8.0589055323160004</v>
      </c>
      <c r="P17" s="13">
        <f t="shared" si="33"/>
        <v>2.9129806237797036</v>
      </c>
      <c r="Q17" s="20">
        <f t="shared" si="2"/>
        <v>19.109368388533348</v>
      </c>
      <c r="R17" s="59">
        <f t="shared" si="0"/>
        <v>312.44270172186668</v>
      </c>
      <c r="S17" s="59">
        <f ca="1">AVERAGE(OFFSET($R$3,0,0,'Données projet'!$E$9+1,1))-AVERAGE(OFFSET($H$3,0,0,'Données projet'!$E$9+1,1))</f>
        <v>309.07357540707869</v>
      </c>
      <c r="T17" s="59">
        <f t="shared" si="34"/>
        <v>155.9593924683299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4.857846153846153</v>
      </c>
      <c r="AI17" s="13">
        <f>IF('Données projet'!$A$62&gt;35,AI16+AH17-AQ16,IF(A17&lt;'Données projet'!$A$62,$AF$205^A17,IF(A17='Données projet'!$A$62,'Données projet'!$B$62,AI16+AH17-AQ16)))</f>
        <v>14.697887152665707</v>
      </c>
      <c r="AJ17" s="13">
        <f>AI17*VLOOKUP('Données projet'!$B$10,Paramètres!$A$1:$I$89,3,0)*VLOOKUP('Données projet'!$B$10,Paramètres!$A$1:$I$89,5,0)</f>
        <v>8.7893365172940943</v>
      </c>
      <c r="AK17" s="13">
        <f t="shared" si="35"/>
        <v>3.1450797931223988</v>
      </c>
      <c r="AL17" s="20">
        <f t="shared" si="4"/>
        <v>20.78577507397539</v>
      </c>
      <c r="AM17" s="59">
        <f t="shared" si="5"/>
        <v>314.11910840730872</v>
      </c>
      <c r="AN17" s="59">
        <f ca="1">AVERAGE(OFFSET($AM$3,0,0,'Données projet'!$E$10+1,1))-AVERAGE(OFFSET($H$3,0,0,'Données projet'!$E$10+1,1))</f>
        <v>122.69576746316494</v>
      </c>
      <c r="AO17" s="59">
        <f t="shared" si="36"/>
        <v>103.29025722669985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7.4312217194570129</v>
      </c>
      <c r="BD17" s="12">
        <f>IF('Données projet'!$A$88&gt;35,BD16+BC17-BL16,IF(A17&lt;'Données projet'!$A$88,$BA$205^A17,IF(A17='Données projet'!$A$88,'Données projet'!$B$88,BD16+BC17-BL16)))</f>
        <v>53.784184291233551</v>
      </c>
      <c r="BE17" s="13">
        <f>BD17*VLOOKUP('Données projet'!$B$11,Paramètres!$A$1:$I$89,3,0)*VLOOKUP('Données projet'!$B$11,Paramètres!$A$1:$I$89,5,0)</f>
        <v>32.162942206157666</v>
      </c>
      <c r="BF17" s="13">
        <f t="shared" si="37"/>
        <v>9.8958162734145461</v>
      </c>
      <c r="BG17" s="20">
        <f t="shared" si="7"/>
        <v>73.252337685254929</v>
      </c>
      <c r="BH17" s="59">
        <f t="shared" si="8"/>
        <v>366.58567101858824</v>
      </c>
      <c r="BI17" s="59">
        <f ca="1">AVERAGE(OFFSET($BH$3,0,0,'Données projet'!$E$11+1,1))-AVERAGE(OFFSET($H$3,0,0,'Données projet'!$E$11+1,1))</f>
        <v>171.96009656745713</v>
      </c>
      <c r="BJ17" s="59">
        <f t="shared" si="38"/>
        <v>172.37574906747716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3.6141025641025637</v>
      </c>
      <c r="N18" s="13">
        <f>IF('Données projet'!$A$36&gt;35,N17+M18-V17,IF(A18&lt;'Données projet'!$A$36,$K$205^A18,IF(A18='Données projet'!$A$36,'Données projet'!$B$36,N17+M18-V17)))</f>
        <v>10.41264024746253</v>
      </c>
      <c r="O18" s="13">
        <f>N18*VLOOKUP('Données projet'!$B$9,Paramètres!$A$1:$I$89,3,0)*VLOOKUP('Données projet'!$B$9,Paramètres!$A$1:$I$89,5,0)</f>
        <v>9.421356895904097</v>
      </c>
      <c r="P18" s="13">
        <f t="shared" si="33"/>
        <v>3.3440958313850619</v>
      </c>
      <c r="Q18" s="20">
        <f t="shared" si="2"/>
        <v>22.233163500028613</v>
      </c>
      <c r="R18" s="59">
        <f t="shared" si="0"/>
        <v>315.56649683336195</v>
      </c>
      <c r="S18" s="59">
        <f ca="1">AVERAGE(OFFSET($R$3,0,0,'Données projet'!$E$9+1,1))-AVERAGE(OFFSET($H$3,0,0,'Données projet'!$E$9+1,1))</f>
        <v>309.07357540707869</v>
      </c>
      <c r="T18" s="59">
        <f t="shared" si="34"/>
        <v>155.9593924683299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4.857846153846153</v>
      </c>
      <c r="AI18" s="13">
        <f>IF('Données projet'!$A$62&gt;35,AI17+AH18-AQ17,IF(A18&lt;'Données projet'!$A$62,$AF$205^A18,IF(A18='Données projet'!$A$62,'Données projet'!$B$62,AI17+AH18-AQ17)))</f>
        <v>17.808619680442909</v>
      </c>
      <c r="AJ18" s="13">
        <f>AI18*VLOOKUP('Données projet'!$B$10,Paramètres!$A$1:$I$89,3,0)*VLOOKUP('Données projet'!$B$10,Paramètres!$A$1:$I$89,5,0)</f>
        <v>10.649554568904859</v>
      </c>
      <c r="AK18" s="13">
        <f t="shared" si="35"/>
        <v>3.7265086024628529</v>
      </c>
      <c r="AL18" s="20">
        <f t="shared" si="4"/>
        <v>25.038310023465428</v>
      </c>
      <c r="AM18" s="59">
        <f t="shared" si="5"/>
        <v>318.37164335679876</v>
      </c>
      <c r="AN18" s="59">
        <f ca="1">AVERAGE(OFFSET($AM$3,0,0,'Données projet'!$E$10+1,1))-AVERAGE(OFFSET($H$3,0,0,'Données projet'!$E$10+1,1))</f>
        <v>122.69576746316494</v>
      </c>
      <c r="AO18" s="59">
        <f t="shared" si="36"/>
        <v>103.29025722669985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7.4312217194570129</v>
      </c>
      <c r="BD18" s="12">
        <f>IF('Données projet'!$A$88&gt;35,BD17+BC18-BL17,IF(A18&lt;'Données projet'!$A$88,$BA$205^A18,IF(A18='Données projet'!$A$88,'Données projet'!$B$88,BD17+BC18-BL17)))</f>
        <v>71.494522692931866</v>
      </c>
      <c r="BE18" s="13">
        <f>BD18*VLOOKUP('Données projet'!$B$11,Paramètres!$A$1:$I$89,3,0)*VLOOKUP('Données projet'!$B$11,Paramètres!$A$1:$I$89,5,0)</f>
        <v>42.753724570373258</v>
      </c>
      <c r="BF18" s="13">
        <f t="shared" si="37"/>
        <v>12.725669841487028</v>
      </c>
      <c r="BG18" s="20">
        <f t="shared" si="7"/>
        <v>96.626611933989992</v>
      </c>
      <c r="BH18" s="59">
        <f t="shared" si="8"/>
        <v>389.95994526732329</v>
      </c>
      <c r="BI18" s="59">
        <f ca="1">AVERAGE(OFFSET($BH$3,0,0,'Données projet'!$E$11+1,1))-AVERAGE(OFFSET($H$3,0,0,'Données projet'!$E$11+1,1))</f>
        <v>171.96009656745713</v>
      </c>
      <c r="BJ18" s="59">
        <f t="shared" si="38"/>
        <v>172.37574906747716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3.6141025641025637</v>
      </c>
      <c r="N19" s="13">
        <f>IF('Données projet'!$A$36&gt;35,N18+M19-V18,IF(A19&lt;'Données projet'!$A$36,$K$205^A19,IF(A19='Données projet'!$A$36,'Données projet'!$B$36,N18+M19-V18)))</f>
        <v>12.173017738775622</v>
      </c>
      <c r="O19" s="13">
        <f>N19*VLOOKUP('Données projet'!$B$9,Paramètres!$A$1:$I$89,3,0)*VLOOKUP('Données projet'!$B$9,Paramètres!$A$1:$I$89,5,0)</f>
        <v>11.014146450044182</v>
      </c>
      <c r="P19" s="13">
        <f t="shared" si="33"/>
        <v>3.8390152128703852</v>
      </c>
      <c r="Q19" s="20">
        <f t="shared" si="2"/>
        <v>25.869256562909538</v>
      </c>
      <c r="R19" s="59">
        <f t="shared" si="0"/>
        <v>319.20258989624284</v>
      </c>
      <c r="S19" s="59">
        <f ca="1">AVERAGE(OFFSET($R$3,0,0,'Données projet'!$E$9+1,1))-AVERAGE(OFFSET($H$3,0,0,'Données projet'!$E$9+1,1))</f>
        <v>309.07357540707869</v>
      </c>
      <c r="T19" s="59">
        <f t="shared" si="34"/>
        <v>155.9593924683299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4.857846153846153</v>
      </c>
      <c r="AI19" s="13">
        <f>IF('Données projet'!$A$62&gt;35,AI18+AH19-AQ18,IF(A19&lt;'Données projet'!$A$62,$AF$205^A19,IF(A19='Données projet'!$A$62,'Données projet'!$B$62,AI18+AH19-AQ18)))</f>
        <v>21.577722813386732</v>
      </c>
      <c r="AJ19" s="13">
        <f>AI19*VLOOKUP('Données projet'!$B$10,Paramètres!$A$1:$I$89,3,0)*VLOOKUP('Données projet'!$B$10,Paramètres!$A$1:$I$89,5,0)</f>
        <v>12.903478242405267</v>
      </c>
      <c r="AK19" s="13">
        <f t="shared" si="35"/>
        <v>4.4154257690368244</v>
      </c>
      <c r="AL19" s="20">
        <f t="shared" si="4"/>
        <v>30.163757819928311</v>
      </c>
      <c r="AM19" s="59">
        <f t="shared" si="5"/>
        <v>323.49709115326164</v>
      </c>
      <c r="AN19" s="59">
        <f ca="1">AVERAGE(OFFSET($AM$3,0,0,'Données projet'!$E$10+1,1))-AVERAGE(OFFSET($H$3,0,0,'Données projet'!$E$10+1,1))</f>
        <v>122.69576746316494</v>
      </c>
      <c r="AO19" s="59">
        <f t="shared" si="36"/>
        <v>103.29025722669985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7.4312217194570129</v>
      </c>
      <c r="BD19" s="12">
        <f>IF('Données projet'!$A$88&gt;35,BD18+BC19-BL18,IF(A19&lt;'Données projet'!$A$88,$BA$205^A19,IF(A19='Données projet'!$A$88,'Données projet'!$B$88,BD18+BC19-BL18)))</f>
        <v>95.036614247271999</v>
      </c>
      <c r="BE19" s="13">
        <f>BD19*VLOOKUP('Données projet'!$B$11,Paramètres!$A$1:$I$89,3,0)*VLOOKUP('Données projet'!$B$11,Paramètres!$A$1:$I$89,5,0)</f>
        <v>56.831895319868664</v>
      </c>
      <c r="BF19" s="13">
        <f t="shared" si="37"/>
        <v>16.364761474967661</v>
      </c>
      <c r="BG19" s="20">
        <f t="shared" si="7"/>
        <v>127.4841772510066</v>
      </c>
      <c r="BH19" s="59">
        <f t="shared" si="8"/>
        <v>420.81751058433991</v>
      </c>
      <c r="BI19" s="59">
        <f ca="1">AVERAGE(OFFSET($BH$3,0,0,'Données projet'!$E$11+1,1))-AVERAGE(OFFSET($H$3,0,0,'Données projet'!$E$11+1,1))</f>
        <v>171.96009656745713</v>
      </c>
      <c r="BJ19" s="59">
        <f t="shared" si="38"/>
        <v>172.37574906747716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3.6141025641025637</v>
      </c>
      <c r="N20" s="13">
        <f>IF('Données projet'!$A$36&gt;35,N19+M20-V19,IF(A20&lt;'Données projet'!$A$36,$K$205^A20,IF(A20='Données projet'!$A$36,'Données projet'!$B$36,N19+M20-V19)))</f>
        <v>14.231007443540239</v>
      </c>
      <c r="O20" s="13">
        <f>N20*VLOOKUP('Données projet'!$B$9,Paramètres!$A$1:$I$89,3,0)*VLOOKUP('Données projet'!$B$9,Paramètres!$A$1:$I$89,5,0)</f>
        <v>12.876215534915207</v>
      </c>
      <c r="P20" s="13">
        <f t="shared" si="33"/>
        <v>4.4071816561985404</v>
      </c>
      <c r="Q20" s="20">
        <f t="shared" si="2"/>
        <v>30.101916774523115</v>
      </c>
      <c r="R20" s="59">
        <f t="shared" si="0"/>
        <v>323.4352501078564</v>
      </c>
      <c r="S20" s="59">
        <f ca="1">AVERAGE(OFFSET($R$3,0,0,'Données projet'!$E$9+1,1))-AVERAGE(OFFSET($H$3,0,0,'Données projet'!$E$9+1,1))</f>
        <v>309.07357540707869</v>
      </c>
      <c r="T20" s="59">
        <f t="shared" si="34"/>
        <v>155.9593924683299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4.857846153846153</v>
      </c>
      <c r="AI20" s="13">
        <f>IF('Données projet'!$A$62&gt;35,AI19+AH20-AQ19,IF(A20&lt;'Données projet'!$A$62,$AF$205^A20,IF(A20='Données projet'!$A$62,'Données projet'!$B$62,AI19+AH20-AQ19)))</f>
        <v>26.144537317659786</v>
      </c>
      <c r="AJ20" s="13">
        <f>AI20*VLOOKUP('Données projet'!$B$10,Paramètres!$A$1:$I$89,3,0)*VLOOKUP('Données projet'!$B$10,Paramètres!$A$1:$I$89,5,0)</f>
        <v>15.634433315960553</v>
      </c>
      <c r="AK20" s="13">
        <f t="shared" si="35"/>
        <v>5.2317025939479986</v>
      </c>
      <c r="AL20" s="20">
        <f t="shared" si="4"/>
        <v>36.341853376424055</v>
      </c>
      <c r="AM20" s="59">
        <f t="shared" si="5"/>
        <v>329.67518670975738</v>
      </c>
      <c r="AN20" s="59">
        <f ca="1">AVERAGE(OFFSET($AM$3,0,0,'Données projet'!$E$10+1,1))-AVERAGE(OFFSET($H$3,0,0,'Données projet'!$E$10+1,1))</f>
        <v>122.69576746316494</v>
      </c>
      <c r="AO20" s="59">
        <f t="shared" si="36"/>
        <v>103.29025722669985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>
        <f>VLOOKUP(A20,'Données projet'!$A$87:$I$107,2,0)</f>
        <v>126.33076923076922</v>
      </c>
      <c r="BB20" s="12">
        <f>VLOOKUP(A20,'Données projet'!$A$87:$I$107,9,0)</f>
        <v>7.4312217194570129</v>
      </c>
      <c r="BC20" s="12">
        <f t="array" ref="BC20">INDEX(BB:BB,MIN(IF(ISNUMBER(BB20:BB216),ROW(BB20:BB216),"")))</f>
        <v>7.4312217194570129</v>
      </c>
      <c r="BD20" s="12">
        <f>IF('Données projet'!$A$88&gt;35,BD19+BC20-BL19,IF(A20&lt;'Données projet'!$A$88,$BA$205^A20,IF(A20='Données projet'!$A$88,'Données projet'!$B$88,BD19+BC20-BL19)))</f>
        <v>126.33076923076922</v>
      </c>
      <c r="BE20" s="13">
        <f>BD20*VLOOKUP('Données projet'!$B$11,Paramètres!$A$1:$I$89,3,0)*VLOOKUP('Données projet'!$B$11,Paramètres!$A$1:$I$89,5,0)</f>
        <v>75.5458</v>
      </c>
      <c r="BF20" s="13">
        <f t="shared" si="37"/>
        <v>21.044504648353485</v>
      </c>
      <c r="BG20" s="20">
        <f t="shared" si="7"/>
        <v>168.22811392921565</v>
      </c>
      <c r="BH20" s="59">
        <f t="shared" si="8"/>
        <v>461.561447262549</v>
      </c>
      <c r="BI20" s="59">
        <f ca="1">AVERAGE(OFFSET($BH$3,0,0,'Données projet'!$E$11+1,1))-AVERAGE(OFFSET($H$3,0,0,'Données projet'!$E$11+1,1))</f>
        <v>171.96009656745713</v>
      </c>
      <c r="BJ20" s="59">
        <f t="shared" si="38"/>
        <v>172.37574906747716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42.084615384615383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0.22500000000000001</v>
      </c>
      <c r="BO20" s="16">
        <f>IF(ISNA(VLOOKUP(A20,'Données projet'!$A$87:$I$107,7,0)),0%,VLOOKUP(A20,'Données projet'!$A$87:$I$107,7,0))</f>
        <v>0.5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7.4820750970079999</v>
      </c>
      <c r="BR20" s="21">
        <f>EXP(-LN(2)/2)*BR19+(1-EXP(-LN(2)/2))/(LN(2)/2)*BL20*BO20*VLOOKUP('Données projet'!$B$11,Paramètres!$A$1:$I$89,3,0)*0.475*44/12</f>
        <v>14.247218669464779</v>
      </c>
      <c r="BS20" s="22">
        <f t="shared" si="9"/>
        <v>21.729293766472779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3.6141025641025637</v>
      </c>
      <c r="N21" s="13">
        <f>IF('Données projet'!$A$36&gt;35,N20+M21-V20,IF(A21&lt;'Données projet'!$A$36,$K$205^A21,IF(A21='Données projet'!$A$36,'Données projet'!$B$36,N20+M21-V20)))</f>
        <v>16.636924155050774</v>
      </c>
      <c r="O21" s="13">
        <f>N21*VLOOKUP('Données projet'!$B$9,Paramètres!$A$1:$I$89,3,0)*VLOOKUP('Données projet'!$B$9,Paramètres!$A$1:$I$89,5,0)</f>
        <v>15.053088975489938</v>
      </c>
      <c r="P21" s="13">
        <f t="shared" si="33"/>
        <v>5.0594355775449955</v>
      </c>
      <c r="Q21" s="20">
        <f t="shared" si="2"/>
        <v>35.029313596535836</v>
      </c>
      <c r="R21" s="59">
        <f t="shared" si="0"/>
        <v>328.36264692986913</v>
      </c>
      <c r="S21" s="59">
        <f ca="1">AVERAGE(OFFSET($R$3,0,0,'Données projet'!$E$9+1,1))-AVERAGE(OFFSET($H$3,0,0,'Données projet'!$E$9+1,1))</f>
        <v>309.07357540707869</v>
      </c>
      <c r="T21" s="59">
        <f t="shared" si="34"/>
        <v>155.9593924683299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4.857846153846153</v>
      </c>
      <c r="AI21" s="13">
        <f>IF('Données projet'!$A$62&gt;35,AI20+AH21-AQ20,IF(A21&lt;'Données projet'!$A$62,$AF$205^A21,IF(A21='Données projet'!$A$62,'Données projet'!$B$62,AI20+AH21-AQ20)))</f>
        <v>31.677894718827407</v>
      </c>
      <c r="AJ21" s="13">
        <f>AI21*VLOOKUP('Données projet'!$B$10,Paramètres!$A$1:$I$89,3,0)*VLOOKUP('Données projet'!$B$10,Paramètres!$A$1:$I$89,5,0)</f>
        <v>18.943381041858792</v>
      </c>
      <c r="AK21" s="13">
        <f t="shared" si="35"/>
        <v>6.1988839725172955</v>
      </c>
      <c r="AL21" s="20">
        <f t="shared" si="4"/>
        <v>43.789444900038347</v>
      </c>
      <c r="AM21" s="59">
        <f t="shared" si="5"/>
        <v>337.12277823337166</v>
      </c>
      <c r="AN21" s="59">
        <f ca="1">AVERAGE(OFFSET($AM$3,0,0,'Données projet'!$E$10+1,1))-AVERAGE(OFFSET($H$3,0,0,'Données projet'!$E$10+1,1))</f>
        <v>122.69576746316494</v>
      </c>
      <c r="AO21" s="59">
        <f t="shared" si="36"/>
        <v>103.29025722669985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14.926923076923075</v>
      </c>
      <c r="BD21" s="12">
        <f>IF('Données projet'!$A$88&gt;35,BD20+BC21-BL20,IF(A21&lt;'Données projet'!$A$88,$BA$205^A21,IF(A21='Données projet'!$A$88,'Données projet'!$B$88,BD20+BC21-BL20)))</f>
        <v>99.173076923076934</v>
      </c>
      <c r="BE21" s="13">
        <f>BD21*VLOOKUP('Données projet'!$B$11,Paramètres!$A$1:$I$89,3,0)*VLOOKUP('Données projet'!$B$11,Paramètres!$A$1:$I$89,5,0)</f>
        <v>59.305500000000016</v>
      </c>
      <c r="BF21" s="13">
        <f t="shared" si="37"/>
        <v>16.992558820122873</v>
      </c>
      <c r="BG21" s="20">
        <f t="shared" si="7"/>
        <v>132.88578577838067</v>
      </c>
      <c r="BH21" s="59">
        <f t="shared" si="8"/>
        <v>426.21911911171401</v>
      </c>
      <c r="BI21" s="59">
        <f ca="1">AVERAGE(OFFSET($BH$3,0,0,'Données projet'!$E$11+1,1))-AVERAGE(OFFSET($H$3,0,0,'Données projet'!$E$11+1,1))</f>
        <v>171.96009656745713</v>
      </c>
      <c r="BJ21" s="59">
        <f t="shared" si="38"/>
        <v>172.37574906747716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7.2774773600150873</v>
      </c>
      <c r="BR21" s="21">
        <f>EXP(-LN(2)/2)*BR20+(1-EXP(-LN(2)/2))/(LN(2)/2)*BL21*BO21*VLOOKUP('Données projet'!$B$11,Paramètres!$A$1:$I$89,3,0)*0.475*44/12</f>
        <v>10.074304934226127</v>
      </c>
      <c r="BS21" s="22">
        <f t="shared" si="9"/>
        <v>17.351782294241215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3.6141025641025637</v>
      </c>
      <c r="N22" s="13">
        <f>IF('Données projet'!$A$36&gt;35,N21+M22-V21,IF(A22&lt;'Données projet'!$A$36,$K$205^A22,IF(A22='Données projet'!$A$36,'Données projet'!$B$36,N21+M22-V21)))</f>
        <v>19.449588965435588</v>
      </c>
      <c r="O22" s="13">
        <f>N22*VLOOKUP('Données projet'!$B$9,Paramètres!$A$1:$I$89,3,0)*VLOOKUP('Données projet'!$B$9,Paramètres!$A$1:$I$89,5,0)</f>
        <v>17.597988095926119</v>
      </c>
      <c r="P22" s="13">
        <f t="shared" si="33"/>
        <v>5.8082217526308648</v>
      </c>
      <c r="Q22" s="20">
        <f t="shared" si="2"/>
        <v>40.765815486236747</v>
      </c>
      <c r="R22" s="59">
        <f t="shared" si="0"/>
        <v>334.09914881957008</v>
      </c>
      <c r="S22" s="59">
        <f ca="1">AVERAGE(OFFSET($R$3,0,0,'Données projet'!$E$9+1,1))-AVERAGE(OFFSET($H$3,0,0,'Données projet'!$E$9+1,1))</f>
        <v>309.07357540707869</v>
      </c>
      <c r="T22" s="59">
        <f t="shared" si="34"/>
        <v>155.9593924683299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4.857846153846153</v>
      </c>
      <c r="AI22" s="13">
        <f>IF('Données projet'!$A$62&gt;35,AI21+AH22-AQ21,IF(A22&lt;'Données projet'!$A$62,$AF$205^A22,IF(A22='Données projet'!$A$62,'Données projet'!$B$62,AI21+AH22-AQ21)))</f>
        <v>38.3823588700225</v>
      </c>
      <c r="AJ22" s="13">
        <f>AI22*VLOOKUP('Données projet'!$B$10,Paramètres!$A$1:$I$89,3,0)*VLOOKUP('Données projet'!$B$10,Paramètres!$A$1:$I$89,5,0)</f>
        <v>22.952650604273455</v>
      </c>
      <c r="AK22" s="13">
        <f t="shared" si="35"/>
        <v>7.3448675292022392</v>
      </c>
      <c r="AL22" s="20">
        <f t="shared" si="4"/>
        <v>52.7681774158035</v>
      </c>
      <c r="AM22" s="59">
        <f t="shared" si="5"/>
        <v>346.10151074913682</v>
      </c>
      <c r="AN22" s="59">
        <f ca="1">AVERAGE(OFFSET($AM$3,0,0,'Données projet'!$E$10+1,1))-AVERAGE(OFFSET($H$3,0,0,'Données projet'!$E$10+1,1))</f>
        <v>122.69576746316494</v>
      </c>
      <c r="AO22" s="59">
        <f t="shared" si="36"/>
        <v>103.29025722669985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14.926923076923075</v>
      </c>
      <c r="BD22" s="12">
        <f>IF('Données projet'!$A$88&gt;35,BD21+BC22-BL21,IF(A22&lt;'Données projet'!$A$88,$BA$205^A22,IF(A22='Données projet'!$A$88,'Données projet'!$B$88,BD21+BC22-BL21)))</f>
        <v>114.10000000000001</v>
      </c>
      <c r="BE22" s="13">
        <f>BD22*VLOOKUP('Données projet'!$B$11,Paramètres!$A$1:$I$89,3,0)*VLOOKUP('Données projet'!$B$11,Paramètres!$A$1:$I$89,5,0)</f>
        <v>68.231800000000007</v>
      </c>
      <c r="BF22" s="13">
        <f t="shared" si="37"/>
        <v>19.233699497264624</v>
      </c>
      <c r="BG22" s="20">
        <f t="shared" si="7"/>
        <v>152.3357449577359</v>
      </c>
      <c r="BH22" s="59">
        <f t="shared" si="8"/>
        <v>445.66907829106924</v>
      </c>
      <c r="BI22" s="59">
        <f ca="1">AVERAGE(OFFSET($BH$3,0,0,'Données projet'!$E$11+1,1))-AVERAGE(OFFSET($H$3,0,0,'Données projet'!$E$11+1,1))</f>
        <v>171.96009656745713</v>
      </c>
      <c r="BJ22" s="59">
        <f t="shared" si="38"/>
        <v>172.37574906747716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7.0784743588995731</v>
      </c>
      <c r="BR22" s="21">
        <f>EXP(-LN(2)/2)*BR21+(1-EXP(-LN(2)/2))/(LN(2)/2)*BL22*BO22*VLOOKUP('Données projet'!$B$11,Paramètres!$A$1:$I$89,3,0)*0.475*44/12</f>
        <v>7.1236093347323903</v>
      </c>
      <c r="BS22" s="22">
        <f t="shared" si="9"/>
        <v>14.202083693631963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3.6141025641025637</v>
      </c>
      <c r="N23" s="13">
        <f>IF('Données projet'!$A$36&gt;35,N22+M23-V22,IF(A23&lt;'Données projet'!$A$36,$K$205^A23,IF(A23='Données projet'!$A$36,'Données projet'!$B$36,N22+M23-V22)))</f>
        <v>22.73776735404245</v>
      </c>
      <c r="O23" s="13">
        <f>N23*VLOOKUP('Données projet'!$B$9,Paramètres!$A$1:$I$89,3,0)*VLOOKUP('Données projet'!$B$9,Paramètres!$A$1:$I$89,5,0)</f>
        <v>20.573131901937611</v>
      </c>
      <c r="P23" s="13">
        <f t="shared" si="33"/>
        <v>6.6678267586725299</v>
      </c>
      <c r="Q23" s="20">
        <f t="shared" si="2"/>
        <v>47.444669667229327</v>
      </c>
      <c r="R23" s="59">
        <f t="shared" si="0"/>
        <v>340.77800300056265</v>
      </c>
      <c r="S23" s="59">
        <f ca="1">AVERAGE(OFFSET($R$3,0,0,'Données projet'!$E$9+1,1))-AVERAGE(OFFSET($H$3,0,0,'Données projet'!$E$9+1,1))</f>
        <v>309.07357540707869</v>
      </c>
      <c r="T23" s="59">
        <f t="shared" si="34"/>
        <v>155.9593924683299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4.857846153846153</v>
      </c>
      <c r="AI23" s="13">
        <f>IF('Données projet'!$A$62&gt;35,AI22+AH23-AQ22,IF(A23&lt;'Données projet'!$A$62,$AF$205^A23,IF(A23='Données projet'!$A$62,'Données projet'!$B$62,AI22+AH23-AQ22)))</f>
        <v>46.505788516040859</v>
      </c>
      <c r="AJ23" s="13">
        <f>AI23*VLOOKUP('Données projet'!$B$10,Paramètres!$A$1:$I$89,3,0)*VLOOKUP('Données projet'!$B$10,Paramètres!$A$1:$I$89,5,0)</f>
        <v>27.810461532592438</v>
      </c>
      <c r="AK23" s="13">
        <f t="shared" si="35"/>
        <v>8.702708303737154</v>
      </c>
      <c r="AL23" s="20">
        <f t="shared" si="4"/>
        <v>63.593770798274043</v>
      </c>
      <c r="AM23" s="59">
        <f t="shared" si="5"/>
        <v>356.92710413160734</v>
      </c>
      <c r="AN23" s="59">
        <f ca="1">AVERAGE(OFFSET($AM$3,0,0,'Données projet'!$E$10+1,1))-AVERAGE(OFFSET($H$3,0,0,'Données projet'!$E$10+1,1))</f>
        <v>122.69576746316494</v>
      </c>
      <c r="AO23" s="59">
        <f t="shared" si="36"/>
        <v>103.29025722669985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14.926923076923075</v>
      </c>
      <c r="BD23" s="12">
        <f>IF('Données projet'!$A$88&gt;35,BD22+BC23-BL22,IF(A23&lt;'Données projet'!$A$88,$BA$205^A23,IF(A23='Données projet'!$A$88,'Données projet'!$B$88,BD22+BC23-BL22)))</f>
        <v>129.02692307692308</v>
      </c>
      <c r="BE23" s="13">
        <f>BD23*VLOOKUP('Données projet'!$B$11,Paramètres!$A$1:$I$89,3,0)*VLOOKUP('Données projet'!$B$11,Paramètres!$A$1:$I$89,5,0)</f>
        <v>77.158100000000005</v>
      </c>
      <c r="BF23" s="13">
        <f t="shared" si="37"/>
        <v>21.440868838738705</v>
      </c>
      <c r="BG23" s="20">
        <f t="shared" si="7"/>
        <v>171.72653739413659</v>
      </c>
      <c r="BH23" s="59">
        <f t="shared" si="8"/>
        <v>465.0598707274699</v>
      </c>
      <c r="BI23" s="59">
        <f ca="1">AVERAGE(OFFSET($BH$3,0,0,'Données projet'!$E$11+1,1))-AVERAGE(OFFSET($H$3,0,0,'Données projet'!$E$11+1,1))</f>
        <v>171.96009656745713</v>
      </c>
      <c r="BJ23" s="59">
        <f t="shared" si="38"/>
        <v>172.37574906747716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6.8849131053146762</v>
      </c>
      <c r="BR23" s="21">
        <f>EXP(-LN(2)/2)*BR22+(1-EXP(-LN(2)/2))/(LN(2)/2)*BL23*BO23*VLOOKUP('Données projet'!$B$11,Paramètres!$A$1:$I$89,3,0)*0.475*44/12</f>
        <v>5.0371524671130636</v>
      </c>
      <c r="BS23" s="22">
        <f t="shared" si="9"/>
        <v>11.922065572427741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3.6141025641025637</v>
      </c>
      <c r="N24" s="13">
        <f>IF('Données projet'!$A$36&gt;35,N23+M24-V23,IF(A24&lt;'Données projet'!$A$36,$K$205^A24,IF(A24='Données projet'!$A$36,'Données projet'!$B$36,N23+M24-V23)))</f>
        <v>26.581850401329536</v>
      </c>
      <c r="O24" s="13">
        <f>N24*VLOOKUP('Données projet'!$B$9,Paramètres!$A$1:$I$89,3,0)*VLOOKUP('Données projet'!$B$9,Paramètres!$A$1:$I$89,5,0)</f>
        <v>24.051258243122962</v>
      </c>
      <c r="P24" s="13">
        <f t="shared" si="33"/>
        <v>7.6546515572569298</v>
      </c>
      <c r="Q24" s="20">
        <f t="shared" si="2"/>
        <v>55.221126235661643</v>
      </c>
      <c r="R24" s="59">
        <f t="shared" si="0"/>
        <v>348.55445956899496</v>
      </c>
      <c r="S24" s="59">
        <f ca="1">AVERAGE(OFFSET($R$3,0,0,'Données projet'!$E$9+1,1))-AVERAGE(OFFSET($H$3,0,0,'Données projet'!$E$9+1,1))</f>
        <v>309.07357540707869</v>
      </c>
      <c r="T24" s="59">
        <f t="shared" si="34"/>
        <v>155.9593924683299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4.857846153846153</v>
      </c>
      <c r="AI24" s="13">
        <f>IF('Données projet'!$A$62&gt;35,AI23+AH24-AQ23,IF(A24&lt;'Données projet'!$A$62,$AF$205^A24,IF(A24='Données projet'!$A$62,'Données projet'!$B$62,AI23+AH24-AQ23)))</f>
        <v>56.348500435388942</v>
      </c>
      <c r="AJ24" s="13">
        <f>AI24*VLOOKUP('Données projet'!$B$10,Paramètres!$A$1:$I$89,3,0)*VLOOKUP('Données projet'!$B$10,Paramètres!$A$1:$I$89,5,0)</f>
        <v>33.696403260362594</v>
      </c>
      <c r="AK24" s="13">
        <f t="shared" si="35"/>
        <v>10.311572199064805</v>
      </c>
      <c r="AL24" s="20">
        <f t="shared" si="4"/>
        <v>76.647223925169385</v>
      </c>
      <c r="AM24" s="59">
        <f t="shared" si="5"/>
        <v>369.9805572585027</v>
      </c>
      <c r="AN24" s="59">
        <f ca="1">AVERAGE(OFFSET($AM$3,0,0,'Données projet'!$E$10+1,1))-AVERAGE(OFFSET($H$3,0,0,'Données projet'!$E$10+1,1))</f>
        <v>122.69576746316494</v>
      </c>
      <c r="AO24" s="59">
        <f t="shared" si="36"/>
        <v>103.29025722669985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14.926923076923075</v>
      </c>
      <c r="BD24" s="12">
        <f>IF('Données projet'!$A$88&gt;35,BD23+BC24-BL23,IF(A24&lt;'Données projet'!$A$88,$BA$205^A24,IF(A24='Données projet'!$A$88,'Données projet'!$B$88,BD23+BC24-BL23)))</f>
        <v>143.95384615384614</v>
      </c>
      <c r="BE24" s="13">
        <f>BD24*VLOOKUP('Données projet'!$B$11,Paramètres!$A$1:$I$89,3,0)*VLOOKUP('Données projet'!$B$11,Paramètres!$A$1:$I$89,5,0)</f>
        <v>86.084400000000002</v>
      </c>
      <c r="BF24" s="13">
        <f t="shared" si="37"/>
        <v>23.618445758177199</v>
      </c>
      <c r="BG24" s="20">
        <f t="shared" si="7"/>
        <v>191.06578969549196</v>
      </c>
      <c r="BH24" s="59">
        <f t="shared" si="8"/>
        <v>484.39912302882527</v>
      </c>
      <c r="BI24" s="59">
        <f ca="1">AVERAGE(OFFSET($BH$3,0,0,'Données projet'!$E$11+1,1))-AVERAGE(OFFSET($H$3,0,0,'Données projet'!$E$11+1,1))</f>
        <v>171.96009656745713</v>
      </c>
      <c r="BJ24" s="59">
        <f t="shared" si="38"/>
        <v>172.37574906747716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6.6966447943880016</v>
      </c>
      <c r="BR24" s="21">
        <f>EXP(-LN(2)/2)*BR23+(1-EXP(-LN(2)/2))/(LN(2)/2)*BL24*BO24*VLOOKUP('Données projet'!$B$11,Paramètres!$A$1:$I$89,3,0)*0.475*44/12</f>
        <v>3.5618046673661952</v>
      </c>
      <c r="BS24" s="22">
        <f t="shared" si="9"/>
        <v>10.258449461754196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3.6141025641025637</v>
      </c>
      <c r="N25" s="13">
        <f>IF('Données projet'!$A$36&gt;35,N24+M25-V24,IF(A25&lt;'Données projet'!$A$36,$K$205^A25,IF(A25='Données projet'!$A$36,'Données projet'!$B$36,N24+M25-V24)))</f>
        <v>31.075820231445945</v>
      </c>
      <c r="O25" s="13">
        <f>N25*VLOOKUP('Données projet'!$B$9,Paramètres!$A$1:$I$89,3,0)*VLOOKUP('Données projet'!$B$9,Paramètres!$A$1:$I$89,5,0)</f>
        <v>28.117402145412289</v>
      </c>
      <c r="P25" s="13">
        <f t="shared" si="33"/>
        <v>8.7875244189279336</v>
      </c>
      <c r="Q25" s="20">
        <f t="shared" si="2"/>
        <v>64.276080432892542</v>
      </c>
      <c r="R25" s="59">
        <f t="shared" si="0"/>
        <v>357.60941376622588</v>
      </c>
      <c r="S25" s="59">
        <f ca="1">AVERAGE(OFFSET($R$3,0,0,'Données projet'!$E$9+1,1))-AVERAGE(OFFSET($H$3,0,0,'Données projet'!$E$9+1,1))</f>
        <v>309.07357540707869</v>
      </c>
      <c r="T25" s="59">
        <f t="shared" si="34"/>
        <v>155.9593924683299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4.857846153846153</v>
      </c>
      <c r="AI25" s="13">
        <f>IF('Données projet'!$A$62&gt;35,AI24+AH25-AQ24,IF(A25&lt;'Données projet'!$A$62,$AF$205^A25,IF(A25='Données projet'!$A$62,'Données projet'!$B$62,AI24+AH25-AQ24)))</f>
        <v>68.274371914409073</v>
      </c>
      <c r="AJ25" s="13">
        <f>AI25*VLOOKUP('Données projet'!$B$10,Paramètres!$A$1:$I$89,3,0)*VLOOKUP('Données projet'!$B$10,Paramètres!$A$1:$I$89,5,0)</f>
        <v>40.828074404816626</v>
      </c>
      <c r="AK25" s="13">
        <f t="shared" si="35"/>
        <v>12.217865692552984</v>
      </c>
      <c r="AL25" s="20">
        <f t="shared" si="4"/>
        <v>92.388345669585405</v>
      </c>
      <c r="AM25" s="59">
        <f t="shared" si="5"/>
        <v>385.72167900291873</v>
      </c>
      <c r="AN25" s="59">
        <f ca="1">AVERAGE(OFFSET($AM$3,0,0,'Données projet'!$E$10+1,1))-AVERAGE(OFFSET($H$3,0,0,'Données projet'!$E$10+1,1))</f>
        <v>122.69576746316494</v>
      </c>
      <c r="AO25" s="59">
        <f t="shared" si="36"/>
        <v>103.29025722669985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14.926923076923075</v>
      </c>
      <c r="BD25" s="12">
        <f>IF('Données projet'!$A$88&gt;35,BD24+BC25-BL24,IF(A25&lt;'Données projet'!$A$88,$BA$205^A25,IF(A25='Données projet'!$A$88,'Données projet'!$B$88,BD24+BC25-BL24)))</f>
        <v>158.8807692307692</v>
      </c>
      <c r="BE25" s="13">
        <f>BD25*VLOOKUP('Données projet'!$B$11,Paramètres!$A$1:$I$89,3,0)*VLOOKUP('Données projet'!$B$11,Paramètres!$A$1:$I$89,5,0)</f>
        <v>95.0107</v>
      </c>
      <c r="BF25" s="13">
        <f t="shared" si="37"/>
        <v>25.769848277327686</v>
      </c>
      <c r="BG25" s="20">
        <f t="shared" si="7"/>
        <v>210.3594549163457</v>
      </c>
      <c r="BH25" s="59">
        <f t="shared" si="8"/>
        <v>503.69278824967898</v>
      </c>
      <c r="BI25" s="59">
        <f ca="1">AVERAGE(OFFSET($BH$3,0,0,'Données projet'!$E$11+1,1))-AVERAGE(OFFSET($H$3,0,0,'Données projet'!$E$11+1,1))</f>
        <v>171.96009656745713</v>
      </c>
      <c r="BJ25" s="59">
        <f t="shared" si="38"/>
        <v>172.37574906747716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6.5135246903242177</v>
      </c>
      <c r="BR25" s="21">
        <f>EXP(-LN(2)/2)*BR24+(1-EXP(-LN(2)/2))/(LN(2)/2)*BL25*BO25*VLOOKUP('Données projet'!$B$11,Paramètres!$A$1:$I$89,3,0)*0.475*44/12</f>
        <v>2.5185762335565318</v>
      </c>
      <c r="BS25" s="22">
        <f t="shared" si="9"/>
        <v>9.0321009238807495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3.6141025641025637</v>
      </c>
      <c r="N26" s="13">
        <f>IF('Données projet'!$A$36&gt;35,N25+M26-V25,IF(A26&lt;'Données projet'!$A$36,$K$205^A26,IF(A26='Données projet'!$A$36,'Données projet'!$B$36,N25+M26-V25)))</f>
        <v>36.329547735655126</v>
      </c>
      <c r="O26" s="13">
        <f>N26*VLOOKUP('Données projet'!$B$9,Paramètres!$A$1:$I$89,3,0)*VLOOKUP('Données projet'!$B$9,Paramètres!$A$1:$I$89,5,0)</f>
        <v>32.87097479122076</v>
      </c>
      <c r="P26" s="13">
        <f t="shared" si="33"/>
        <v>10.088060159975067</v>
      </c>
      <c r="Q26" s="20">
        <f t="shared" si="2"/>
        <v>74.820319206666056</v>
      </c>
      <c r="R26" s="59">
        <f t="shared" si="0"/>
        <v>368.15365253999937</v>
      </c>
      <c r="S26" s="59">
        <f ca="1">AVERAGE(OFFSET($R$3,0,0,'Données projet'!$E$9+1,1))-AVERAGE(OFFSET($H$3,0,0,'Données projet'!$E$9+1,1))</f>
        <v>309.07357540707869</v>
      </c>
      <c r="T26" s="59">
        <f t="shared" si="34"/>
        <v>155.9593924683299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4.857846153846153</v>
      </c>
      <c r="AI26" s="13">
        <f>IF('Données projet'!$A$62&gt;35,AI25+AH26-AQ25,IF(A26&lt;'Données projet'!$A$62,$AF$205^A26,IF(A26='Données projet'!$A$62,'Données projet'!$B$62,AI25+AH26-AQ25)))</f>
        <v>82.724293003182126</v>
      </c>
      <c r="AJ26" s="13">
        <f>AI26*VLOOKUP('Données projet'!$B$10,Paramètres!$A$1:$I$89,3,0)*VLOOKUP('Données projet'!$B$10,Paramètres!$A$1:$I$89,5,0)</f>
        <v>49.469127215902915</v>
      </c>
      <c r="AK26" s="13">
        <f t="shared" si="35"/>
        <v>14.476574396172257</v>
      </c>
      <c r="AL26" s="20">
        <f t="shared" si="4"/>
        <v>111.37209697436424</v>
      </c>
      <c r="AM26" s="59">
        <f t="shared" si="5"/>
        <v>404.70543030769755</v>
      </c>
      <c r="AN26" s="59">
        <f ca="1">AVERAGE(OFFSET($AM$3,0,0,'Données projet'!$E$10+1,1))-AVERAGE(OFFSET($H$3,0,0,'Données projet'!$E$10+1,1))</f>
        <v>122.69576746316494</v>
      </c>
      <c r="AO26" s="59">
        <f t="shared" si="36"/>
        <v>103.29025722669985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>
        <f>VLOOKUP(A26,'Données projet'!$A$87:$I$107,2,0)</f>
        <v>173.80769230769229</v>
      </c>
      <c r="BB26" s="12">
        <f>VLOOKUP(A26,'Données projet'!$A$87:$I$107,9,0)</f>
        <v>14.926923076923075</v>
      </c>
      <c r="BC26" s="12">
        <f t="array" ref="BC26">INDEX(BB:BB,MIN(IF(ISNUMBER(BB26:BB222),ROW(BB26:BB222),"")))</f>
        <v>14.926923076923075</v>
      </c>
      <c r="BD26" s="12">
        <f>IF('Données projet'!$A$88&gt;35,BD25+BC26-BL25,IF(A26&lt;'Données projet'!$A$88,$BA$205^A26,IF(A26='Données projet'!$A$88,'Données projet'!$B$88,BD25+BC26-BL25)))</f>
        <v>173.80769230769226</v>
      </c>
      <c r="BE26" s="13">
        <f>BD26*VLOOKUP('Données projet'!$B$11,Paramètres!$A$1:$I$89,3,0)*VLOOKUP('Données projet'!$B$11,Paramètres!$A$1:$I$89,5,0)</f>
        <v>103.93699999999998</v>
      </c>
      <c r="BF26" s="13">
        <f t="shared" si="37"/>
        <v>27.897815230264825</v>
      </c>
      <c r="BG26" s="20">
        <f t="shared" si="7"/>
        <v>229.61230319271121</v>
      </c>
      <c r="BH26" s="59">
        <f t="shared" si="8"/>
        <v>522.9456365260445</v>
      </c>
      <c r="BI26" s="59">
        <f ca="1">AVERAGE(OFFSET($BH$3,0,0,'Données projet'!$E$11+1,1))-AVERAGE(OFFSET($H$3,0,0,'Données projet'!$E$11+1,1))</f>
        <v>171.96009656745713</v>
      </c>
      <c r="BJ26" s="59">
        <f t="shared" si="38"/>
        <v>172.37574906747716</v>
      </c>
      <c r="BK26" s="15">
        <f>IF(ISNA(VLOOKUP(A26,'Données projet'!$A$87:$I$107,3,0)),0,VLOOKUP(A26,'Données projet'!$A$87:$I$107,3,0))</f>
        <v>2</v>
      </c>
      <c r="BL26" s="15">
        <f>IF(ISNA(VLOOKUP(A26,'Données projet'!$A$87:$I$107,4,0)),0,VLOOKUP(A26,'Données projet'!$A$87:$I$107,4,0))</f>
        <v>54.099999999999994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0.22500000000000001</v>
      </c>
      <c r="BO26" s="16">
        <f>IF(ISNA(VLOOKUP(A26,'Données projet'!$A$87:$I$107,7,0)),0%,VLOOKUP(A26,'Données projet'!$A$87:$I$107,7,0))</f>
        <v>0.5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15.953659896191905</v>
      </c>
      <c r="BR26" s="21">
        <f>EXP(-LN(2)/2)*BR25+(1-EXP(-LN(2)/2))/(LN(2)/2)*BL26*BO26*VLOOKUP('Données projet'!$B$11,Paramètres!$A$1:$I$89,3,0)*0.475*44/12</f>
        <v>20.095778755241454</v>
      </c>
      <c r="BS26" s="22">
        <f t="shared" si="9"/>
        <v>36.049438651433363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3.6141025641025637</v>
      </c>
      <c r="N27" s="13">
        <f>IF('Données projet'!$A$36&gt;35,N26+M27-V26,IF(A27&lt;'Données projet'!$A$36,$K$205^A27,IF(A27='Données projet'!$A$36,'Données projet'!$B$36,N26+M27-V26)))</f>
        <v>42.47147875252827</v>
      </c>
      <c r="O27" s="13">
        <f>N27*VLOOKUP('Données projet'!$B$9,Paramètres!$A$1:$I$89,3,0)*VLOOKUP('Données projet'!$B$9,Paramètres!$A$1:$I$89,5,0)</f>
        <v>38.428193975287577</v>
      </c>
      <c r="P27" s="13">
        <f t="shared" si="33"/>
        <v>11.581072545536303</v>
      </c>
      <c r="Q27" s="20">
        <f t="shared" si="2"/>
        <v>87.099472523768256</v>
      </c>
      <c r="R27" s="59">
        <f t="shared" si="0"/>
        <v>380.43280585710158</v>
      </c>
      <c r="S27" s="59">
        <f ca="1">AVERAGE(OFFSET($R$3,0,0,'Données projet'!$E$9+1,1))-AVERAGE(OFFSET($H$3,0,0,'Données projet'!$E$9+1,1))</f>
        <v>309.07357540707869</v>
      </c>
      <c r="T27" s="59">
        <f t="shared" si="34"/>
        <v>155.9593924683299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4.857846153846153</v>
      </c>
      <c r="AI27" s="13">
        <f>IF('Données projet'!$A$62&gt;35,AI26+AH27-AQ26,IF(A27&lt;'Données projet'!$A$62,$AF$205^A27,IF(A27='Données projet'!$A$62,'Données projet'!$B$62,AI26+AH27-AQ26)))</f>
        <v>100.23246587248458</v>
      </c>
      <c r="AJ27" s="13">
        <f>AI27*VLOOKUP('Données projet'!$B$10,Paramètres!$A$1:$I$89,3,0)*VLOOKUP('Données projet'!$B$10,Paramètres!$A$1:$I$89,5,0)</f>
        <v>59.939014591745789</v>
      </c>
      <c r="AK27" s="13">
        <f t="shared" si="35"/>
        <v>17.152849075403395</v>
      </c>
      <c r="AL27" s="20">
        <f t="shared" si="4"/>
        <v>134.26832922028481</v>
      </c>
      <c r="AM27" s="59">
        <f t="shared" si="5"/>
        <v>427.6016625536181</v>
      </c>
      <c r="AN27" s="59">
        <f ca="1">AVERAGE(OFFSET($AM$3,0,0,'Données projet'!$E$10+1,1))-AVERAGE(OFFSET($H$3,0,0,'Données projet'!$E$10+1,1))</f>
        <v>122.69576746316494</v>
      </c>
      <c r="AO27" s="59">
        <f t="shared" si="36"/>
        <v>103.29025722669985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15.073076923076925</v>
      </c>
      <c r="BD27" s="12">
        <f>IF('Données projet'!$A$88&gt;35,BD26+BC27-BL26,IF(A27&lt;'Données projet'!$A$88,$BA$205^A27,IF(A27='Données projet'!$A$88,'Données projet'!$B$88,BD26+BC27-BL26)))</f>
        <v>134.78076923076921</v>
      </c>
      <c r="BE27" s="13">
        <f>BD27*VLOOKUP('Données projet'!$B$11,Paramètres!$A$1:$I$89,3,0)*VLOOKUP('Données projet'!$B$11,Paramètres!$A$1:$I$89,5,0)</f>
        <v>80.598899999999986</v>
      </c>
      <c r="BF27" s="13">
        <f t="shared" si="37"/>
        <v>22.283554667877272</v>
      </c>
      <c r="BG27" s="20">
        <f t="shared" si="7"/>
        <v>179.18694187988618</v>
      </c>
      <c r="BH27" s="59">
        <f t="shared" si="8"/>
        <v>472.52027521321952</v>
      </c>
      <c r="BI27" s="59">
        <f ca="1">AVERAGE(OFFSET($BH$3,0,0,'Données projet'!$E$11+1,1))-AVERAGE(OFFSET($H$3,0,0,'Données projet'!$E$11+1,1))</f>
        <v>171.96009656745713</v>
      </c>
      <c r="BJ27" s="59">
        <f t="shared" si="38"/>
        <v>172.37574906747716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15.517406227364026</v>
      </c>
      <c r="BR27" s="21">
        <f>EXP(-LN(2)/2)*BR26+(1-EXP(-LN(2)/2))/(LN(2)/2)*BL27*BO27*VLOOKUP('Données projet'!$B$11,Paramètres!$A$1:$I$89,3,0)*0.475*44/12</f>
        <v>14.20986143105579</v>
      </c>
      <c r="BS27" s="22">
        <f t="shared" si="9"/>
        <v>29.727267658419816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3.6141025641025637</v>
      </c>
      <c r="N28" s="13">
        <f>IF('Données projet'!$A$36&gt;35,N27+M28-V27,IF(A28&lt;'Données projet'!$A$36,$K$205^A28,IF(A28='Données projet'!$A$36,'Données projet'!$B$36,N27+M28-V27)))</f>
        <v>49.651774378025635</v>
      </c>
      <c r="O28" s="13">
        <f>N28*VLOOKUP('Données projet'!$B$9,Paramètres!$A$1:$I$89,3,0)*VLOOKUP('Données projet'!$B$9,Paramètres!$A$1:$I$89,5,0)</f>
        <v>44.924925457237592</v>
      </c>
      <c r="P28" s="13">
        <f t="shared" si="33"/>
        <v>13.295047727521297</v>
      </c>
      <c r="Q28" s="20">
        <f t="shared" si="2"/>
        <v>101.39978663012171</v>
      </c>
      <c r="R28" s="59">
        <f t="shared" si="0"/>
        <v>394.73311996345501</v>
      </c>
      <c r="S28" s="59">
        <f ca="1">AVERAGE(OFFSET($R$3,0,0,'Données projet'!$E$9+1,1))-AVERAGE(OFFSET($H$3,0,0,'Données projet'!$E$9+1,1))</f>
        <v>309.07357540707869</v>
      </c>
      <c r="T28" s="59">
        <f t="shared" si="34"/>
        <v>155.9593924683299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121.44615384615383</v>
      </c>
      <c r="AG28" s="12">
        <f>VLOOKUP(A28,'Données projet'!$A$61:$I$81,9,0)</f>
        <v>4.857846153846153</v>
      </c>
      <c r="AH28" s="12">
        <f t="array" ref="AH28">INDEX(AG:AG,MIN(IF(ISNUMBER(AG28:AG224),ROW(AG28:AG224),"")))</f>
        <v>4.857846153846153</v>
      </c>
      <c r="AI28" s="13">
        <f>IF('Données projet'!$A$62&gt;35,AI27+AH28-AQ27,IF(A28&lt;'Données projet'!$A$62,$AF$205^A28,IF(A28='Données projet'!$A$62,'Données projet'!$B$62,AI27+AH28-AQ27)))</f>
        <v>121.44615384615383</v>
      </c>
      <c r="AJ28" s="13">
        <f>AI28*VLOOKUP('Données projet'!$B$10,Paramètres!$A$1:$I$89,3,0)*VLOOKUP('Données projet'!$B$10,Paramètres!$A$1:$I$89,5,0)</f>
        <v>72.624799999999993</v>
      </c>
      <c r="AK28" s="13">
        <f t="shared" si="35"/>
        <v>20.323884874405149</v>
      </c>
      <c r="AL28" s="20">
        <f t="shared" si="4"/>
        <v>161.88562615625563</v>
      </c>
      <c r="AM28" s="59">
        <f t="shared" si="5"/>
        <v>455.21895948958894</v>
      </c>
      <c r="AN28" s="59">
        <f ca="1">AVERAGE(OFFSET($AM$3,0,0,'Données projet'!$E$10+1,1))-AVERAGE(OFFSET($H$3,0,0,'Données projet'!$E$10+1,1))</f>
        <v>122.69576746316494</v>
      </c>
      <c r="AO28" s="59">
        <f t="shared" si="36"/>
        <v>103.29025722669985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51.446153846153841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0.22500000000000001</v>
      </c>
      <c r="AT28" s="16">
        <f>IF(ISNA(VLOOKUP(A28,'Données projet'!$A$61:$I$81,7,0)),0%,VLOOKUP(A28,'Données projet'!$A$61:$I$81,7,0))</f>
        <v>0.5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9.1464299485997973</v>
      </c>
      <c r="AW28" s="21">
        <f>EXP(-LN(2)/2)*AW27+(1-EXP(-LN(2)/2))/(LN(2)/2)*AQ28*AT28*VLOOKUP('Données projet'!$B$10,Paramètres!$A$1:$I$89,3,0)*0.475*44/12</f>
        <v>17.416450093471109</v>
      </c>
      <c r="AX28" s="21">
        <f t="shared" si="6"/>
        <v>26.562880042070908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15.073076923076925</v>
      </c>
      <c r="BD28" s="12">
        <f>IF('Données projet'!$A$88&gt;35,BD27+BC28-BL27,IF(A28&lt;'Données projet'!$A$88,$BA$205^A28,IF(A28='Données projet'!$A$88,'Données projet'!$B$88,BD27+BC28-BL27)))</f>
        <v>149.85384615384612</v>
      </c>
      <c r="BE28" s="13">
        <f>BD28*VLOOKUP('Données projet'!$B$11,Paramètres!$A$1:$I$89,3,0)*VLOOKUP('Données projet'!$B$11,Paramètres!$A$1:$I$89,5,0)</f>
        <v>89.6126</v>
      </c>
      <c r="BF28" s="13">
        <f t="shared" si="37"/>
        <v>24.471769998555317</v>
      </c>
      <c r="BG28" s="20">
        <f t="shared" si="7"/>
        <v>198.69694441415049</v>
      </c>
      <c r="BH28" s="59">
        <f t="shared" si="8"/>
        <v>492.03027774748381</v>
      </c>
      <c r="BI28" s="59">
        <f ca="1">AVERAGE(OFFSET($BH$3,0,0,'Données projet'!$E$11+1,1))-AVERAGE(OFFSET($H$3,0,0,'Données projet'!$E$11+1,1))</f>
        <v>171.96009656745713</v>
      </c>
      <c r="BJ28" s="59">
        <f t="shared" si="38"/>
        <v>172.37574906747716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15.093081938051828</v>
      </c>
      <c r="BR28" s="21">
        <f>EXP(-LN(2)/2)*BR27+(1-EXP(-LN(2)/2))/(LN(2)/2)*BL28*BO28*VLOOKUP('Données projet'!$B$11,Paramètres!$A$1:$I$89,3,0)*0.475*44/12</f>
        <v>10.047889377620729</v>
      </c>
      <c r="BS28" s="22">
        <f t="shared" si="9"/>
        <v>25.140971315672559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3.6141025641025637</v>
      </c>
      <c r="N29" s="13">
        <f>IF('Données projet'!$A$36&gt;35,N28+M29-V28,IF(A29&lt;'Données projet'!$A$36,$K$205^A29,IF(A29='Données projet'!$A$36,'Données projet'!$B$36,N28+M29-V28)))</f>
        <v>58.045982181385838</v>
      </c>
      <c r="O29" s="13">
        <f>N29*VLOOKUP('Données projet'!$B$9,Paramètres!$A$1:$I$89,3,0)*VLOOKUP('Données projet'!$B$9,Paramètres!$A$1:$I$89,5,0)</f>
        <v>52.520004677717907</v>
      </c>
      <c r="P29" s="13">
        <f t="shared" si="33"/>
        <v>15.262687750384339</v>
      </c>
      <c r="Q29" s="20">
        <f t="shared" si="2"/>
        <v>118.05485597894473</v>
      </c>
      <c r="R29" s="59">
        <f t="shared" si="0"/>
        <v>411.38818931227803</v>
      </c>
      <c r="S29" s="59">
        <f ca="1">AVERAGE(OFFSET($R$3,0,0,'Données projet'!$E$9+1,1))-AVERAGE(OFFSET($H$3,0,0,'Données projet'!$E$9+1,1))</f>
        <v>309.07357540707869</v>
      </c>
      <c r="T29" s="59">
        <f t="shared" si="34"/>
        <v>155.9593924683299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10.670329670329668</v>
      </c>
      <c r="AI29" s="13">
        <f>IF('Données projet'!$A$62&gt;35,AI28+AH29-AQ28,IF(A29&lt;'Données projet'!$A$62,$AF$205^A29,IF(A29='Données projet'!$A$62,'Données projet'!$B$62,AI28+AH29-AQ28)))</f>
        <v>80.670329670329664</v>
      </c>
      <c r="AJ29" s="13">
        <f>AI29*VLOOKUP('Données projet'!$B$10,Paramètres!$A$1:$I$89,3,0)*VLOOKUP('Données projet'!$B$10,Paramètres!$A$1:$I$89,5,0)</f>
        <v>48.240857142857145</v>
      </c>
      <c r="AK29" s="13">
        <f t="shared" si="35"/>
        <v>14.158510681147941</v>
      </c>
      <c r="AL29" s="20">
        <f t="shared" si="4"/>
        <v>108.67889896014218</v>
      </c>
      <c r="AM29" s="59">
        <f t="shared" si="5"/>
        <v>402.01223229347551</v>
      </c>
      <c r="AN29" s="59">
        <f ca="1">AVERAGE(OFFSET($AM$3,0,0,'Données projet'!$E$10+1,1))-AVERAGE(OFFSET($H$3,0,0,'Données projet'!$E$10+1,1))</f>
        <v>122.69576746316494</v>
      </c>
      <c r="AO29" s="59">
        <f t="shared" si="36"/>
        <v>103.29025722669985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8.8963203406654898</v>
      </c>
      <c r="AW29" s="21">
        <f>EXP(-LN(2)/2)*AW28+(1-EXP(-LN(2)/2))/(LN(2)/2)*AQ29*AT29*VLOOKUP('Données projet'!$B$10,Paramètres!$A$1:$I$89,3,0)*0.475*44/12</f>
        <v>12.315289965290502</v>
      </c>
      <c r="AX29" s="21">
        <f t="shared" si="6"/>
        <v>21.211610305955993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15.073076923076925</v>
      </c>
      <c r="BD29" s="12">
        <f>IF('Données projet'!$A$88&gt;35,BD28+BC29-BL28,IF(A29&lt;'Données projet'!$A$88,$BA$205^A29,IF(A29='Données projet'!$A$88,'Données projet'!$B$88,BD28+BC29-BL28)))</f>
        <v>164.92692307692306</v>
      </c>
      <c r="BE29" s="13">
        <f>BD29*VLOOKUP('Données projet'!$B$11,Paramètres!$A$1:$I$89,3,0)*VLOOKUP('Données projet'!$B$11,Paramètres!$A$1:$I$89,5,0)</f>
        <v>98.626300000000001</v>
      </c>
      <c r="BF29" s="13">
        <f t="shared" si="37"/>
        <v>26.634469472597342</v>
      </c>
      <c r="BG29" s="20">
        <f t="shared" si="7"/>
        <v>218.16250683144037</v>
      </c>
      <c r="BH29" s="59">
        <f t="shared" si="8"/>
        <v>511.49584016477365</v>
      </c>
      <c r="BI29" s="59">
        <f ca="1">AVERAGE(OFFSET($BH$3,0,0,'Données projet'!$E$11+1,1))-AVERAGE(OFFSET($H$3,0,0,'Données projet'!$E$11+1,1))</f>
        <v>171.96009656745713</v>
      </c>
      <c r="BJ29" s="59">
        <f t="shared" si="38"/>
        <v>172.37574906747716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14.680360818745116</v>
      </c>
      <c r="BR29" s="21">
        <f>EXP(-LN(2)/2)*BR28+(1-EXP(-LN(2)/2))/(LN(2)/2)*BL29*BO29*VLOOKUP('Données projet'!$B$11,Paramètres!$A$1:$I$89,3,0)*0.475*44/12</f>
        <v>7.1049307155278969</v>
      </c>
      <c r="BS29" s="22">
        <f t="shared" si="9"/>
        <v>21.785291534273014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3.6141025641025637</v>
      </c>
      <c r="N30" s="13">
        <f>IF('Données projet'!$A$36&gt;35,N29+M30-V29,IF(A30&lt;'Données projet'!$A$36,$K$205^A30,IF(A30='Données projet'!$A$36,'Données projet'!$B$36,N29+M30-V29)))</f>
        <v>67.859328082601763</v>
      </c>
      <c r="O30" s="13">
        <f>N30*VLOOKUP('Données projet'!$B$9,Paramètres!$A$1:$I$89,3,0)*VLOOKUP('Données projet'!$B$9,Paramètres!$A$1:$I$89,5,0)</f>
        <v>61.39912004913807</v>
      </c>
      <c r="P30" s="13">
        <f t="shared" si="33"/>
        <v>17.521534494646211</v>
      </c>
      <c r="Q30" s="20">
        <f t="shared" si="2"/>
        <v>137.45347333042426</v>
      </c>
      <c r="R30" s="59">
        <f t="shared" si="0"/>
        <v>430.7868066637576</v>
      </c>
      <c r="S30" s="59">
        <f ca="1">AVERAGE(OFFSET($R$3,0,0,'Données projet'!$E$9+1,1))-AVERAGE(OFFSET($H$3,0,0,'Données projet'!$E$9+1,1))</f>
        <v>309.07357540707869</v>
      </c>
      <c r="T30" s="59">
        <f t="shared" si="34"/>
        <v>155.9593924683299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10.670329670329668</v>
      </c>
      <c r="AI30" s="13">
        <f>IF('Données projet'!$A$62&gt;35,AI29+AH30-AQ29,IF(A30&lt;'Données projet'!$A$62,$AF$205^A30,IF(A30='Données projet'!$A$62,'Données projet'!$B$62,AI29+AH30-AQ29)))</f>
        <v>91.340659340659329</v>
      </c>
      <c r="AJ30" s="13">
        <f>AI30*VLOOKUP('Données projet'!$B$10,Paramètres!$A$1:$I$89,3,0)*VLOOKUP('Données projet'!$B$10,Paramètres!$A$1:$I$89,5,0)</f>
        <v>54.621714285714283</v>
      </c>
      <c r="AK30" s="13">
        <f t="shared" si="35"/>
        <v>15.801127124582552</v>
      </c>
      <c r="AL30" s="20">
        <f t="shared" si="4"/>
        <v>122.653115456267</v>
      </c>
      <c r="AM30" s="59">
        <f t="shared" si="5"/>
        <v>415.98644878960033</v>
      </c>
      <c r="AN30" s="59">
        <f ca="1">AVERAGE(OFFSET($AM$3,0,0,'Données projet'!$E$10+1,1))-AVERAGE(OFFSET($H$3,0,0,'Données projet'!$E$10+1,1))</f>
        <v>122.69576746316494</v>
      </c>
      <c r="AO30" s="59">
        <f t="shared" si="36"/>
        <v>103.29025722669985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8.6530499931128375</v>
      </c>
      <c r="AW30" s="21">
        <f>EXP(-LN(2)/2)*AW29+(1-EXP(-LN(2)/2))/(LN(2)/2)*AQ30*AT30*VLOOKUP('Données projet'!$B$10,Paramètres!$A$1:$I$89,3,0)*0.475*44/12</f>
        <v>8.7082250467355564</v>
      </c>
      <c r="AX30" s="21">
        <f t="shared" si="6"/>
        <v>17.361275039848394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15.073076923076925</v>
      </c>
      <c r="BD30" s="12">
        <f>IF('Données projet'!$A$88&gt;35,BD29+BC30-BL29,IF(A30&lt;'Données projet'!$A$88,$BA$205^A30,IF(A30='Données projet'!$A$88,'Données projet'!$B$88,BD29+BC30-BL29)))</f>
        <v>180</v>
      </c>
      <c r="BE30" s="13">
        <f>BD30*VLOOKUP('Données projet'!$B$11,Paramètres!$A$1:$I$89,3,0)*VLOOKUP('Données projet'!$B$11,Paramètres!$A$1:$I$89,5,0)</f>
        <v>107.64</v>
      </c>
      <c r="BF30" s="13">
        <f t="shared" si="37"/>
        <v>28.774250263353583</v>
      </c>
      <c r="BG30" s="20">
        <f t="shared" si="7"/>
        <v>237.58815254200749</v>
      </c>
      <c r="BH30" s="59">
        <f t="shared" si="8"/>
        <v>530.92148587534075</v>
      </c>
      <c r="BI30" s="59">
        <f ca="1">AVERAGE(OFFSET($BH$3,0,0,'Données projet'!$E$11+1,1))-AVERAGE(OFFSET($H$3,0,0,'Données projet'!$E$11+1,1))</f>
        <v>171.96009656745713</v>
      </c>
      <c r="BJ30" s="59">
        <f t="shared" si="38"/>
        <v>172.37574906747716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14.278925580149908</v>
      </c>
      <c r="BR30" s="21">
        <f>EXP(-LN(2)/2)*BR29+(1-EXP(-LN(2)/2))/(LN(2)/2)*BL30*BO30*VLOOKUP('Données projet'!$B$11,Paramètres!$A$1:$I$89,3,0)*0.475*44/12</f>
        <v>5.0239446888103654</v>
      </c>
      <c r="BS30" s="22">
        <f t="shared" si="9"/>
        <v>19.302870268960273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3.6141025641025637</v>
      </c>
      <c r="N31" s="13">
        <f>IF('Données projet'!$A$36&gt;35,N30+M31-V30,IF(A31&lt;'Données projet'!$A$36,$K$205^A31,IF(A31='Données projet'!$A$36,'Données projet'!$B$36,N30+M31-V30)))</f>
        <v>79.331733821516394</v>
      </c>
      <c r="O31" s="13">
        <f>N31*VLOOKUP('Données projet'!$B$9,Paramètres!$A$1:$I$89,3,0)*VLOOKUP('Données projet'!$B$9,Paramètres!$A$1:$I$89,5,0)</f>
        <v>71.779352761708026</v>
      </c>
      <c r="P31" s="13">
        <f t="shared" si="33"/>
        <v>20.114685962788318</v>
      </c>
      <c r="Q31" s="20">
        <f t="shared" si="2"/>
        <v>160.04878411183111</v>
      </c>
      <c r="R31" s="59">
        <f t="shared" si="0"/>
        <v>453.38211744516445</v>
      </c>
      <c r="S31" s="59">
        <f ca="1">AVERAGE(OFFSET($R$3,0,0,'Données projet'!$E$9+1,1))-AVERAGE(OFFSET($H$3,0,0,'Données projet'!$E$9+1,1))</f>
        <v>309.07357540707869</v>
      </c>
      <c r="T31" s="59">
        <f t="shared" si="34"/>
        <v>155.9593924683299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10.670329670329668</v>
      </c>
      <c r="AI31" s="13">
        <f>IF('Données projet'!$A$62&gt;35,AI30+AH31-AQ30,IF(A31&lt;'Données projet'!$A$62,$AF$205^A31,IF(A31='Données projet'!$A$62,'Données projet'!$B$62,AI30+AH31-AQ30)))</f>
        <v>102.01098901098899</v>
      </c>
      <c r="AJ31" s="13">
        <f>AI31*VLOOKUP('Données projet'!$B$10,Paramètres!$A$1:$I$89,3,0)*VLOOKUP('Données projet'!$B$10,Paramètres!$A$1:$I$89,5,0)</f>
        <v>61.002571428571422</v>
      </c>
      <c r="AK31" s="13">
        <f t="shared" si="35"/>
        <v>17.421505535411463</v>
      </c>
      <c r="AL31" s="20">
        <f t="shared" si="4"/>
        <v>136.58860071227019</v>
      </c>
      <c r="AM31" s="59">
        <f t="shared" si="5"/>
        <v>429.92193404560351</v>
      </c>
      <c r="AN31" s="59">
        <f ca="1">AVERAGE(OFFSET($AM$3,0,0,'Données projet'!$E$10+1,1))-AVERAGE(OFFSET($H$3,0,0,'Données projet'!$E$10+1,1))</f>
        <v>122.69576746316494</v>
      </c>
      <c r="AO31" s="59">
        <f t="shared" si="36"/>
        <v>103.29025722669985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8.4164318860070448</v>
      </c>
      <c r="AW31" s="21">
        <f>EXP(-LN(2)/2)*AW30+(1-EXP(-LN(2)/2))/(LN(2)/2)*AQ31*AT31*VLOOKUP('Données projet'!$B$10,Paramètres!$A$1:$I$89,3,0)*0.475*44/12</f>
        <v>6.1576449826452517</v>
      </c>
      <c r="AX31" s="21">
        <f t="shared" si="6"/>
        <v>14.574076868652297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15.073076923076925</v>
      </c>
      <c r="BD31" s="12">
        <f>IF('Données projet'!$A$88&gt;35,BD30+BC31-BL30,IF(A31&lt;'Données projet'!$A$88,$BA$205^A31,IF(A31='Données projet'!$A$88,'Données projet'!$B$88,BD30+BC31-BL30)))</f>
        <v>195.07307692307694</v>
      </c>
      <c r="BE31" s="13">
        <f>BD31*VLOOKUP('Données projet'!$B$11,Paramètres!$A$1:$I$89,3,0)*VLOOKUP('Données projet'!$B$11,Paramètres!$A$1:$I$89,5,0)</f>
        <v>116.65370000000001</v>
      </c>
      <c r="BF31" s="13">
        <f t="shared" si="37"/>
        <v>30.893249762406356</v>
      </c>
      <c r="BG31" s="20">
        <f t="shared" si="7"/>
        <v>256.9776041695244</v>
      </c>
      <c r="BH31" s="59">
        <f t="shared" si="8"/>
        <v>550.31093750285777</v>
      </c>
      <c r="BI31" s="59">
        <f ca="1">AVERAGE(OFFSET($BH$3,0,0,'Données projet'!$E$11+1,1))-AVERAGE(OFFSET($H$3,0,0,'Données projet'!$E$11+1,1))</f>
        <v>171.96009656745713</v>
      </c>
      <c r="BJ31" s="59">
        <f t="shared" si="38"/>
        <v>172.37574906747716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13.888467609264648</v>
      </c>
      <c r="BR31" s="21">
        <f>EXP(-LN(2)/2)*BR30+(1-EXP(-LN(2)/2))/(LN(2)/2)*BL31*BO31*VLOOKUP('Données projet'!$B$11,Paramètres!$A$1:$I$89,3,0)*0.475*44/12</f>
        <v>3.5524653577639489</v>
      </c>
      <c r="BS31" s="22">
        <f t="shared" si="9"/>
        <v>17.440932967028598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3.6141025641025637</v>
      </c>
      <c r="N32" s="13">
        <f>IF('Données projet'!$A$36&gt;35,N31+M32-V31,IF(A32&lt;'Données projet'!$A$36,$K$205^A32,IF(A32='Données projet'!$A$36,'Données projet'!$B$36,N31+M32-V31)))</f>
        <v>92.74368268820956</v>
      </c>
      <c r="O32" s="13">
        <f>N32*VLOOKUP('Données projet'!$B$9,Paramètres!$A$1:$I$89,3,0)*VLOOKUP('Données projet'!$B$9,Paramètres!$A$1:$I$89,5,0)</f>
        <v>83.914484096292014</v>
      </c>
      <c r="P32" s="13">
        <f t="shared" si="33"/>
        <v>23.091618574002229</v>
      </c>
      <c r="Q32" s="20">
        <f t="shared" si="2"/>
        <v>186.36896215076243</v>
      </c>
      <c r="R32" s="59">
        <f t="shared" si="0"/>
        <v>479.70229548409577</v>
      </c>
      <c r="S32" s="59">
        <f ca="1">AVERAGE(OFFSET($R$3,0,0,'Données projet'!$E$9+1,1))-AVERAGE(OFFSET($H$3,0,0,'Données projet'!$E$9+1,1))</f>
        <v>309.07357540707869</v>
      </c>
      <c r="T32" s="59">
        <f t="shared" si="34"/>
        <v>155.9593924683299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10.670329670329668</v>
      </c>
      <c r="AI32" s="13">
        <f>IF('Données projet'!$A$62&gt;35,AI31+AH32-AQ31,IF(A32&lt;'Données projet'!$A$62,$AF$205^A32,IF(A32='Données projet'!$A$62,'Données projet'!$B$62,AI31+AH32-AQ31)))</f>
        <v>112.68131868131866</v>
      </c>
      <c r="AJ32" s="13">
        <f>AI32*VLOOKUP('Données projet'!$B$10,Paramètres!$A$1:$I$89,3,0)*VLOOKUP('Données projet'!$B$10,Paramètres!$A$1:$I$89,5,0)</f>
        <v>67.383428571428567</v>
      </c>
      <c r="AK32" s="13">
        <f t="shared" si="35"/>
        <v>19.022236997992007</v>
      </c>
      <c r="AL32" s="20">
        <f t="shared" si="4"/>
        <v>150.48986753340748</v>
      </c>
      <c r="AM32" s="59">
        <f t="shared" si="5"/>
        <v>443.82320086674076</v>
      </c>
      <c r="AN32" s="59">
        <f ca="1">AVERAGE(OFFSET($AM$3,0,0,'Données projet'!$E$10+1,1))-AVERAGE(OFFSET($H$3,0,0,'Données projet'!$E$10+1,1))</f>
        <v>122.69576746316494</v>
      </c>
      <c r="AO32" s="59">
        <f t="shared" si="36"/>
        <v>103.29025722669985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8.186284113483266</v>
      </c>
      <c r="AW32" s="21">
        <f>EXP(-LN(2)/2)*AW31+(1-EXP(-LN(2)/2))/(LN(2)/2)*AQ32*AT32*VLOOKUP('Données projet'!$B$10,Paramètres!$A$1:$I$89,3,0)*0.475*44/12</f>
        <v>4.3541125233677782</v>
      </c>
      <c r="AX32" s="21">
        <f t="shared" si="6"/>
        <v>12.540396636851044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>
        <f>VLOOKUP(A32,'Données projet'!$A$87:$I$107,2,0)</f>
        <v>210.14615384615385</v>
      </c>
      <c r="BB32" s="12">
        <f>VLOOKUP(A32,'Données projet'!$A$87:$I$107,9,0)</f>
        <v>15.073076923076925</v>
      </c>
      <c r="BC32" s="12">
        <f t="array" ref="BC32">INDEX(BB:BB,MIN(IF(ISNUMBER(BB32:BB228),ROW(BB32:BB228),"")))</f>
        <v>15.073076923076925</v>
      </c>
      <c r="BD32" s="12">
        <f>IF('Données projet'!$A$88&gt;35,BD31+BC32-BL31,IF(A32&lt;'Données projet'!$A$88,$BA$205^A32,IF(A32='Données projet'!$A$88,'Données projet'!$B$88,BD31+BC32-BL31)))</f>
        <v>210.14615384615388</v>
      </c>
      <c r="BE32" s="13">
        <f>BD32*VLOOKUP('Données projet'!$B$11,Paramètres!$A$1:$I$89,3,0)*VLOOKUP('Données projet'!$B$11,Paramètres!$A$1:$I$89,5,0)</f>
        <v>125.66740000000003</v>
      </c>
      <c r="BF32" s="13">
        <f t="shared" si="37"/>
        <v>32.993256286656127</v>
      </c>
      <c r="BG32" s="20">
        <f t="shared" si="7"/>
        <v>276.33397636592611</v>
      </c>
      <c r="BH32" s="59">
        <f t="shared" si="8"/>
        <v>569.66730969925948</v>
      </c>
      <c r="BI32" s="59">
        <f ca="1">AVERAGE(OFFSET($BH$3,0,0,'Données projet'!$E$11+1,1))-AVERAGE(OFFSET($H$3,0,0,'Données projet'!$E$11+1,1))</f>
        <v>171.96009656745713</v>
      </c>
      <c r="BJ32" s="59">
        <f t="shared" si="38"/>
        <v>172.37574906747716</v>
      </c>
      <c r="BK32" s="15">
        <f>IF(ISNA(VLOOKUP(A32,'Données projet'!$A$87:$I$107,3,0)),0,VLOOKUP(A32,'Données projet'!$A$87:$I$107,3,0))</f>
        <v>3</v>
      </c>
      <c r="BL32" s="15">
        <f>IF(ISNA(VLOOKUP(A32,'Données projet'!$A$87:$I$107,4,0)),0,VLOOKUP(A32,'Données projet'!$A$87:$I$107,4,0))</f>
        <v>47.661538461538463</v>
      </c>
      <c r="BM32" s="16">
        <f>IF(ISNA(VLOOKUP(A32,'Données projet'!$A$87:$I$107,5,0)),0%,VLOOKUP(A32,'Données projet'!$A$87:$I$107,5,0)*VLOOKUP('Données projet'!$B$11,Paramètres!$A$1:$I$89,7,0))</f>
        <v>4.5000000000000005E-2</v>
      </c>
      <c r="BN32" s="16">
        <f>IF(ISNA(VLOOKUP(A32,'Données projet'!$A$87:$I$107,6,0)),0%,VLOOKUP(A32,'Données projet'!$A$87:$I$107,6,0)*VLOOKUP('Données projet'!$B$11,Paramètres!$A$1:$I$89,7,0))</f>
        <v>0.20250000000000001</v>
      </c>
      <c r="BO32" s="16">
        <f>IF(ISNA(VLOOKUP(A32,'Données projet'!$A$87:$I$107,7,0)),0%,VLOOKUP(A32,'Données projet'!$A$87:$I$107,7,0))</f>
        <v>0.45</v>
      </c>
      <c r="BP32" s="21">
        <f>EXP(-LN(2)/35)*BP31+(1-EXP(-LN(2)/35))/(LN(2)/35)*BL32*BM32*VLOOKUP('Données projet'!$B$11,Paramètres!$A$1:$I$89,3,0)*0.475*44/12</f>
        <v>1.7014144267420017</v>
      </c>
      <c r="BQ32" s="21">
        <f>EXP(-LN(2)/25)*BQ31+(1-EXP(-LN(2)/25))/(LN(2)/25)*Calculateur!BL32*Calculateur!BN32*VLOOKUP('Données projet'!$B$11,Paramètres!$A$1:$I$89,3,0)*0.475*44/12</f>
        <v>21.134905626470424</v>
      </c>
      <c r="BR32" s="21">
        <f>EXP(-LN(2)/2)*BR31+(1-EXP(-LN(2)/2))/(LN(2)/2)*BL32*BO32*VLOOKUP('Données projet'!$B$11,Paramètres!$A$1:$I$89,3,0)*0.475*44/12</f>
        <v>17.033666767436326</v>
      </c>
      <c r="BS32" s="22">
        <f t="shared" si="9"/>
        <v>39.869986820648748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108.42307692307691</v>
      </c>
      <c r="L33" s="12">
        <f>VLOOKUP(A33,'Données projet'!$A$35:$I$55,9,0)</f>
        <v>3.6141025641025637</v>
      </c>
      <c r="M33" s="12">
        <f t="array" ref="M33">INDEX(L:L,MIN(IF(ISNUMBER(L33:L229),ROW(L33:L229),"")))</f>
        <v>3.6141025641025637</v>
      </c>
      <c r="N33" s="13">
        <f>IF('Données projet'!$A$36&gt;35,N32+M33-V32,IF(A33&lt;'Données projet'!$A$36,$K$205^A33,IF(A33='Données projet'!$A$36,'Données projet'!$B$36,N32+M33-V32)))</f>
        <v>108.42307692307691</v>
      </c>
      <c r="O33" s="13">
        <f>N33*VLOOKUP('Données projet'!$B$9,Paramètres!$A$1:$I$89,3,0)*VLOOKUP('Données projet'!$B$9,Paramètres!$A$1:$I$89,5,0)</f>
        <v>98.101199999999977</v>
      </c>
      <c r="P33" s="13">
        <f t="shared" si="33"/>
        <v>26.509131156889861</v>
      </c>
      <c r="Q33" s="20">
        <f t="shared" si="2"/>
        <v>217.02966009824979</v>
      </c>
      <c r="R33" s="59">
        <f t="shared" si="0"/>
        <v>510.36299343158311</v>
      </c>
      <c r="S33" s="59">
        <f ca="1">AVERAGE(OFFSET($R$3,0,0,'Données projet'!$E$9+1,1))-AVERAGE(OFFSET($H$3,0,0,'Données projet'!$E$9+1,1))</f>
        <v>309.07357540707869</v>
      </c>
      <c r="T33" s="59">
        <f t="shared" si="34"/>
        <v>155.9593924683299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10.670329670329668</v>
      </c>
      <c r="AI33" s="13">
        <f>IF('Données projet'!$A$62&gt;35,AI32+AH33-AQ32,IF(A33&lt;'Données projet'!$A$62,$AF$205^A33,IF(A33='Données projet'!$A$62,'Données projet'!$B$62,AI32+AH33-AQ32)))</f>
        <v>123.35164835164832</v>
      </c>
      <c r="AJ33" s="13">
        <f>AI33*VLOOKUP('Données projet'!$B$10,Paramètres!$A$1:$I$89,3,0)*VLOOKUP('Données projet'!$B$10,Paramètres!$A$1:$I$89,5,0)</f>
        <v>73.764285714285705</v>
      </c>
      <c r="AK33" s="13">
        <f t="shared" si="35"/>
        <v>20.605393629228015</v>
      </c>
      <c r="AL33" s="20">
        <f t="shared" si="4"/>
        <v>164.36052485661972</v>
      </c>
      <c r="AM33" s="59">
        <f t="shared" si="5"/>
        <v>457.69385818995306</v>
      </c>
      <c r="AN33" s="59">
        <f ca="1">AVERAGE(OFFSET($AM$3,0,0,'Données projet'!$E$10+1,1))-AVERAGE(OFFSET($H$3,0,0,'Données projet'!$E$10+1,1))</f>
        <v>122.69576746316494</v>
      </c>
      <c r="AO33" s="59">
        <f t="shared" si="36"/>
        <v>103.29025722669985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7.9624297439020948</v>
      </c>
      <c r="AW33" s="21">
        <f>EXP(-LN(2)/2)*AW32+(1-EXP(-LN(2)/2))/(LN(2)/2)*AQ33*AT33*VLOOKUP('Données projet'!$B$10,Paramètres!$A$1:$I$89,3,0)*0.475*44/12</f>
        <v>3.0788224913226259</v>
      </c>
      <c r="AX33" s="21">
        <f t="shared" si="6"/>
        <v>11.041252235224722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14.298901098901101</v>
      </c>
      <c r="BD33" s="12">
        <f>IF('Données projet'!$A$88&gt;35,BD32+BC33-BL32,IF(A33&lt;'Données projet'!$A$88,$BA$205^A33,IF(A33='Données projet'!$A$88,'Données projet'!$B$88,BD32+BC33-BL32)))</f>
        <v>176.78351648351651</v>
      </c>
      <c r="BE33" s="13">
        <f>BD33*VLOOKUP('Données projet'!$B$11,Paramètres!$A$1:$I$89,3,0)*VLOOKUP('Données projet'!$B$11,Paramètres!$A$1:$I$89,5,0)</f>
        <v>105.71654285714287</v>
      </c>
      <c r="BF33" s="13">
        <f t="shared" si="37"/>
        <v>28.319447591123378</v>
      </c>
      <c r="BG33" s="20">
        <f t="shared" si="7"/>
        <v>233.44601669739703</v>
      </c>
      <c r="BH33" s="59">
        <f t="shared" si="8"/>
        <v>526.77935003073037</v>
      </c>
      <c r="BI33" s="59">
        <f ca="1">AVERAGE(OFFSET($BH$3,0,0,'Données projet'!$E$11+1,1))-AVERAGE(OFFSET($H$3,0,0,'Données projet'!$E$11+1,1))</f>
        <v>171.96009656745713</v>
      </c>
      <c r="BJ33" s="59">
        <f t="shared" si="38"/>
        <v>172.37574906747716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1.6680507275939211</v>
      </c>
      <c r="BQ33" s="21">
        <f>EXP(-LN(2)/25)*BQ32+(1-EXP(-LN(2)/25))/(LN(2)/25)*Calculateur!BL33*Calculateur!BN33*VLOOKUP('Données projet'!$B$11,Paramètres!$A$1:$I$89,3,0)*0.475*44/12</f>
        <v>20.556970520678206</v>
      </c>
      <c r="BR33" s="21">
        <f>EXP(-LN(2)/2)*BR32+(1-EXP(-LN(2)/2))/(LN(2)/2)*BL33*BO33*VLOOKUP('Données projet'!$B$11,Paramètres!$A$1:$I$89,3,0)*0.475*44/12</f>
        <v>12.044621279726165</v>
      </c>
      <c r="BS33" s="22">
        <f t="shared" si="9"/>
        <v>34.269642527998293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8.3413461538461533</v>
      </c>
      <c r="N34" s="13">
        <f>IF('Données projet'!$A$36&gt;35,N33+M34-V33,IF(A34&lt;'Données projet'!$A$36,$K$205^A34,IF(A34='Données projet'!$A$36,'Données projet'!$B$36,N33+M34-V33)))</f>
        <v>116.76442307692307</v>
      </c>
      <c r="O34" s="13">
        <f>N34*VLOOKUP('Données projet'!$B$9,Paramètres!$A$1:$I$89,3,0)*VLOOKUP('Données projet'!$B$9,Paramètres!$A$1:$I$89,5,0)</f>
        <v>105.64845</v>
      </c>
      <c r="P34" s="13">
        <f t="shared" si="33"/>
        <v>28.30332943441833</v>
      </c>
      <c r="Q34" s="20">
        <f t="shared" si="2"/>
        <v>233.29934918161189</v>
      </c>
      <c r="R34" s="59">
        <f t="shared" si="0"/>
        <v>526.63268251494515</v>
      </c>
      <c r="S34" s="59">
        <f ca="1">AVERAGE(OFFSET($R$3,0,0,'Données projet'!$E$9+1,1))-AVERAGE(OFFSET($H$3,0,0,'Données projet'!$E$9+1,1))</f>
        <v>309.07357540707869</v>
      </c>
      <c r="T34" s="59">
        <f t="shared" si="34"/>
        <v>155.9593924683299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10.670329670329668</v>
      </c>
      <c r="AI34" s="13">
        <f>IF('Données projet'!$A$62&gt;35,AI33+AH34-AQ33,IF(A34&lt;'Données projet'!$A$62,$AF$205^A34,IF(A34='Données projet'!$A$62,'Données projet'!$B$62,AI33+AH34-AQ33)))</f>
        <v>134.02197802197799</v>
      </c>
      <c r="AJ34" s="13">
        <f>AI34*VLOOKUP('Données projet'!$B$10,Paramètres!$A$1:$I$89,3,0)*VLOOKUP('Données projet'!$B$10,Paramètres!$A$1:$I$89,5,0)</f>
        <v>80.145142857142844</v>
      </c>
      <c r="AK34" s="13">
        <f t="shared" si="35"/>
        <v>22.172668567066701</v>
      </c>
      <c r="AL34" s="20">
        <f t="shared" si="4"/>
        <v>178.2035215638316</v>
      </c>
      <c r="AM34" s="59">
        <f t="shared" si="5"/>
        <v>471.53685489716491</v>
      </c>
      <c r="AN34" s="59">
        <f ca="1">AVERAGE(OFFSET($AM$3,0,0,'Données projet'!$E$10+1,1))-AVERAGE(OFFSET($H$3,0,0,'Données projet'!$E$10+1,1))</f>
        <v>122.69576746316494</v>
      </c>
      <c r="AO34" s="59">
        <f t="shared" si="36"/>
        <v>103.29025722669985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7.74469668382911</v>
      </c>
      <c r="AW34" s="21">
        <f>EXP(-LN(2)/2)*AW33+(1-EXP(-LN(2)/2))/(LN(2)/2)*AQ34*AT34*VLOOKUP('Données projet'!$B$10,Paramètres!$A$1:$I$89,3,0)*0.475*44/12</f>
        <v>2.1770562616838891</v>
      </c>
      <c r="AX34" s="21">
        <f t="shared" si="6"/>
        <v>9.9217529455129991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14.298901098901101</v>
      </c>
      <c r="BD34" s="12">
        <f>IF('Données projet'!$A$88&gt;35,BD33+BC34-BL33,IF(A34&lt;'Données projet'!$A$88,$BA$205^A34,IF(A34='Données projet'!$A$88,'Données projet'!$B$88,BD33+BC34-BL33)))</f>
        <v>191.08241758241761</v>
      </c>
      <c r="BE34" s="13">
        <f>BD34*VLOOKUP('Données projet'!$B$11,Paramètres!$A$1:$I$89,3,0)*VLOOKUP('Données projet'!$B$11,Paramètres!$A$1:$I$89,5,0)</f>
        <v>114.26728571428573</v>
      </c>
      <c r="BF34" s="13">
        <f t="shared" si="37"/>
        <v>30.334152496808123</v>
      </c>
      <c r="BG34" s="20">
        <f t="shared" si="7"/>
        <v>251.84750488432181</v>
      </c>
      <c r="BH34" s="59">
        <f t="shared" si="8"/>
        <v>545.18083821765515</v>
      </c>
      <c r="BI34" s="59">
        <f ca="1">AVERAGE(OFFSET($BH$3,0,0,'Données projet'!$E$11+1,1))-AVERAGE(OFFSET($H$3,0,0,'Données projet'!$E$11+1,1))</f>
        <v>171.96009656745713</v>
      </c>
      <c r="BJ34" s="59">
        <f t="shared" si="38"/>
        <v>172.37574906747716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1.6353412702362873</v>
      </c>
      <c r="BQ34" s="21">
        <f>EXP(-LN(2)/25)*BQ33+(1-EXP(-LN(2)/25))/(LN(2)/25)*Calculateur!BL34*Calculateur!BN34*VLOOKUP('Données projet'!$B$11,Paramètres!$A$1:$I$89,3,0)*0.475*44/12</f>
        <v>19.994839080746164</v>
      </c>
      <c r="BR34" s="21">
        <f>EXP(-LN(2)/2)*BR33+(1-EXP(-LN(2)/2))/(LN(2)/2)*BL34*BO34*VLOOKUP('Données projet'!$B$11,Paramètres!$A$1:$I$89,3,0)*0.475*44/12</f>
        <v>8.5168333837181649</v>
      </c>
      <c r="BS34" s="22">
        <f t="shared" si="9"/>
        <v>30.147013734700618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8.3413461538461533</v>
      </c>
      <c r="N35" s="13">
        <f>IF('Données projet'!$A$36&gt;35,N34+M35-V34,IF(A35&lt;'Données projet'!$A$36,$K$205^A35,IF(A35='Données projet'!$A$36,'Données projet'!$B$36,N34+M35-V34)))</f>
        <v>125.10576923076923</v>
      </c>
      <c r="O35" s="13">
        <f>N35*VLOOKUP('Données projet'!$B$9,Paramètres!$A$1:$I$89,3,0)*VLOOKUP('Données projet'!$B$9,Paramètres!$A$1:$I$89,5,0)</f>
        <v>113.19569999999999</v>
      </c>
      <c r="P35" s="13">
        <f t="shared" si="33"/>
        <v>30.08265690456005</v>
      </c>
      <c r="Q35" s="20">
        <f t="shared" ref="Q35:Q66" si="53">(O35+P35)*0.475*44/12</f>
        <v>249.54313827544206</v>
      </c>
      <c r="R35" s="59">
        <f t="shared" si="0"/>
        <v>542.87647160877532</v>
      </c>
      <c r="S35" s="59">
        <f ca="1">AVERAGE(OFFSET($R$3,0,0,'Données projet'!$E$9+1,1))-AVERAGE(OFFSET($H$3,0,0,'Données projet'!$E$9+1,1))</f>
        <v>309.07357540707869</v>
      </c>
      <c r="T35" s="59">
        <f t="shared" si="34"/>
        <v>155.9593924683299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144.69230769230768</v>
      </c>
      <c r="AG35" s="12">
        <f>VLOOKUP(A35,'Données projet'!$A$61:$I$81,9,0)</f>
        <v>10.670329670329668</v>
      </c>
      <c r="AH35" s="12">
        <f t="array" ref="AH35">INDEX(AG:AG,MIN(IF(ISNUMBER(AG35:AG231),ROW(AG35:AG231),"")))</f>
        <v>10.670329670329668</v>
      </c>
      <c r="AI35" s="13">
        <f>IF('Données projet'!$A$62&gt;35,AI34+AH35-AQ34,IF(A35&lt;'Données projet'!$A$62,$AF$205^A35,IF(A35='Données projet'!$A$62,'Données projet'!$B$62,AI34+AH35-AQ34)))</f>
        <v>144.69230769230765</v>
      </c>
      <c r="AJ35" s="13">
        <f>AI35*VLOOKUP('Données projet'!$B$10,Paramètres!$A$1:$I$89,3,0)*VLOOKUP('Données projet'!$B$10,Paramètres!$A$1:$I$89,5,0)</f>
        <v>86.525999999999996</v>
      </c>
      <c r="AK35" s="13">
        <f t="shared" si="35"/>
        <v>23.725470008852188</v>
      </c>
      <c r="AL35" s="20">
        <f t="shared" si="4"/>
        <v>192.02131026541755</v>
      </c>
      <c r="AM35" s="59">
        <f t="shared" si="5"/>
        <v>485.35464359875084</v>
      </c>
      <c r="AN35" s="59">
        <f ca="1">AVERAGE(OFFSET($AM$3,0,0,'Données projet'!$E$10+1,1))-AVERAGE(OFFSET($H$3,0,0,'Données projet'!$E$10+1,1))</f>
        <v>122.69576746316494</v>
      </c>
      <c r="AO35" s="59">
        <f t="shared" si="36"/>
        <v>103.29025722669985</v>
      </c>
      <c r="AP35" s="15">
        <f>IF(ISNA(VLOOKUP(A35,'Données projet'!$A$61:$I$81,3,0)),0,VLOOKUP(A35,'Données projet'!$A$61:$I$81,3,0))</f>
        <v>2</v>
      </c>
      <c r="AQ35" s="15">
        <f>IF(ISNA(VLOOKUP(A35,'Données projet'!$A$61:$I$81,4,0)),0,VLOOKUP(A35,'Données projet'!$A$61:$I$81,4,0))</f>
        <v>41.469230769230762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0.22500000000000001</v>
      </c>
      <c r="AT35" s="16">
        <f>IF(ISNA(VLOOKUP(A35,'Données projet'!$A$61:$I$81,7,0)),0%,VLOOKUP(A35,'Données projet'!$A$61:$I$81,7,0))</f>
        <v>0.5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14.905585585940468</v>
      </c>
      <c r="AW35" s="21">
        <f>EXP(-LN(2)/2)*AW34+(1-EXP(-LN(2)/2))/(LN(2)/2)*AQ35*AT35*VLOOKUP('Données projet'!$B$10,Paramètres!$A$1:$I$89,3,0)*0.475*44/12</f>
        <v>15.578299172381222</v>
      </c>
      <c r="AX35" s="21">
        <f t="shared" si="6"/>
        <v>30.48388475832169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14.298901098901101</v>
      </c>
      <c r="BD35" s="12">
        <f>IF('Données projet'!$A$88&gt;35,BD34+BC35-BL34,IF(A35&lt;'Données projet'!$A$88,$BA$205^A35,IF(A35='Données projet'!$A$88,'Données projet'!$B$88,BD34+BC35-BL34)))</f>
        <v>205.3813186813187</v>
      </c>
      <c r="BE35" s="13">
        <f>BD35*VLOOKUP('Données projet'!$B$11,Paramètres!$A$1:$I$89,3,0)*VLOOKUP('Données projet'!$B$11,Paramètres!$A$1:$I$89,5,0)</f>
        <v>122.81802857142858</v>
      </c>
      <c r="BF35" s="13">
        <f t="shared" si="37"/>
        <v>32.331367630744694</v>
      </c>
      <c r="BG35" s="20">
        <f t="shared" si="7"/>
        <v>270.21853171878513</v>
      </c>
      <c r="BH35" s="59">
        <f t="shared" si="8"/>
        <v>563.5518650521185</v>
      </c>
      <c r="BI35" s="59">
        <f ca="1">AVERAGE(OFFSET($BH$3,0,0,'Données projet'!$E$11+1,1))-AVERAGE(OFFSET($H$3,0,0,'Données projet'!$E$11+1,1))</f>
        <v>171.96009656745713</v>
      </c>
      <c r="BJ35" s="59">
        <f t="shared" si="38"/>
        <v>172.37574906747716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1.6032732253866375</v>
      </c>
      <c r="BQ35" s="21">
        <f>EXP(-LN(2)/25)*BQ34+(1-EXP(-LN(2)/25))/(LN(2)/25)*Calculateur!BL35*Calculateur!BN35*VLOOKUP('Données projet'!$B$11,Paramètres!$A$1:$I$89,3,0)*0.475*44/12</f>
        <v>19.448079154600272</v>
      </c>
      <c r="BR35" s="21">
        <f>EXP(-LN(2)/2)*BR34+(1-EXP(-LN(2)/2))/(LN(2)/2)*BL35*BO35*VLOOKUP('Données projet'!$B$11,Paramètres!$A$1:$I$89,3,0)*0.475*44/12</f>
        <v>6.0223106398630843</v>
      </c>
      <c r="BS35" s="22">
        <f t="shared" si="9"/>
        <v>27.073663019849995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8.3413461538461533</v>
      </c>
      <c r="N36" s="13">
        <f>IF('Données projet'!$A$36&gt;35,N35+M36-V35,IF(A36&lt;'Données projet'!$A$36,$K$205^A36,IF(A36='Données projet'!$A$36,'Données projet'!$B$36,N35+M36-V35)))</f>
        <v>133.44711538461539</v>
      </c>
      <c r="O36" s="13">
        <f>N36*VLOOKUP('Données projet'!$B$9,Paramètres!$A$1:$I$89,3,0)*VLOOKUP('Données projet'!$B$9,Paramètres!$A$1:$I$89,5,0)</f>
        <v>120.74294999999999</v>
      </c>
      <c r="P36" s="13">
        <f t="shared" si="33"/>
        <v>31.84821788595394</v>
      </c>
      <c r="Q36" s="20">
        <f t="shared" si="53"/>
        <v>265.76295073470305</v>
      </c>
      <c r="R36" s="59">
        <f t="shared" si="0"/>
        <v>559.09628406803631</v>
      </c>
      <c r="S36" s="59">
        <f ca="1">AVERAGE(OFFSET($R$3,0,0,'Données projet'!$E$9+1,1))-AVERAGE(OFFSET($H$3,0,0,'Données projet'!$E$9+1,1))</f>
        <v>309.07357540707869</v>
      </c>
      <c r="T36" s="59">
        <f t="shared" si="34"/>
        <v>155.9593924683299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10.711538461538463</v>
      </c>
      <c r="AI36" s="13">
        <f>IF('Données projet'!$A$62&gt;35,AI35+AH36-AQ35,IF(A36&lt;'Données projet'!$A$62,$AF$205^A36,IF(A36='Données projet'!$A$62,'Données projet'!$B$62,AI35+AH36-AQ35)))</f>
        <v>113.93461538461534</v>
      </c>
      <c r="AJ36" s="13">
        <f>AI36*VLOOKUP('Données projet'!$B$10,Paramètres!$A$1:$I$89,3,0)*VLOOKUP('Données projet'!$B$10,Paramètres!$A$1:$I$89,5,0)</f>
        <v>68.132899999999978</v>
      </c>
      <c r="AK36" s="13">
        <f t="shared" si="35"/>
        <v>19.20906381173236</v>
      </c>
      <c r="AL36" s="20">
        <f t="shared" si="4"/>
        <v>152.12058697210048</v>
      </c>
      <c r="AM36" s="59">
        <f t="shared" si="5"/>
        <v>445.45392030543383</v>
      </c>
      <c r="AN36" s="59">
        <f ca="1">AVERAGE(OFFSET($AM$3,0,0,'Données projet'!$E$10+1,1))-AVERAGE(OFFSET($H$3,0,0,'Données projet'!$E$10+1,1))</f>
        <v>122.69576746316494</v>
      </c>
      <c r="AO36" s="59">
        <f t="shared" si="36"/>
        <v>103.29025722669985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14.497991564242247</v>
      </c>
      <c r="AW36" s="21">
        <f>EXP(-LN(2)/2)*AW35+(1-EXP(-LN(2)/2))/(LN(2)/2)*AQ36*AT36*VLOOKUP('Données projet'!$B$10,Paramètres!$A$1:$I$89,3,0)*0.475*44/12</f>
        <v>11.015520984143544</v>
      </c>
      <c r="AX36" s="21">
        <f t="shared" si="6"/>
        <v>25.513512548385791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14.298901098901101</v>
      </c>
      <c r="BD36" s="12">
        <f>IF('Données projet'!$A$88&gt;35,BD35+BC36-BL35,IF(A36&lt;'Données projet'!$A$88,$BA$205^A36,IF(A36='Données projet'!$A$88,'Données projet'!$B$88,BD35+BC36-BL35)))</f>
        <v>219.6802197802198</v>
      </c>
      <c r="BE36" s="13">
        <f>BD36*VLOOKUP('Données projet'!$B$11,Paramètres!$A$1:$I$89,3,0)*VLOOKUP('Données projet'!$B$11,Paramètres!$A$1:$I$89,5,0)</f>
        <v>131.36877142857145</v>
      </c>
      <c r="BF36" s="13">
        <f t="shared" si="37"/>
        <v>34.312449162076589</v>
      </c>
      <c r="BG36" s="20">
        <f t="shared" si="7"/>
        <v>288.56145919537863</v>
      </c>
      <c r="BH36" s="59">
        <f t="shared" si="8"/>
        <v>581.89479252871195</v>
      </c>
      <c r="BI36" s="59">
        <f ca="1">AVERAGE(OFFSET($BH$3,0,0,'Données projet'!$E$11+1,1))-AVERAGE(OFFSET($H$3,0,0,'Données projet'!$E$11+1,1))</f>
        <v>171.96009656745713</v>
      </c>
      <c r="BJ36" s="59">
        <f t="shared" si="38"/>
        <v>172.37574906747716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1.5718340153369135</v>
      </c>
      <c r="BQ36" s="21">
        <f>EXP(-LN(2)/25)*BQ35+(1-EXP(-LN(2)/25))/(LN(2)/25)*Calculateur!BL36*Calculateur!BN36*VLOOKUP('Données projet'!$B$11,Paramètres!$A$1:$I$89,3,0)*0.475*44/12</f>
        <v>18.916270407387692</v>
      </c>
      <c r="BR36" s="21">
        <f>EXP(-LN(2)/2)*BR35+(1-EXP(-LN(2)/2))/(LN(2)/2)*BL36*BO36*VLOOKUP('Données projet'!$B$11,Paramètres!$A$1:$I$89,3,0)*0.475*44/12</f>
        <v>4.2584166918590833</v>
      </c>
      <c r="BS36" s="22">
        <f t="shared" si="9"/>
        <v>24.74652111458369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141.78846153846152</v>
      </c>
      <c r="L37" s="12">
        <f>VLOOKUP(A37,'Données projet'!$A$35:$I$55,9,0)</f>
        <v>8.3413461538461533</v>
      </c>
      <c r="M37" s="12">
        <f t="array" ref="M37">INDEX(L:L,MIN(IF(ISNUMBER(L37:L233),ROW(L37:L233),"")))</f>
        <v>8.3413461538461533</v>
      </c>
      <c r="N37" s="13">
        <f>IF('Données projet'!$A$36&gt;35,N36+M37-V36,IF(A37&lt;'Données projet'!$A$36,$K$205^A37,IF(A37='Données projet'!$A$36,'Données projet'!$B$36,N36+M37-V36)))</f>
        <v>141.78846153846155</v>
      </c>
      <c r="O37" s="13">
        <f>N37*VLOOKUP('Données projet'!$B$9,Paramètres!$A$1:$I$89,3,0)*VLOOKUP('Données projet'!$B$9,Paramètres!$A$1:$I$89,5,0)</f>
        <v>128.2902</v>
      </c>
      <c r="P37" s="13">
        <f t="shared" si="33"/>
        <v>33.600970839600329</v>
      </c>
      <c r="Q37" s="20">
        <f t="shared" si="53"/>
        <v>281.96045587897055</v>
      </c>
      <c r="R37" s="59">
        <f t="shared" si="0"/>
        <v>575.29378921230386</v>
      </c>
      <c r="S37" s="59">
        <f ca="1">AVERAGE(OFFSET($R$3,0,0,'Données projet'!$E$9+1,1))-AVERAGE(OFFSET($H$3,0,0,'Données projet'!$E$9+1,1))</f>
        <v>309.07357540707869</v>
      </c>
      <c r="T37" s="59">
        <f t="shared" si="34"/>
        <v>155.9593924683299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31.615384615384613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10.711538461538463</v>
      </c>
      <c r="AI37" s="13">
        <f>IF('Données projet'!$A$62&gt;35,AI36+AH37-AQ36,IF(A37&lt;'Données projet'!$A$62,$AF$205^A37,IF(A37='Données projet'!$A$62,'Données projet'!$B$62,AI36+AH37-AQ36)))</f>
        <v>124.64615384615381</v>
      </c>
      <c r="AJ37" s="13">
        <f>AI37*VLOOKUP('Données projet'!$B$10,Paramètres!$A$1:$I$89,3,0)*VLOOKUP('Données projet'!$B$10,Paramètres!$A$1:$I$89,5,0)</f>
        <v>74.538399999999982</v>
      </c>
      <c r="AK37" s="13">
        <f t="shared" si="35"/>
        <v>20.796348726838161</v>
      </c>
      <c r="AL37" s="20">
        <f t="shared" si="4"/>
        <v>166.04135403257644</v>
      </c>
      <c r="AM37" s="59">
        <f t="shared" si="5"/>
        <v>459.37468736590972</v>
      </c>
      <c r="AN37" s="59">
        <f ca="1">AVERAGE(OFFSET($AM$3,0,0,'Données projet'!$E$10+1,1))-AVERAGE(OFFSET($H$3,0,0,'Données projet'!$E$10+1,1))</f>
        <v>122.69576746316494</v>
      </c>
      <c r="AO37" s="59">
        <f t="shared" si="36"/>
        <v>103.29025722669985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14.101543222501801</v>
      </c>
      <c r="AW37" s="21">
        <f>EXP(-LN(2)/2)*AW36+(1-EXP(-LN(2)/2))/(LN(2)/2)*AQ37*AT37*VLOOKUP('Données projet'!$B$10,Paramètres!$A$1:$I$89,3,0)*0.475*44/12</f>
        <v>7.7891495861906117</v>
      </c>
      <c r="AX37" s="21">
        <f t="shared" si="6"/>
        <v>21.890692808692414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14.298901098901101</v>
      </c>
      <c r="BD37" s="12">
        <f>IF('Données projet'!$A$88&gt;35,BD36+BC37-BL36,IF(A37&lt;'Données projet'!$A$88,$BA$205^A37,IF(A37='Données projet'!$A$88,'Données projet'!$B$88,BD36+BC37-BL36)))</f>
        <v>233.9791208791209</v>
      </c>
      <c r="BE37" s="13">
        <f>BD37*VLOOKUP('Données projet'!$B$11,Paramètres!$A$1:$I$89,3,0)*VLOOKUP('Données projet'!$B$11,Paramètres!$A$1:$I$89,5,0)</f>
        <v>139.91951428571431</v>
      </c>
      <c r="BF37" s="13">
        <f t="shared" si="37"/>
        <v>36.278566731027588</v>
      </c>
      <c r="BG37" s="20">
        <f t="shared" si="7"/>
        <v>306.87832443749215</v>
      </c>
      <c r="BH37" s="59">
        <f t="shared" si="8"/>
        <v>600.21165777082547</v>
      </c>
      <c r="BI37" s="59">
        <f ca="1">AVERAGE(OFFSET($BH$3,0,0,'Données projet'!$E$11+1,1))-AVERAGE(OFFSET($H$3,0,0,'Données projet'!$E$11+1,1))</f>
        <v>171.96009656745713</v>
      </c>
      <c r="BJ37" s="59">
        <f t="shared" si="38"/>
        <v>172.37574906747716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1.5410113090202398</v>
      </c>
      <c r="BQ37" s="21">
        <f>EXP(-LN(2)/25)*BQ36+(1-EXP(-LN(2)/25))/(LN(2)/25)*Calculateur!BL37*Calculateur!BN37*VLOOKUP('Données projet'!$B$11,Paramètres!$A$1:$I$89,3,0)*0.475*44/12</f>
        <v>18.399003998334248</v>
      </c>
      <c r="BR37" s="21">
        <f>EXP(-LN(2)/2)*BR36+(1-EXP(-LN(2)/2))/(LN(2)/2)*BL37*BO37*VLOOKUP('Données projet'!$B$11,Paramètres!$A$1:$I$89,3,0)*0.475*44/12</f>
        <v>3.0111553199315426</v>
      </c>
      <c r="BS37" s="22">
        <f t="shared" si="9"/>
        <v>22.951170627286029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9.8108974358974379</v>
      </c>
      <c r="N38" s="13">
        <f>IF('Données projet'!$A$36&gt;35,N37+M38-V37,IF(A38&lt;'Données projet'!$A$36,$K$205^A38,IF(A38='Données projet'!$A$36,'Données projet'!$B$36,N37+M38-V37)))</f>
        <v>119.98397435897436</v>
      </c>
      <c r="O38" s="13">
        <f>N38*VLOOKUP('Données projet'!$B$9,Paramètres!$A$1:$I$89,3,0)*VLOOKUP('Données projet'!$B$9,Paramètres!$A$1:$I$89,5,0)</f>
        <v>108.56150000000001</v>
      </c>
      <c r="P38" s="13">
        <f t="shared" si="33"/>
        <v>28.9918035361205</v>
      </c>
      <c r="Q38" s="20">
        <f t="shared" si="53"/>
        <v>239.57200365874317</v>
      </c>
      <c r="R38" s="59">
        <f t="shared" si="0"/>
        <v>532.90533699207651</v>
      </c>
      <c r="S38" s="59">
        <f ca="1">AVERAGE(OFFSET($R$3,0,0,'Données projet'!$E$9+1,1))-AVERAGE(OFFSET($H$3,0,0,'Données projet'!$E$9+1,1))</f>
        <v>309.07357540707869</v>
      </c>
      <c r="T38" s="59">
        <f t="shared" si="34"/>
        <v>155.9593924683299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10.711538461538463</v>
      </c>
      <c r="AI38" s="13">
        <f>IF('Données projet'!$A$62&gt;35,AI37+AH38-AQ37,IF(A38&lt;'Données projet'!$A$62,$AF$205^A38,IF(A38='Données projet'!$A$62,'Données projet'!$B$62,AI37+AH38-AQ37)))</f>
        <v>135.35769230769228</v>
      </c>
      <c r="AJ38" s="13">
        <f>AI38*VLOOKUP('Données projet'!$B$10,Paramètres!$A$1:$I$89,3,0)*VLOOKUP('Données projet'!$B$10,Paramètres!$A$1:$I$89,5,0)</f>
        <v>80.943899999999985</v>
      </c>
      <c r="AK38" s="13">
        <f t="shared" si="35"/>
        <v>22.367814797749343</v>
      </c>
      <c r="AL38" s="20">
        <f t="shared" si="4"/>
        <v>179.93456993941342</v>
      </c>
      <c r="AM38" s="59">
        <f t="shared" si="5"/>
        <v>473.26790327274671</v>
      </c>
      <c r="AN38" s="59">
        <f ca="1">AVERAGE(OFFSET($AM$3,0,0,'Données projet'!$E$10+1,1))-AVERAGE(OFFSET($H$3,0,0,'Données projet'!$E$10+1,1))</f>
        <v>122.69576746316494</v>
      </c>
      <c r="AO38" s="59">
        <f t="shared" si="36"/>
        <v>103.29025722669985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13.715935781514561</v>
      </c>
      <c r="AW38" s="21">
        <f>EXP(-LN(2)/2)*AW37+(1-EXP(-LN(2)/2))/(LN(2)/2)*AQ38*AT38*VLOOKUP('Données projet'!$B$10,Paramètres!$A$1:$I$89,3,0)*0.475*44/12</f>
        <v>5.5077604920717729</v>
      </c>
      <c r="AX38" s="21">
        <f t="shared" si="6"/>
        <v>19.223696273586334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14.298901098901101</v>
      </c>
      <c r="BD38" s="12">
        <f>IF('Données projet'!$A$88&gt;35,BD37+BC38-BL37,IF(A38&lt;'Données projet'!$A$88,$BA$205^A38,IF(A38='Données projet'!$A$88,'Données projet'!$B$88,BD37+BC38-BL37)))</f>
        <v>248.278021978022</v>
      </c>
      <c r="BE38" s="13">
        <f>BD38*VLOOKUP('Données projet'!$B$11,Paramètres!$A$1:$I$89,3,0)*VLOOKUP('Données projet'!$B$11,Paramètres!$A$1:$I$89,5,0)</f>
        <v>148.47025714285718</v>
      </c>
      <c r="BF38" s="13">
        <f t="shared" si="37"/>
        <v>38.230738941903269</v>
      </c>
      <c r="BG38" s="20">
        <f t="shared" si="7"/>
        <v>325.17090151429107</v>
      </c>
      <c r="BH38" s="59">
        <f t="shared" si="8"/>
        <v>618.50423484762439</v>
      </c>
      <c r="BI38" s="59">
        <f ca="1">AVERAGE(OFFSET($BH$3,0,0,'Données projet'!$E$11+1,1))-AVERAGE(OFFSET($H$3,0,0,'Données projet'!$E$11+1,1))</f>
        <v>171.96009656745713</v>
      </c>
      <c r="BJ38" s="59">
        <f t="shared" si="38"/>
        <v>172.37574906747716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1.5107930171744415</v>
      </c>
      <c r="BQ38" s="21">
        <f>EXP(-LN(2)/25)*BQ37+(1-EXP(-LN(2)/25))/(LN(2)/25)*Calculateur!BL38*Calculateur!BN38*VLOOKUP('Données projet'!$B$11,Paramètres!$A$1:$I$89,3,0)*0.475*44/12</f>
        <v>17.895882266438228</v>
      </c>
      <c r="BR38" s="21">
        <f>EXP(-LN(2)/2)*BR37+(1-EXP(-LN(2)/2))/(LN(2)/2)*BL38*BO38*VLOOKUP('Données projet'!$B$11,Paramètres!$A$1:$I$89,3,0)*0.475*44/12</f>
        <v>2.1292083459295421</v>
      </c>
      <c r="BS38" s="22">
        <f t="shared" si="9"/>
        <v>21.535883629542212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9.8108974358974379</v>
      </c>
      <c r="N39" s="13">
        <f>IF('Données projet'!$A$36&gt;35,N38+M39-V38,IF(A39&lt;'Données projet'!$A$36,$K$205^A39,IF(A39='Données projet'!$A$36,'Données projet'!$B$36,N38+M39-V38)))</f>
        <v>129.7948717948718</v>
      </c>
      <c r="O39" s="13">
        <f>N39*VLOOKUP('Données projet'!$B$9,Paramètres!$A$1:$I$89,3,0)*VLOOKUP('Données projet'!$B$9,Paramètres!$A$1:$I$89,5,0)</f>
        <v>117.4384</v>
      </c>
      <c r="P39" s="13">
        <f t="shared" si="33"/>
        <v>31.076799937563745</v>
      </c>
      <c r="Q39" s="20">
        <f t="shared" si="53"/>
        <v>258.66397322459017</v>
      </c>
      <c r="R39" s="59">
        <f t="shared" si="0"/>
        <v>551.99730655792348</v>
      </c>
      <c r="S39" s="59">
        <f ca="1">AVERAGE(OFFSET($R$3,0,0,'Données projet'!$E$9+1,1))-AVERAGE(OFFSET($H$3,0,0,'Données projet'!$E$9+1,1))</f>
        <v>309.07357540707869</v>
      </c>
      <c r="T39" s="59">
        <f t="shared" si="34"/>
        <v>155.9593924683299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10.711538461538463</v>
      </c>
      <c r="AI39" s="13">
        <f>IF('Données projet'!$A$62&gt;35,AI38+AH39-AQ38,IF(A39&lt;'Données projet'!$A$62,$AF$205^A39,IF(A39='Données projet'!$A$62,'Données projet'!$B$62,AI38+AH39-AQ38)))</f>
        <v>146.06923076923073</v>
      </c>
      <c r="AJ39" s="13">
        <f>AI39*VLOOKUP('Données projet'!$B$10,Paramètres!$A$1:$I$89,3,0)*VLOOKUP('Données projet'!$B$10,Paramètres!$A$1:$I$89,5,0)</f>
        <v>87.349399999999989</v>
      </c>
      <c r="AK39" s="13">
        <f t="shared" si="35"/>
        <v>23.924856172572376</v>
      </c>
      <c r="AL39" s="20">
        <f t="shared" si="4"/>
        <v>193.80266283389687</v>
      </c>
      <c r="AM39" s="59">
        <f t="shared" si="5"/>
        <v>487.13599616723019</v>
      </c>
      <c r="AN39" s="59">
        <f ca="1">AVERAGE(OFFSET($AM$3,0,0,'Données projet'!$E$10+1,1))-AVERAGE(OFFSET($H$3,0,0,'Données projet'!$E$10+1,1))</f>
        <v>122.69576746316494</v>
      </c>
      <c r="AO39" s="59">
        <f t="shared" si="36"/>
        <v>103.29025722669985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13.340872796279331</v>
      </c>
      <c r="AW39" s="21">
        <f>EXP(-LN(2)/2)*AW38+(1-EXP(-LN(2)/2))/(LN(2)/2)*AQ39*AT39*VLOOKUP('Données projet'!$B$10,Paramètres!$A$1:$I$89,3,0)*0.475*44/12</f>
        <v>3.8945747930953067</v>
      </c>
      <c r="AX39" s="21">
        <f t="shared" si="6"/>
        <v>17.235447589374637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262.57692307692309</v>
      </c>
      <c r="BB39" s="12">
        <f>VLOOKUP(A39,'Données projet'!$A$87:$I$107,9,0)</f>
        <v>14.298901098901101</v>
      </c>
      <c r="BC39" s="12">
        <f t="array" ref="BC39">INDEX(BB:BB,MIN(IF(ISNUMBER(BB39:BB235),ROW(BB39:BB235),"")))</f>
        <v>14.298901098901101</v>
      </c>
      <c r="BD39" s="12">
        <f>IF('Données projet'!$A$88&gt;35,BD38+BC39-BL38,IF(A39&lt;'Données projet'!$A$88,$BA$205^A39,IF(A39='Données projet'!$A$88,'Données projet'!$B$88,BD38+BC39-BL38)))</f>
        <v>262.57692307692309</v>
      </c>
      <c r="BE39" s="13">
        <f>BD39*VLOOKUP('Données projet'!$B$11,Paramètres!$A$1:$I$89,3,0)*VLOOKUP('Données projet'!$B$11,Paramètres!$A$1:$I$89,5,0)</f>
        <v>157.02100000000002</v>
      </c>
      <c r="BF39" s="13">
        <f t="shared" si="37"/>
        <v>40.169860444278903</v>
      </c>
      <c r="BG39" s="20">
        <f t="shared" si="7"/>
        <v>343.44074860711908</v>
      </c>
      <c r="BH39" s="59">
        <f t="shared" si="8"/>
        <v>636.77408194045233</v>
      </c>
      <c r="BI39" s="59">
        <f ca="1">AVERAGE(OFFSET($BH$3,0,0,'Données projet'!$E$11+1,1))-AVERAGE(OFFSET($H$3,0,0,'Données projet'!$E$11+1,1))</f>
        <v>171.96009656745713</v>
      </c>
      <c r="BJ39" s="59">
        <f t="shared" si="38"/>
        <v>172.37574906747716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64.553846153846152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1.4811672876004014</v>
      </c>
      <c r="BQ39" s="21">
        <f>EXP(-LN(2)/25)*BQ38+(1-EXP(-LN(2)/25))/(LN(2)/25)*Calculateur!BL39*Calculateur!BN39*VLOOKUP('Données projet'!$B$11,Paramètres!$A$1:$I$89,3,0)*0.475*44/12</f>
        <v>17.406518424758929</v>
      </c>
      <c r="BR39" s="21">
        <f>EXP(-LN(2)/2)*BR38+(1-EXP(-LN(2)/2))/(LN(2)/2)*BL39*BO39*VLOOKUP('Données projet'!$B$11,Paramètres!$A$1:$I$89,3,0)*0.475*44/12</f>
        <v>1.5055776599657715</v>
      </c>
      <c r="BS39" s="22">
        <f t="shared" si="9"/>
        <v>20.393263372325102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9.8108974358974379</v>
      </c>
      <c r="N40" s="13">
        <f>IF('Données projet'!$A$36&gt;35,N39+M40-V39,IF(A40&lt;'Données projet'!$A$36,$K$205^A40,IF(A40='Données projet'!$A$36,'Données projet'!$B$36,N39+M40-V39)))</f>
        <v>139.60576923076923</v>
      </c>
      <c r="O40" s="13">
        <f>N40*VLOOKUP('Données projet'!$B$9,Paramètres!$A$1:$I$89,3,0)*VLOOKUP('Données projet'!$B$9,Paramètres!$A$1:$I$89,5,0)</f>
        <v>126.31529999999998</v>
      </c>
      <c r="P40" s="13">
        <f t="shared" si="33"/>
        <v>33.143513784775976</v>
      </c>
      <c r="Q40" s="20">
        <f t="shared" si="53"/>
        <v>277.72410067515142</v>
      </c>
      <c r="R40" s="59">
        <f t="shared" si="0"/>
        <v>571.05743400848473</v>
      </c>
      <c r="S40" s="59">
        <f ca="1">AVERAGE(OFFSET($R$3,0,0,'Données projet'!$E$9+1,1))-AVERAGE(OFFSET($H$3,0,0,'Données projet'!$E$9+1,1))</f>
        <v>309.07357540707869</v>
      </c>
      <c r="T40" s="59">
        <f t="shared" si="34"/>
        <v>155.9593924683299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10.711538461538463</v>
      </c>
      <c r="AI40" s="13">
        <f>IF('Données projet'!$A$62&gt;35,AI39+AH40-AQ39,IF(A40&lt;'Données projet'!$A$62,$AF$205^A40,IF(A40='Données projet'!$A$62,'Données projet'!$B$62,AI39+AH40-AQ39)))</f>
        <v>156.78076923076918</v>
      </c>
      <c r="AJ40" s="13">
        <f>AI40*VLOOKUP('Données projet'!$B$10,Paramètres!$A$1:$I$89,3,0)*VLOOKUP('Données projet'!$B$10,Paramètres!$A$1:$I$89,5,0)</f>
        <v>93.754899999999978</v>
      </c>
      <c r="AK40" s="13">
        <f t="shared" si="35"/>
        <v>25.468650932882476</v>
      </c>
      <c r="AL40" s="20">
        <f t="shared" si="4"/>
        <v>207.64768454143697</v>
      </c>
      <c r="AM40" s="59">
        <f t="shared" si="5"/>
        <v>500.98101787477026</v>
      </c>
      <c r="AN40" s="59">
        <f ca="1">AVERAGE(OFFSET($AM$3,0,0,'Données projet'!$E$10+1,1))-AVERAGE(OFFSET($H$3,0,0,'Données projet'!$E$10+1,1))</f>
        <v>122.69576746316494</v>
      </c>
      <c r="AO40" s="59">
        <f t="shared" si="36"/>
        <v>103.29025722669985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12.976065928099064</v>
      </c>
      <c r="AW40" s="21">
        <f>EXP(-LN(2)/2)*AW39+(1-EXP(-LN(2)/2))/(LN(2)/2)*AQ40*AT40*VLOOKUP('Données projet'!$B$10,Paramètres!$A$1:$I$89,3,0)*0.475*44/12</f>
        <v>2.7538802460358869</v>
      </c>
      <c r="AX40" s="21">
        <f t="shared" si="6"/>
        <v>15.729946174134952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13.141346153846158</v>
      </c>
      <c r="BD40" s="12">
        <f>IF('Données projet'!$A$88&gt;35,BD39+BC40-BL39,IF(A40&lt;'Données projet'!$A$88,$BA$205^A40,IF(A40='Données projet'!$A$88,'Données projet'!$B$88,BD39+BC40-BL39)))</f>
        <v>211.16442307692307</v>
      </c>
      <c r="BE40" s="13">
        <f>BD40*VLOOKUP('Données projet'!$B$11,Paramètres!$A$1:$I$89,3,0)*VLOOKUP('Données projet'!$B$11,Paramètres!$A$1:$I$89,5,0)</f>
        <v>126.27632500000001</v>
      </c>
      <c r="BF40" s="13">
        <f t="shared" si="37"/>
        <v>33.134477451871625</v>
      </c>
      <c r="BG40" s="20">
        <f t="shared" si="7"/>
        <v>277.64048093700978</v>
      </c>
      <c r="BH40" s="59">
        <f t="shared" si="8"/>
        <v>570.97381427034315</v>
      </c>
      <c r="BI40" s="59">
        <f ca="1">AVERAGE(OFFSET($BH$3,0,0,'Données projet'!$E$11+1,1))-AVERAGE(OFFSET($H$3,0,0,'Données projet'!$E$11+1,1))</f>
        <v>171.96009656745713</v>
      </c>
      <c r="BJ40" s="59">
        <f t="shared" si="38"/>
        <v>172.37574906747716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1.4521225005133973</v>
      </c>
      <c r="BQ40" s="21">
        <f>EXP(-LN(2)/25)*BQ39+(1-EXP(-LN(2)/25))/(LN(2)/25)*Calculateur!BL40*Calculateur!BN40*VLOOKUP('Données projet'!$B$11,Paramètres!$A$1:$I$89,3,0)*0.475*44/12</f>
        <v>16.930536263064877</v>
      </c>
      <c r="BR40" s="21">
        <f>EXP(-LN(2)/2)*BR39+(1-EXP(-LN(2)/2))/(LN(2)/2)*BL40*BO40*VLOOKUP('Données projet'!$B$11,Paramètres!$A$1:$I$89,3,0)*0.475*44/12</f>
        <v>1.0646041729647711</v>
      </c>
      <c r="BS40" s="22">
        <f t="shared" si="9"/>
        <v>19.447262936543044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9.8108974358974379</v>
      </c>
      <c r="N41" s="13">
        <f>IF('Données projet'!$A$36&gt;35,N40+M41-V40,IF(A41&lt;'Données projet'!$A$36,$K$205^A41,IF(A41='Données projet'!$A$36,'Données projet'!$B$36,N40+M41-V40)))</f>
        <v>149.41666666666666</v>
      </c>
      <c r="O41" s="13">
        <f>N41*VLOOKUP('Données projet'!$B$9,Paramètres!$A$1:$I$89,3,0)*VLOOKUP('Données projet'!$B$9,Paramètres!$A$1:$I$89,5,0)</f>
        <v>135.19219999999999</v>
      </c>
      <c r="P41" s="13">
        <f t="shared" si="33"/>
        <v>35.193376038491699</v>
      </c>
      <c r="Q41" s="20">
        <f t="shared" si="53"/>
        <v>296.75487826703966</v>
      </c>
      <c r="R41" s="59">
        <f t="shared" si="0"/>
        <v>590.08821160037292</v>
      </c>
      <c r="S41" s="59">
        <f ca="1">AVERAGE(OFFSET($R$3,0,0,'Données projet'!$E$9+1,1))-AVERAGE(OFFSET($H$3,0,0,'Données projet'!$E$9+1,1))</f>
        <v>309.07357540707869</v>
      </c>
      <c r="T41" s="59">
        <f t="shared" si="34"/>
        <v>155.9593924683299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10.711538461538463</v>
      </c>
      <c r="AI41" s="13">
        <f>IF('Données projet'!$A$62&gt;35,AI40+AH41-AQ40,IF(A41&lt;'Données projet'!$A$62,$AF$205^A41,IF(A41='Données projet'!$A$62,'Données projet'!$B$62,AI40+AH41-AQ40)))</f>
        <v>167.49230769230763</v>
      </c>
      <c r="AJ41" s="13">
        <f>AI41*VLOOKUP('Données projet'!$B$10,Paramètres!$A$1:$I$89,3,0)*VLOOKUP('Données projet'!$B$10,Paramètres!$A$1:$I$89,5,0)</f>
        <v>100.16039999999997</v>
      </c>
      <c r="AK41" s="13">
        <f t="shared" si="35"/>
        <v>27.000207071317821</v>
      </c>
      <c r="AL41" s="20">
        <f t="shared" si="4"/>
        <v>221.4713906492118</v>
      </c>
      <c r="AM41" s="59">
        <f t="shared" si="5"/>
        <v>514.80472398254506</v>
      </c>
      <c r="AN41" s="59">
        <f ca="1">AVERAGE(OFFSET($AM$3,0,0,'Données projet'!$E$10+1,1))-AVERAGE(OFFSET($H$3,0,0,'Données projet'!$E$10+1,1))</f>
        <v>122.69576746316494</v>
      </c>
      <c r="AO41" s="59">
        <f t="shared" si="36"/>
        <v>103.29025722669985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12.621234722913545</v>
      </c>
      <c r="AW41" s="21">
        <f>EXP(-LN(2)/2)*AW40+(1-EXP(-LN(2)/2))/(LN(2)/2)*AQ41*AT41*VLOOKUP('Données projet'!$B$10,Paramètres!$A$1:$I$89,3,0)*0.475*44/12</f>
        <v>1.9472873965476536</v>
      </c>
      <c r="AX41" s="21">
        <f t="shared" si="6"/>
        <v>14.5685221194612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13.141346153846158</v>
      </c>
      <c r="BD41" s="12">
        <f>IF('Données projet'!$A$88&gt;35,BD40+BC41-BL40,IF(A41&lt;'Données projet'!$A$88,$BA$205^A41,IF(A41='Données projet'!$A$88,'Données projet'!$B$88,BD40+BC41-BL40)))</f>
        <v>224.30576923076922</v>
      </c>
      <c r="BE41" s="13">
        <f>BD41*VLOOKUP('Données projet'!$B$11,Paramètres!$A$1:$I$89,3,0)*VLOOKUP('Données projet'!$B$11,Paramètres!$A$1:$I$89,5,0)</f>
        <v>134.13485</v>
      </c>
      <c r="BF41" s="13">
        <f t="shared" si="37"/>
        <v>34.950053695803156</v>
      </c>
      <c r="BG41" s="20">
        <f t="shared" si="7"/>
        <v>294.48954060352384</v>
      </c>
      <c r="BH41" s="59">
        <f t="shared" si="8"/>
        <v>587.82287393685715</v>
      </c>
      <c r="BI41" s="59">
        <f ca="1">AVERAGE(OFFSET($BH$3,0,0,'Données projet'!$E$11+1,1))-AVERAGE(OFFSET($H$3,0,0,'Données projet'!$E$11+1,1))</f>
        <v>171.96009656745713</v>
      </c>
      <c r="BJ41" s="59">
        <f t="shared" si="38"/>
        <v>172.37574906747716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1.4236472639855986</v>
      </c>
      <c r="BQ41" s="21">
        <f>EXP(-LN(2)/25)*BQ40+(1-EXP(-LN(2)/25))/(LN(2)/25)*Calculateur!BL41*Calculateur!BN41*VLOOKUP('Données projet'!$B$11,Paramètres!$A$1:$I$89,3,0)*0.475*44/12</f>
        <v>16.46756985861316</v>
      </c>
      <c r="BR41" s="21">
        <f>EXP(-LN(2)/2)*BR40+(1-EXP(-LN(2)/2))/(LN(2)/2)*BL41*BO41*VLOOKUP('Données projet'!$B$11,Paramètres!$A$1:$I$89,3,0)*0.475*44/12</f>
        <v>0.75278882998288577</v>
      </c>
      <c r="BS41" s="22">
        <f t="shared" si="9"/>
        <v>18.644005952581647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9.8108974358974379</v>
      </c>
      <c r="N42" s="13">
        <f>IF('Données projet'!$A$36&gt;35,N41+M42-V41,IF(A42&lt;'Données projet'!$A$36,$K$205^A42,IF(A42='Données projet'!$A$36,'Données projet'!$B$36,N41+M42-V41)))</f>
        <v>159.22756410256409</v>
      </c>
      <c r="O42" s="13">
        <f>N42*VLOOKUP('Données projet'!$B$9,Paramètres!$A$1:$I$89,3,0)*VLOOKUP('Données projet'!$B$9,Paramètres!$A$1:$I$89,5,0)</f>
        <v>144.06909999999999</v>
      </c>
      <c r="P42" s="13">
        <f t="shared" si="33"/>
        <v>37.227619113359864</v>
      </c>
      <c r="Q42" s="20">
        <f t="shared" si="53"/>
        <v>315.75845245576846</v>
      </c>
      <c r="R42" s="59">
        <f t="shared" si="0"/>
        <v>609.09178578910178</v>
      </c>
      <c r="S42" s="59">
        <f ca="1">AVERAGE(OFFSET($R$3,0,0,'Données projet'!$E$9+1,1))-AVERAGE(OFFSET($H$3,0,0,'Données projet'!$E$9+1,1))</f>
        <v>309.07357540707869</v>
      </c>
      <c r="T42" s="59">
        <f t="shared" si="34"/>
        <v>155.9593924683299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10.711538461538463</v>
      </c>
      <c r="AI42" s="13">
        <f>IF('Données projet'!$A$62&gt;35,AI41+AH42-AQ41,IF(A42&lt;'Données projet'!$A$62,$AF$205^A42,IF(A42='Données projet'!$A$62,'Données projet'!$B$62,AI41+AH42-AQ41)))</f>
        <v>178.20384615384609</v>
      </c>
      <c r="AJ42" s="13">
        <f>AI42*VLOOKUP('Données projet'!$B$10,Paramètres!$A$1:$I$89,3,0)*VLOOKUP('Données projet'!$B$10,Paramètres!$A$1:$I$89,5,0)</f>
        <v>106.56589999999997</v>
      </c>
      <c r="AK42" s="13">
        <f t="shared" si="35"/>
        <v>28.520396364277037</v>
      </c>
      <c r="AL42" s="20">
        <f t="shared" si="4"/>
        <v>235.2752995011158</v>
      </c>
      <c r="AM42" s="59">
        <f t="shared" si="5"/>
        <v>528.60863283444905</v>
      </c>
      <c r="AN42" s="59">
        <f ca="1">AVERAGE(OFFSET($AM$3,0,0,'Données projet'!$E$10+1,1))-AVERAGE(OFFSET($H$3,0,0,'Données projet'!$E$10+1,1))</f>
        <v>122.69576746316494</v>
      </c>
      <c r="AO42" s="59">
        <f t="shared" si="36"/>
        <v>103.29025722669985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12.276106395693587</v>
      </c>
      <c r="AW42" s="21">
        <f>EXP(-LN(2)/2)*AW41+(1-EXP(-LN(2)/2))/(LN(2)/2)*AQ42*AT42*VLOOKUP('Données projet'!$B$10,Paramètres!$A$1:$I$89,3,0)*0.475*44/12</f>
        <v>1.3769401230179437</v>
      </c>
      <c r="AX42" s="21">
        <f t="shared" si="6"/>
        <v>13.65304651871153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13.141346153846158</v>
      </c>
      <c r="BD42" s="12">
        <f>IF('Données projet'!$A$88&gt;35,BD41+BC42-BL41,IF(A42&lt;'Données projet'!$A$88,$BA$205^A42,IF(A42='Données projet'!$A$88,'Données projet'!$B$88,BD41+BC42-BL41)))</f>
        <v>237.44711538461536</v>
      </c>
      <c r="BE42" s="13">
        <f>BD42*VLOOKUP('Données projet'!$B$11,Paramètres!$A$1:$I$89,3,0)*VLOOKUP('Données projet'!$B$11,Paramètres!$A$1:$I$89,5,0)</f>
        <v>141.99337499999999</v>
      </c>
      <c r="BF42" s="13">
        <f t="shared" si="37"/>
        <v>36.753283288028733</v>
      </c>
      <c r="BG42" s="20">
        <f t="shared" si="7"/>
        <v>311.31709651831665</v>
      </c>
      <c r="BH42" s="59">
        <f t="shared" si="8"/>
        <v>604.65042985164996</v>
      </c>
      <c r="BI42" s="59">
        <f ca="1">AVERAGE(OFFSET($BH$3,0,0,'Données projet'!$E$11+1,1))-AVERAGE(OFFSET($H$3,0,0,'Données projet'!$E$11+1,1))</f>
        <v>171.96009656745713</v>
      </c>
      <c r="BJ42" s="59">
        <f t="shared" si="38"/>
        <v>172.37574906747716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1.3957304094779306</v>
      </c>
      <c r="BQ42" s="21">
        <f>EXP(-LN(2)/25)*BQ41+(1-EXP(-LN(2)/25))/(LN(2)/25)*Calculateur!BL42*Calculateur!BN42*VLOOKUP('Données projet'!$B$11,Paramètres!$A$1:$I$89,3,0)*0.475*44/12</f>
        <v>16.017263294837523</v>
      </c>
      <c r="BR42" s="21">
        <f>EXP(-LN(2)/2)*BR41+(1-EXP(-LN(2)/2))/(LN(2)/2)*BL42*BO42*VLOOKUP('Données projet'!$B$11,Paramètres!$A$1:$I$89,3,0)*0.475*44/12</f>
        <v>0.53230208648238553</v>
      </c>
      <c r="BS42" s="22">
        <f t="shared" si="9"/>
        <v>17.945295790797839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9.8108974358974379</v>
      </c>
      <c r="N43" s="13">
        <f>IF('Données projet'!$A$36&gt;35,N42+M43-V42,IF(A43&lt;'Données projet'!$A$36,$K$205^A43,IF(A43='Données projet'!$A$36,'Données projet'!$B$36,N42+M43-V42)))</f>
        <v>169.03846153846152</v>
      </c>
      <c r="O43" s="13">
        <f>N43*VLOOKUP('Données projet'!$B$9,Paramètres!$A$1:$I$89,3,0)*VLOOKUP('Données projet'!$B$9,Paramètres!$A$1:$I$89,5,0)</f>
        <v>152.94599999999997</v>
      </c>
      <c r="P43" s="13">
        <f t="shared" si="33"/>
        <v>39.247314969652741</v>
      </c>
      <c r="Q43" s="20">
        <f t="shared" si="53"/>
        <v>334.73669023881172</v>
      </c>
      <c r="R43" s="59">
        <f t="shared" si="0"/>
        <v>628.07002357214503</v>
      </c>
      <c r="S43" s="59">
        <f ca="1">AVERAGE(OFFSET($R$3,0,0,'Données projet'!$E$9+1,1))-AVERAGE(OFFSET($H$3,0,0,'Données projet'!$E$9+1,1))</f>
        <v>309.07357540707869</v>
      </c>
      <c r="T43" s="59">
        <f t="shared" si="34"/>
        <v>155.9593924683299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188.91538461538462</v>
      </c>
      <c r="AG43" s="12">
        <f>VLOOKUP(A43,'Données projet'!$A$61:$I$81,9,0)</f>
        <v>10.711538461538463</v>
      </c>
      <c r="AH43" s="12">
        <f t="array" ref="AH43">INDEX(AG:AG,MIN(IF(ISNUMBER(AG43:AG239),ROW(AG43:AG239),"")))</f>
        <v>10.711538461538463</v>
      </c>
      <c r="AI43" s="13">
        <f>IF('Données projet'!$A$62&gt;35,AI42+AH43-AQ42,IF(A43&lt;'Données projet'!$A$62,$AF$205^A43,IF(A43='Données projet'!$A$62,'Données projet'!$B$62,AI42+AH43-AQ42)))</f>
        <v>188.91538461538454</v>
      </c>
      <c r="AJ43" s="13">
        <f>AI43*VLOOKUP('Données projet'!$B$10,Paramètres!$A$1:$I$89,3,0)*VLOOKUP('Données projet'!$B$10,Paramètres!$A$1:$I$89,5,0)</f>
        <v>112.97139999999996</v>
      </c>
      <c r="AK43" s="13">
        <f t="shared" si="35"/>
        <v>30.029979864864952</v>
      </c>
      <c r="AL43" s="20">
        <f t="shared" si="4"/>
        <v>249.06073659797303</v>
      </c>
      <c r="AM43" s="59">
        <f t="shared" si="5"/>
        <v>542.39406993130638</v>
      </c>
      <c r="AN43" s="59">
        <f ca="1">AVERAGE(OFFSET($AM$3,0,0,'Données projet'!$E$10+1,1))-AVERAGE(OFFSET($H$3,0,0,'Données projet'!$E$10+1,1))</f>
        <v>122.69576746316494</v>
      </c>
      <c r="AO43" s="59">
        <f t="shared" si="36"/>
        <v>103.29025722669985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48.323076923076918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11.940415620730967</v>
      </c>
      <c r="AW43" s="21">
        <f>EXP(-LN(2)/2)*AW42+(1-EXP(-LN(2)/2))/(LN(2)/2)*AQ43*AT43*VLOOKUP('Données projet'!$B$10,Paramètres!$A$1:$I$89,3,0)*0.475*44/12</f>
        <v>0.97364369827382702</v>
      </c>
      <c r="AX43" s="21">
        <f t="shared" si="6"/>
        <v>12.914059319004794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13.141346153846158</v>
      </c>
      <c r="BD43" s="12">
        <f>IF('Données projet'!$A$88&gt;35,BD42+BC43-BL42,IF(A43&lt;'Données projet'!$A$88,$BA$205^A43,IF(A43='Données projet'!$A$88,'Données projet'!$B$88,BD42+BC43-BL42)))</f>
        <v>250.5884615384615</v>
      </c>
      <c r="BE43" s="13">
        <f>BD43*VLOOKUP('Données projet'!$B$11,Paramètres!$A$1:$I$89,3,0)*VLOOKUP('Données projet'!$B$11,Paramètres!$A$1:$I$89,5,0)</f>
        <v>149.8519</v>
      </c>
      <c r="BF43" s="13">
        <f t="shared" si="37"/>
        <v>38.544927429723309</v>
      </c>
      <c r="BG43" s="20">
        <f t="shared" si="7"/>
        <v>328.12447444010144</v>
      </c>
      <c r="BH43" s="59">
        <f t="shared" si="8"/>
        <v>621.45780777343475</v>
      </c>
      <c r="BI43" s="59">
        <f ca="1">AVERAGE(OFFSET($BH$3,0,0,'Données projet'!$E$11+1,1))-AVERAGE(OFFSET($H$3,0,0,'Données projet'!$E$11+1,1))</f>
        <v>171.96009656745713</v>
      </c>
      <c r="BJ43" s="59">
        <f t="shared" si="38"/>
        <v>172.37574906747716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1.3683609874595581</v>
      </c>
      <c r="BQ43" s="21">
        <f>EXP(-LN(2)/25)*BQ42+(1-EXP(-LN(2)/25))/(LN(2)/25)*Calculateur!BL43*Calculateur!BN43*VLOOKUP('Données projet'!$B$11,Paramètres!$A$1:$I$89,3,0)*0.475*44/12</f>
        <v>15.579270387728922</v>
      </c>
      <c r="BR43" s="21">
        <f>EXP(-LN(2)/2)*BR42+(1-EXP(-LN(2)/2))/(LN(2)/2)*BL43*BO43*VLOOKUP('Données projet'!$B$11,Paramètres!$A$1:$I$89,3,0)*0.475*44/12</f>
        <v>0.37639441499144288</v>
      </c>
      <c r="BS43" s="22">
        <f t="shared" si="9"/>
        <v>17.32402579017992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9.8108974358974379</v>
      </c>
      <c r="N44" s="13">
        <f>IF('Données projet'!$A$36&gt;35,N43+M44-V43,IF(A44&lt;'Données projet'!$A$36,$K$205^A44,IF(A44='Données projet'!$A$36,'Données projet'!$B$36,N43+M44-V43)))</f>
        <v>178.84935897435895</v>
      </c>
      <c r="O44" s="13">
        <f>N44*VLOOKUP('Données projet'!$B$9,Paramètres!$A$1:$I$89,3,0)*VLOOKUP('Données projet'!$B$9,Paramètres!$A$1:$I$89,5,0)</f>
        <v>161.82289999999998</v>
      </c>
      <c r="P44" s="13">
        <f t="shared" si="33"/>
        <v>41.253404106950768</v>
      </c>
      <c r="Q44" s="20">
        <f t="shared" si="53"/>
        <v>353.69122965293923</v>
      </c>
      <c r="R44" s="59">
        <f t="shared" si="0"/>
        <v>647.02456298627249</v>
      </c>
      <c r="S44" s="59">
        <f ca="1">AVERAGE(OFFSET($R$3,0,0,'Données projet'!$E$9+1,1))-AVERAGE(OFFSET($H$3,0,0,'Données projet'!$E$9+1,1))</f>
        <v>309.07357540707869</v>
      </c>
      <c r="T44" s="59">
        <f t="shared" si="34"/>
        <v>155.9593924683299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10.101538461538457</v>
      </c>
      <c r="AI44" s="13">
        <f>IF('Données projet'!$A$62&gt;35,AI43+AH44-AQ43,IF(A44&lt;'Données projet'!$A$62,$AF$205^A44,IF(A44='Données projet'!$A$62,'Données projet'!$B$62,AI43+AH44-AQ43)))</f>
        <v>150.6938461538461</v>
      </c>
      <c r="AJ44" s="13">
        <f>AI44*VLOOKUP('Données projet'!$B$10,Paramètres!$A$1:$I$89,3,0)*VLOOKUP('Données projet'!$B$10,Paramètres!$A$1:$I$89,5,0)</f>
        <v>90.114919999999969</v>
      </c>
      <c r="AK44" s="13">
        <f t="shared" si="35"/>
        <v>24.592938871911798</v>
      </c>
      <c r="AL44" s="20">
        <f t="shared" si="4"/>
        <v>199.78285420191298</v>
      </c>
      <c r="AM44" s="59">
        <f t="shared" si="5"/>
        <v>493.1161875352463</v>
      </c>
      <c r="AN44" s="59">
        <f ca="1">AVERAGE(OFFSET($AM$3,0,0,'Données projet'!$E$10+1,1))-AVERAGE(OFFSET($H$3,0,0,'Données projet'!$E$10+1,1))</f>
        <v>122.69576746316494</v>
      </c>
      <c r="AO44" s="59">
        <f t="shared" si="36"/>
        <v>103.29025722669985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11.613904327662912</v>
      </c>
      <c r="AW44" s="21">
        <f>EXP(-LN(2)/2)*AW43+(1-EXP(-LN(2)/2))/(LN(2)/2)*AQ44*AT44*VLOOKUP('Données projet'!$B$10,Paramètres!$A$1:$I$89,3,0)*0.475*44/12</f>
        <v>0.68847006150897194</v>
      </c>
      <c r="AX44" s="21">
        <f t="shared" si="6"/>
        <v>12.302374389171884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13.141346153846158</v>
      </c>
      <c r="BD44" s="12">
        <f>IF('Données projet'!$A$88&gt;35,BD43+BC44-BL43,IF(A44&lt;'Données projet'!$A$88,$BA$205^A44,IF(A44='Données projet'!$A$88,'Données projet'!$B$88,BD43+BC44-BL43)))</f>
        <v>263.72980769230765</v>
      </c>
      <c r="BE44" s="13">
        <f>BD44*VLOOKUP('Données projet'!$B$11,Paramètres!$A$1:$I$89,3,0)*VLOOKUP('Données projet'!$B$11,Paramètres!$A$1:$I$89,5,0)</f>
        <v>157.71042499999999</v>
      </c>
      <c r="BF44" s="13">
        <f t="shared" si="37"/>
        <v>40.325662975074472</v>
      </c>
      <c r="BG44" s="20">
        <f t="shared" si="7"/>
        <v>344.91285322325461</v>
      </c>
      <c r="BH44" s="59">
        <f t="shared" si="8"/>
        <v>638.24618655658787</v>
      </c>
      <c r="BI44" s="59">
        <f ca="1">AVERAGE(OFFSET($BH$3,0,0,'Données projet'!$E$11+1,1))-AVERAGE(OFFSET($H$3,0,0,'Données projet'!$E$11+1,1))</f>
        <v>171.96009656745713</v>
      </c>
      <c r="BJ44" s="59">
        <f t="shared" si="38"/>
        <v>172.37574906747716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1.341528263113267</v>
      </c>
      <c r="BQ44" s="21">
        <f>EXP(-LN(2)/25)*BQ43+(1-EXP(-LN(2)/25))/(LN(2)/25)*Calculateur!BL44*Calculateur!BN44*VLOOKUP('Données projet'!$B$11,Paramètres!$A$1:$I$89,3,0)*0.475*44/12</f>
        <v>15.153254419698252</v>
      </c>
      <c r="BR44" s="21">
        <f>EXP(-LN(2)/2)*BR43+(1-EXP(-LN(2)/2))/(LN(2)/2)*BL44*BO44*VLOOKUP('Données projet'!$B$11,Paramètres!$A$1:$I$89,3,0)*0.475*44/12</f>
        <v>0.26615104324119276</v>
      </c>
      <c r="BS44" s="22">
        <f t="shared" si="9"/>
        <v>16.760933726052713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188.66025641025641</v>
      </c>
      <c r="L45" s="12">
        <f>VLOOKUP(A45,'Données projet'!$A$35:$I$55,9,0)</f>
        <v>9.8108974358974379</v>
      </c>
      <c r="M45" s="12">
        <f t="array" ref="M45">INDEX(L:L,MIN(IF(ISNUMBER(L45:L241),ROW(L45:L241),"")))</f>
        <v>9.8108974358974379</v>
      </c>
      <c r="N45" s="13">
        <f>IF('Données projet'!$A$36&gt;35,N44+M45-V44,IF(A45&lt;'Données projet'!$A$36,$K$205^A45,IF(A45='Données projet'!$A$36,'Données projet'!$B$36,N44+M45-V44)))</f>
        <v>188.66025641025638</v>
      </c>
      <c r="O45" s="13">
        <f>N45*VLOOKUP('Données projet'!$B$9,Paramètres!$A$1:$I$89,3,0)*VLOOKUP('Données projet'!$B$9,Paramètres!$A$1:$I$89,5,0)</f>
        <v>170.69979999999998</v>
      </c>
      <c r="P45" s="13">
        <f t="shared" si="33"/>
        <v>43.246718013796333</v>
      </c>
      <c r="Q45" s="20">
        <f t="shared" si="53"/>
        <v>372.62351887402855</v>
      </c>
      <c r="R45" s="59">
        <f t="shared" si="0"/>
        <v>665.95685220736186</v>
      </c>
      <c r="S45" s="59">
        <f ca="1">AVERAGE(OFFSET($R$3,0,0,'Données projet'!$E$9+1,1))-AVERAGE(OFFSET($H$3,0,0,'Données projet'!$E$9+1,1))</f>
        <v>309.07357540707869</v>
      </c>
      <c r="T45" s="59">
        <f t="shared" si="34"/>
        <v>155.9593924683299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45.198717948717949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10.101538461538457</v>
      </c>
      <c r="AI45" s="13">
        <f>IF('Données projet'!$A$62&gt;35,AI44+AH45-AQ44,IF(A45&lt;'Données projet'!$A$62,$AF$205^A45,IF(A45='Données projet'!$A$62,'Données projet'!$B$62,AI44+AH45-AQ44)))</f>
        <v>160.79538461538456</v>
      </c>
      <c r="AJ45" s="13">
        <f>AI45*VLOOKUP('Données projet'!$B$10,Paramètres!$A$1:$I$89,3,0)*VLOOKUP('Données projet'!$B$10,Paramètres!$A$1:$I$89,5,0)</f>
        <v>96.155639999999977</v>
      </c>
      <c r="AK45" s="13">
        <f t="shared" si="35"/>
        <v>26.044052689931636</v>
      </c>
      <c r="AL45" s="20">
        <f t="shared" si="4"/>
        <v>212.83113143496419</v>
      </c>
      <c r="AM45" s="59">
        <f t="shared" si="5"/>
        <v>506.16446476829753</v>
      </c>
      <c r="AN45" s="59">
        <f ca="1">AVERAGE(OFFSET($AM$3,0,0,'Données projet'!$E$10+1,1))-AVERAGE(OFFSET($H$3,0,0,'Données projet'!$E$10+1,1))</f>
        <v>122.69576746316494</v>
      </c>
      <c r="AO45" s="59">
        <f t="shared" si="36"/>
        <v>103.29025722669985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11.296321503074285</v>
      </c>
      <c r="AW45" s="21">
        <f>EXP(-LN(2)/2)*AW44+(1-EXP(-LN(2)/2))/(LN(2)/2)*AQ45*AT45*VLOOKUP('Données projet'!$B$10,Paramètres!$A$1:$I$89,3,0)*0.475*44/12</f>
        <v>0.48682184913691356</v>
      </c>
      <c r="AX45" s="21">
        <f t="shared" si="6"/>
        <v>11.783143352211198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13.141346153846158</v>
      </c>
      <c r="BD45" s="12">
        <f>IF('Données projet'!$A$88&gt;35,BD44+BC45-BL44,IF(A45&lt;'Données projet'!$A$88,$BA$205^A45,IF(A45='Données projet'!$A$88,'Données projet'!$B$88,BD44+BC45-BL44)))</f>
        <v>276.87115384615379</v>
      </c>
      <c r="BE45" s="13">
        <f>BD45*VLOOKUP('Données projet'!$B$11,Paramètres!$A$1:$I$89,3,0)*VLOOKUP('Données projet'!$B$11,Paramètres!$A$1:$I$89,5,0)</f>
        <v>165.56894999999997</v>
      </c>
      <c r="BF45" s="13">
        <f t="shared" si="37"/>
        <v>42.096095514085818</v>
      </c>
      <c r="BG45" s="20">
        <f t="shared" si="7"/>
        <v>361.6832876036994</v>
      </c>
      <c r="BH45" s="59">
        <f t="shared" si="8"/>
        <v>655.01662093703271</v>
      </c>
      <c r="BI45" s="59">
        <f ca="1">AVERAGE(OFFSET($BH$3,0,0,'Données projet'!$E$11+1,1))-AVERAGE(OFFSET($H$3,0,0,'Données projet'!$E$11+1,1))</f>
        <v>171.96009656745713</v>
      </c>
      <c r="BJ45" s="59">
        <f t="shared" si="38"/>
        <v>172.37574906747716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1.3152217121250607</v>
      </c>
      <c r="BQ45" s="21">
        <f>EXP(-LN(2)/25)*BQ44+(1-EXP(-LN(2)/25))/(LN(2)/25)*Calculateur!BL45*Calculateur!BN45*VLOOKUP('Données projet'!$B$11,Paramètres!$A$1:$I$89,3,0)*0.475*44/12</f>
        <v>14.738887880716586</v>
      </c>
      <c r="BR45" s="21">
        <f>EXP(-LN(2)/2)*BR44+(1-EXP(-LN(2)/2))/(LN(2)/2)*BL45*BO45*VLOOKUP('Données projet'!$B$11,Paramètres!$A$1:$I$89,3,0)*0.475*44/12</f>
        <v>0.18819720749572144</v>
      </c>
      <c r="BS45" s="22">
        <f t="shared" si="9"/>
        <v>16.242306800337371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9.9423076923076934</v>
      </c>
      <c r="N46" s="13">
        <f>IF('Données projet'!$A$36&gt;35,N45+M46-V45,IF(A46&lt;'Données projet'!$A$36,$K$205^A46,IF(A46='Données projet'!$A$36,'Données projet'!$B$36,N45+M46-V45)))</f>
        <v>153.40384615384613</v>
      </c>
      <c r="O46" s="13">
        <f>N46*VLOOKUP('Données projet'!$B$9,Paramètres!$A$1:$I$89,3,0)*VLOOKUP('Données projet'!$B$9,Paramètres!$A$1:$I$89,5,0)</f>
        <v>138.79979999999998</v>
      </c>
      <c r="P46" s="13">
        <f t="shared" si="33"/>
        <v>36.021918906010839</v>
      </c>
      <c r="Q46" s="20">
        <f t="shared" si="53"/>
        <v>304.4811604279688</v>
      </c>
      <c r="R46" s="59">
        <f t="shared" si="0"/>
        <v>597.81449376130217</v>
      </c>
      <c r="S46" s="59">
        <f ca="1">AVERAGE(OFFSET($R$3,0,0,'Données projet'!$E$9+1,1))-AVERAGE(OFFSET($H$3,0,0,'Données projet'!$E$9+1,1))</f>
        <v>309.07357540707869</v>
      </c>
      <c r="T46" s="59">
        <f t="shared" si="34"/>
        <v>155.9593924683299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10.101538461538457</v>
      </c>
      <c r="AI46" s="13">
        <f>IF('Données projet'!$A$62&gt;35,AI45+AH46-AQ45,IF(A46&lt;'Données projet'!$A$62,$AF$205^A46,IF(A46='Données projet'!$A$62,'Données projet'!$B$62,AI45+AH46-AQ45)))</f>
        <v>170.89692307692303</v>
      </c>
      <c r="AJ46" s="13">
        <f>AI46*VLOOKUP('Données projet'!$B$10,Paramètres!$A$1:$I$89,3,0)*VLOOKUP('Données projet'!$B$10,Paramètres!$A$1:$I$89,5,0)</f>
        <v>102.19635999999997</v>
      </c>
      <c r="AK46" s="13">
        <f t="shared" si="35"/>
        <v>27.484586571519078</v>
      </c>
      <c r="AL46" s="20">
        <f t="shared" si="4"/>
        <v>225.86098194539568</v>
      </c>
      <c r="AM46" s="59">
        <f t="shared" si="5"/>
        <v>519.19431527872894</v>
      </c>
      <c r="AN46" s="59">
        <f ca="1">AVERAGE(OFFSET($AM$3,0,0,'Données projet'!$E$10+1,1))-AVERAGE(OFFSET($H$3,0,0,'Données projet'!$E$10+1,1))</f>
        <v>122.69576746316494</v>
      </c>
      <c r="AO46" s="59">
        <f t="shared" si="36"/>
        <v>103.29025722669985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10.987422997524989</v>
      </c>
      <c r="AW46" s="21">
        <f>EXP(-LN(2)/2)*AW45+(1-EXP(-LN(2)/2))/(LN(2)/2)*AQ46*AT46*VLOOKUP('Données projet'!$B$10,Paramètres!$A$1:$I$89,3,0)*0.475*44/12</f>
        <v>0.34423503075448603</v>
      </c>
      <c r="AX46" s="21">
        <f t="shared" si="6"/>
        <v>11.331658028279476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13.141346153846158</v>
      </c>
      <c r="BD46" s="12">
        <f>IF('Données projet'!$A$88&gt;35,BD45+BC46-BL45,IF(A46&lt;'Données projet'!$A$88,$BA$205^A46,IF(A46='Données projet'!$A$88,'Données projet'!$B$88,BD45+BC46-BL45)))</f>
        <v>290.01249999999993</v>
      </c>
      <c r="BE46" s="13">
        <f>BD46*VLOOKUP('Données projet'!$B$11,Paramètres!$A$1:$I$89,3,0)*VLOOKUP('Données projet'!$B$11,Paramètres!$A$1:$I$89,5,0)</f>
        <v>173.42747499999999</v>
      </c>
      <c r="BF46" s="13">
        <f t="shared" si="37"/>
        <v>43.856769901180428</v>
      </c>
      <c r="BG46" s="20">
        <f t="shared" si="7"/>
        <v>378.43672653622252</v>
      </c>
      <c r="BH46" s="59">
        <f t="shared" si="8"/>
        <v>671.77005986955578</v>
      </c>
      <c r="BI46" s="59">
        <f ca="1">AVERAGE(OFFSET($BH$3,0,0,'Données projet'!$E$11+1,1))-AVERAGE(OFFSET($H$3,0,0,'Données projet'!$E$11+1,1))</f>
        <v>171.96009656745713</v>
      </c>
      <c r="BJ46" s="59">
        <f t="shared" si="38"/>
        <v>172.37574906747716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1.2894310165563214</v>
      </c>
      <c r="BQ46" s="21">
        <f>EXP(-LN(2)/25)*BQ45+(1-EXP(-LN(2)/25))/(LN(2)/25)*Calculateur!BL46*Calculateur!BN46*VLOOKUP('Données projet'!$B$11,Paramètres!$A$1:$I$89,3,0)*0.475*44/12</f>
        <v>14.335852216533963</v>
      </c>
      <c r="BR46" s="21">
        <f>EXP(-LN(2)/2)*BR45+(1-EXP(-LN(2)/2))/(LN(2)/2)*BL46*BO46*VLOOKUP('Données projet'!$B$11,Paramètres!$A$1:$I$89,3,0)*0.475*44/12</f>
        <v>0.13307552162059638</v>
      </c>
      <c r="BS46" s="22">
        <f t="shared" si="9"/>
        <v>15.758358754710882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9.9423076923076934</v>
      </c>
      <c r="N47" s="13">
        <f>IF('Données projet'!$A$36&gt;35,N46+M47-V46,IF(A47&lt;'Données projet'!$A$36,$K$205^A47,IF(A47='Données projet'!$A$36,'Données projet'!$B$36,N46+M47-V46)))</f>
        <v>163.34615384615381</v>
      </c>
      <c r="O47" s="13">
        <f>N47*VLOOKUP('Données projet'!$B$9,Paramètres!$A$1:$I$89,3,0)*VLOOKUP('Données projet'!$B$9,Paramètres!$A$1:$I$89,5,0)</f>
        <v>147.79559999999995</v>
      </c>
      <c r="P47" s="13">
        <f t="shared" si="33"/>
        <v>38.077196976190542</v>
      </c>
      <c r="Q47" s="20">
        <f t="shared" si="53"/>
        <v>323.72845473353181</v>
      </c>
      <c r="R47" s="59">
        <f t="shared" si="0"/>
        <v>617.06178806686512</v>
      </c>
      <c r="S47" s="59">
        <f ca="1">AVERAGE(OFFSET($R$3,0,0,'Données projet'!$E$9+1,1))-AVERAGE(OFFSET($H$3,0,0,'Données projet'!$E$9+1,1))</f>
        <v>309.07357540707869</v>
      </c>
      <c r="T47" s="59">
        <f t="shared" si="34"/>
        <v>155.9593924683299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10.101538461538457</v>
      </c>
      <c r="AI47" s="13">
        <f>IF('Données projet'!$A$62&gt;35,AI46+AH47-AQ46,IF(A47&lt;'Données projet'!$A$62,$AF$205^A47,IF(A47='Données projet'!$A$62,'Données projet'!$B$62,AI46+AH47-AQ46)))</f>
        <v>180.9984615384615</v>
      </c>
      <c r="AJ47" s="13">
        <f>AI47*VLOOKUP('Données projet'!$B$10,Paramètres!$A$1:$I$89,3,0)*VLOOKUP('Données projet'!$B$10,Paramètres!$A$1:$I$89,5,0)</f>
        <v>108.23707999999998</v>
      </c>
      <c r="AK47" s="13">
        <f t="shared" si="35"/>
        <v>28.915237117108482</v>
      </c>
      <c r="AL47" s="20">
        <f t="shared" si="4"/>
        <v>238.87361897896383</v>
      </c>
      <c r="AM47" s="59">
        <f t="shared" si="5"/>
        <v>532.20695231229718</v>
      </c>
      <c r="AN47" s="59">
        <f ca="1">AVERAGE(OFFSET($AM$3,0,0,'Données projet'!$E$10+1,1))-AVERAGE(OFFSET($H$3,0,0,'Données projet'!$E$10+1,1))</f>
        <v>122.69576746316494</v>
      </c>
      <c r="AO47" s="59">
        <f t="shared" si="36"/>
        <v>103.29025722669985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10.686971337854205</v>
      </c>
      <c r="AW47" s="21">
        <f>EXP(-LN(2)/2)*AW46+(1-EXP(-LN(2)/2))/(LN(2)/2)*AQ47*AT47*VLOOKUP('Données projet'!$B$10,Paramètres!$A$1:$I$89,3,0)*0.475*44/12</f>
        <v>0.24341092456845684</v>
      </c>
      <c r="AX47" s="21">
        <f t="shared" si="6"/>
        <v>10.930382262422661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303.15384615384619</v>
      </c>
      <c r="BB47" s="12">
        <f>VLOOKUP(A47,'Données projet'!$A$87:$I$107,9,0)</f>
        <v>13.141346153846158</v>
      </c>
      <c r="BC47" s="12">
        <f t="array" ref="BC47">INDEX(BB:BB,MIN(IF(ISNUMBER(BB47:BB243),ROW(BB47:BB243),"")))</f>
        <v>13.141346153846158</v>
      </c>
      <c r="BD47" s="12">
        <f>IF('Données projet'!$A$88&gt;35,BD46+BC47-BL46,IF(A47&lt;'Données projet'!$A$88,$BA$205^A47,IF(A47='Données projet'!$A$88,'Données projet'!$B$88,BD46+BC47-BL46)))</f>
        <v>303.15384615384608</v>
      </c>
      <c r="BE47" s="13">
        <f>BD47*VLOOKUP('Données projet'!$B$11,Paramètres!$A$1:$I$89,3,0)*VLOOKUP('Données projet'!$B$11,Paramètres!$A$1:$I$89,5,0)</f>
        <v>181.28599999999997</v>
      </c>
      <c r="BF47" s="13">
        <f t="shared" si="37"/>
        <v>45.608178821536583</v>
      </c>
      <c r="BG47" s="20">
        <f t="shared" si="7"/>
        <v>395.17402811417611</v>
      </c>
      <c r="BH47" s="59">
        <f t="shared" si="8"/>
        <v>688.50736144750942</v>
      </c>
      <c r="BI47" s="59">
        <f ca="1">AVERAGE(OFFSET($BH$3,0,0,'Données projet'!$E$11+1,1))-AVERAGE(OFFSET($H$3,0,0,'Données projet'!$E$11+1,1))</f>
        <v>171.96009656745713</v>
      </c>
      <c r="BJ47" s="59">
        <f t="shared" si="38"/>
        <v>172.37574906747716</v>
      </c>
      <c r="BK47" s="15">
        <f>IF(ISNA(VLOOKUP(A47,'Données projet'!$A$87:$I$107,3,0)),0,VLOOKUP(A47,'Données projet'!$A$87:$I$107,3,0))</f>
        <v>5</v>
      </c>
      <c r="BL47" s="15">
        <f>IF(ISNA(VLOOKUP(A47,'Données projet'!$A$87:$I$107,4,0)),0,VLOOKUP(A47,'Données projet'!$A$87:$I$107,4,0))</f>
        <v>64.476923076923072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1.2641460607969142</v>
      </c>
      <c r="BQ47" s="21">
        <f>EXP(-LN(2)/25)*BQ46+(1-EXP(-LN(2)/25))/(LN(2)/25)*Calculateur!BL47*Calculateur!BN47*VLOOKUP('Données projet'!$B$11,Paramètres!$A$1:$I$89,3,0)*0.475*44/12</f>
        <v>13.943837583783139</v>
      </c>
      <c r="BR47" s="21">
        <f>EXP(-LN(2)/2)*BR46+(1-EXP(-LN(2)/2))/(LN(2)/2)*BL47*BO47*VLOOKUP('Données projet'!$B$11,Paramètres!$A$1:$I$89,3,0)*0.475*44/12</f>
        <v>9.4098603747860721E-2</v>
      </c>
      <c r="BS47" s="22">
        <f t="shared" si="9"/>
        <v>15.302082248327915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9.9423076923076934</v>
      </c>
      <c r="N48" s="13">
        <f>IF('Données projet'!$A$36&gt;35,N47+M48-V47,IF(A48&lt;'Données projet'!$A$36,$K$205^A48,IF(A48='Données projet'!$A$36,'Données projet'!$B$36,N47+M48-V47)))</f>
        <v>173.28846153846149</v>
      </c>
      <c r="O48" s="13">
        <f>N48*VLOOKUP('Données projet'!$B$9,Paramètres!$A$1:$I$89,3,0)*VLOOKUP('Données projet'!$B$9,Paramètres!$A$1:$I$89,5,0)</f>
        <v>156.79139999999995</v>
      </c>
      <c r="P48" s="13">
        <f t="shared" si="33"/>
        <v>40.117955688416771</v>
      </c>
      <c r="Q48" s="20">
        <f t="shared" si="53"/>
        <v>342.95046115732583</v>
      </c>
      <c r="R48" s="59">
        <f t="shared" si="0"/>
        <v>636.28379449065915</v>
      </c>
      <c r="S48" s="59">
        <f ca="1">AVERAGE(OFFSET($R$3,0,0,'Données projet'!$E$9+1,1))-AVERAGE(OFFSET($H$3,0,0,'Données projet'!$E$9+1,1))</f>
        <v>309.07357540707869</v>
      </c>
      <c r="T48" s="59">
        <f t="shared" si="34"/>
        <v>155.9593924683299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10.101538461538457</v>
      </c>
      <c r="AI48" s="13">
        <f>IF('Données projet'!$A$62&gt;35,AI47+AH48-AQ47,IF(A48&lt;'Données projet'!$A$62,$AF$205^A48,IF(A48='Données projet'!$A$62,'Données projet'!$B$62,AI47+AH48-AQ47)))</f>
        <v>191.09999999999997</v>
      </c>
      <c r="AJ48" s="13">
        <f>AI48*VLOOKUP('Données projet'!$B$10,Paramètres!$A$1:$I$89,3,0)*VLOOKUP('Données projet'!$B$10,Paramètres!$A$1:$I$89,5,0)</f>
        <v>114.2778</v>
      </c>
      <c r="AK48" s="13">
        <f t="shared" si="35"/>
        <v>30.336618780948807</v>
      </c>
      <c r="AL48" s="20">
        <f t="shared" si="4"/>
        <v>251.87011271015248</v>
      </c>
      <c r="AM48" s="59">
        <f t="shared" si="5"/>
        <v>545.20344604348577</v>
      </c>
      <c r="AN48" s="59">
        <f ca="1">AVERAGE(OFFSET($AM$3,0,0,'Données projet'!$E$10+1,1))-AVERAGE(OFFSET($H$3,0,0,'Données projet'!$E$10+1,1))</f>
        <v>122.69576746316494</v>
      </c>
      <c r="AO48" s="59">
        <f t="shared" si="36"/>
        <v>103.29025722669985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10.394735544617184</v>
      </c>
      <c r="AW48" s="21">
        <f>EXP(-LN(2)/2)*AW47+(1-EXP(-LN(2)/2))/(LN(2)/2)*AQ48*AT48*VLOOKUP('Données projet'!$B$10,Paramètres!$A$1:$I$89,3,0)*0.475*44/12</f>
        <v>0.17211751537724304</v>
      </c>
      <c r="AX48" s="21">
        <f t="shared" si="6"/>
        <v>10.566853059994427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11.642307692307689</v>
      </c>
      <c r="BD48" s="12">
        <f>IF('Données projet'!$A$88&gt;35,BD47+BC48-BL47,IF(A48&lt;'Données projet'!$A$88,$BA$205^A48,IF(A48='Données projet'!$A$88,'Données projet'!$B$88,BD47+BC48-BL47)))</f>
        <v>250.31923076923067</v>
      </c>
      <c r="BE48" s="13">
        <f>BD48*VLOOKUP('Données projet'!$B$11,Paramètres!$A$1:$I$89,3,0)*VLOOKUP('Données projet'!$B$11,Paramètres!$A$1:$I$89,5,0)</f>
        <v>149.69089999999994</v>
      </c>
      <c r="BF48" s="13">
        <f t="shared" si="37"/>
        <v>38.508333105793902</v>
      </c>
      <c r="BG48" s="20">
        <f t="shared" si="7"/>
        <v>327.7803309925909</v>
      </c>
      <c r="BH48" s="59">
        <f t="shared" si="8"/>
        <v>621.11366432592422</v>
      </c>
      <c r="BI48" s="59">
        <f ca="1">AVERAGE(OFFSET($BH$3,0,0,'Données projet'!$E$11+1,1))-AVERAGE(OFFSET($H$3,0,0,'Données projet'!$E$11+1,1))</f>
        <v>171.96009656745713</v>
      </c>
      <c r="BJ48" s="59">
        <f t="shared" si="38"/>
        <v>172.37574906747716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1.2393569275976486</v>
      </c>
      <c r="BQ48" s="21">
        <f>EXP(-LN(2)/25)*BQ47+(1-EXP(-LN(2)/25))/(LN(2)/25)*Calculateur!BL48*Calculateur!BN48*VLOOKUP('Données projet'!$B$11,Paramètres!$A$1:$I$89,3,0)*0.475*44/12</f>
        <v>13.562542611780041</v>
      </c>
      <c r="BR48" s="21">
        <f>EXP(-LN(2)/2)*BR47+(1-EXP(-LN(2)/2))/(LN(2)/2)*BL48*BO48*VLOOKUP('Données projet'!$B$11,Paramètres!$A$1:$I$89,3,0)*0.475*44/12</f>
        <v>6.6537760810298191E-2</v>
      </c>
      <c r="BS48" s="22">
        <f t="shared" si="9"/>
        <v>14.868437300187988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9.9423076923076934</v>
      </c>
      <c r="N49" s="13">
        <f>IF('Données projet'!$A$36&gt;35,N48+M49-V48,IF(A49&lt;'Données projet'!$A$36,$K$205^A49,IF(A49='Données projet'!$A$36,'Données projet'!$B$36,N48+M49-V48)))</f>
        <v>183.23076923076917</v>
      </c>
      <c r="O49" s="13">
        <f>N49*VLOOKUP('Données projet'!$B$9,Paramètres!$A$1:$I$89,3,0)*VLOOKUP('Données projet'!$B$9,Paramètres!$A$1:$I$89,5,0)</f>
        <v>165.78719999999993</v>
      </c>
      <c r="P49" s="13">
        <f t="shared" si="33"/>
        <v>42.145122994841088</v>
      </c>
      <c r="Q49" s="20">
        <f t="shared" si="53"/>
        <v>362.14879588268133</v>
      </c>
      <c r="R49" s="59">
        <f t="shared" si="0"/>
        <v>655.48212921601464</v>
      </c>
      <c r="S49" s="59">
        <f ca="1">AVERAGE(OFFSET($R$3,0,0,'Données projet'!$E$9+1,1))-AVERAGE(OFFSET($H$3,0,0,'Données projet'!$E$9+1,1))</f>
        <v>309.07357540707869</v>
      </c>
      <c r="T49" s="59">
        <f t="shared" si="34"/>
        <v>155.9593924683299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10.101538461538457</v>
      </c>
      <c r="AI49" s="13">
        <f>IF('Données projet'!$A$62&gt;35,AI48+AH49-AQ48,IF(A49&lt;'Données projet'!$A$62,$AF$205^A49,IF(A49='Données projet'!$A$62,'Données projet'!$B$62,AI48+AH49-AQ48)))</f>
        <v>201.20153846153843</v>
      </c>
      <c r="AJ49" s="13">
        <f>AI49*VLOOKUP('Données projet'!$B$10,Paramètres!$A$1:$I$89,3,0)*VLOOKUP('Données projet'!$B$10,Paramètres!$A$1:$I$89,5,0)</f>
        <v>120.31851999999998</v>
      </c>
      <c r="AK49" s="13">
        <f t="shared" si="35"/>
        <v>31.749277388336409</v>
      </c>
      <c r="AL49" s="20">
        <f t="shared" si="4"/>
        <v>264.85141378468586</v>
      </c>
      <c r="AM49" s="59">
        <f t="shared" si="5"/>
        <v>558.18474711801923</v>
      </c>
      <c r="AN49" s="59">
        <f ca="1">AVERAGE(OFFSET($AM$3,0,0,'Données projet'!$E$10+1,1))-AVERAGE(OFFSET($H$3,0,0,'Données projet'!$E$10+1,1))</f>
        <v>122.69576746316494</v>
      </c>
      <c r="AO49" s="59">
        <f t="shared" si="36"/>
        <v>103.29025722669985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10.110490954514242</v>
      </c>
      <c r="AW49" s="21">
        <f>EXP(-LN(2)/2)*AW48+(1-EXP(-LN(2)/2))/(LN(2)/2)*AQ49*AT49*VLOOKUP('Données projet'!$B$10,Paramètres!$A$1:$I$89,3,0)*0.475*44/12</f>
        <v>0.12170546228422843</v>
      </c>
      <c r="AX49" s="21">
        <f t="shared" si="6"/>
        <v>10.232196416798471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11.642307692307689</v>
      </c>
      <c r="BD49" s="12">
        <f>IF('Données projet'!$A$88&gt;35,BD48+BC49-BL48,IF(A49&lt;'Données projet'!$A$88,$BA$205^A49,IF(A49='Données projet'!$A$88,'Données projet'!$B$88,BD48+BC49-BL48)))</f>
        <v>261.96153846153834</v>
      </c>
      <c r="BE49" s="13">
        <f>BD49*VLOOKUP('Données projet'!$B$11,Paramètres!$A$1:$I$89,3,0)*VLOOKUP('Données projet'!$B$11,Paramètres!$A$1:$I$89,5,0)</f>
        <v>156.65299999999993</v>
      </c>
      <c r="BF49" s="13">
        <f t="shared" si="37"/>
        <v>40.0866638793565</v>
      </c>
      <c r="BG49" s="20">
        <f t="shared" si="7"/>
        <v>342.65491458987913</v>
      </c>
      <c r="BH49" s="59">
        <f t="shared" si="8"/>
        <v>635.98824792321238</v>
      </c>
      <c r="BI49" s="59">
        <f ca="1">AVERAGE(OFFSET($BH$3,0,0,'Données projet'!$E$11+1,1))-AVERAGE(OFFSET($H$3,0,0,'Données projet'!$E$11+1,1))</f>
        <v>171.96009656745713</v>
      </c>
      <c r="BJ49" s="59">
        <f t="shared" si="38"/>
        <v>172.37574906747716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1.2150538941805424</v>
      </c>
      <c r="BQ49" s="21">
        <f>EXP(-LN(2)/25)*BQ48+(1-EXP(-LN(2)/25))/(LN(2)/25)*Calculateur!BL49*Calculateur!BN49*VLOOKUP('Données projet'!$B$11,Paramètres!$A$1:$I$89,3,0)*0.475*44/12</f>
        <v>13.191674170837796</v>
      </c>
      <c r="BR49" s="21">
        <f>EXP(-LN(2)/2)*BR48+(1-EXP(-LN(2)/2))/(LN(2)/2)*BL49*BO49*VLOOKUP('Données projet'!$B$11,Paramètres!$A$1:$I$89,3,0)*0.475*44/12</f>
        <v>4.704930187393036E-2</v>
      </c>
      <c r="BS49" s="22">
        <f t="shared" si="9"/>
        <v>14.453777366892268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9.9423076923076934</v>
      </c>
      <c r="N50" s="13">
        <f>IF('Données projet'!$A$36&gt;35,N49+M50-V49,IF(A50&lt;'Données projet'!$A$36,$K$205^A50,IF(A50='Données projet'!$A$36,'Données projet'!$B$36,N49+M50-V49)))</f>
        <v>193.17307692307685</v>
      </c>
      <c r="O50" s="13">
        <f>N50*VLOOKUP('Données projet'!$B$9,Paramètres!$A$1:$I$89,3,0)*VLOOKUP('Données projet'!$B$9,Paramètres!$A$1:$I$89,5,0)</f>
        <v>174.78299999999993</v>
      </c>
      <c r="P50" s="13">
        <f t="shared" si="33"/>
        <v>44.159520456631583</v>
      </c>
      <c r="Q50" s="20">
        <f t="shared" si="53"/>
        <v>381.3248897952999</v>
      </c>
      <c r="R50" s="59">
        <f t="shared" si="0"/>
        <v>674.65822312863315</v>
      </c>
      <c r="S50" s="59">
        <f ca="1">AVERAGE(OFFSET($R$3,0,0,'Données projet'!$E$9+1,1))-AVERAGE(OFFSET($H$3,0,0,'Données projet'!$E$9+1,1))</f>
        <v>309.07357540707869</v>
      </c>
      <c r="T50" s="59">
        <f t="shared" si="34"/>
        <v>155.9593924683299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10.101538461538457</v>
      </c>
      <c r="AI50" s="13">
        <f>IF('Données projet'!$A$62&gt;35,AI49+AH50-AQ49,IF(A50&lt;'Données projet'!$A$62,$AF$205^A50,IF(A50='Données projet'!$A$62,'Données projet'!$B$62,AI49+AH50-AQ49)))</f>
        <v>211.3030769230769</v>
      </c>
      <c r="AJ50" s="13">
        <f>AI50*VLOOKUP('Données projet'!$B$10,Paramètres!$A$1:$I$89,3,0)*VLOOKUP('Données projet'!$B$10,Paramètres!$A$1:$I$89,5,0)</f>
        <v>126.35924</v>
      </c>
      <c r="AK50" s="13">
        <f t="shared" si="35"/>
        <v>33.153700861093419</v>
      </c>
      <c r="AL50" s="20">
        <f t="shared" si="4"/>
        <v>277.81837199973774</v>
      </c>
      <c r="AM50" s="59">
        <f t="shared" si="5"/>
        <v>571.15170533307105</v>
      </c>
      <c r="AN50" s="59">
        <f ca="1">AVERAGE(OFFSET($AM$3,0,0,'Données projet'!$E$10+1,1))-AVERAGE(OFFSET($H$3,0,0,'Données projet'!$E$10+1,1))</f>
        <v>122.69576746316494</v>
      </c>
      <c r="AO50" s="59">
        <f t="shared" si="36"/>
        <v>103.29025722669985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9.8340190476754383</v>
      </c>
      <c r="AW50" s="21">
        <f>EXP(-LN(2)/2)*AW49+(1-EXP(-LN(2)/2))/(LN(2)/2)*AQ50*AT50*VLOOKUP('Données projet'!$B$10,Paramètres!$A$1:$I$89,3,0)*0.475*44/12</f>
        <v>8.6058757688621534E-2</v>
      </c>
      <c r="AX50" s="21">
        <f t="shared" si="6"/>
        <v>9.920077805364059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11.642307692307689</v>
      </c>
      <c r="BD50" s="12">
        <f>IF('Données projet'!$A$88&gt;35,BD49+BC50-BL49,IF(A50&lt;'Données projet'!$A$88,$BA$205^A50,IF(A50='Données projet'!$A$88,'Données projet'!$B$88,BD49+BC50-BL49)))</f>
        <v>273.60384615384601</v>
      </c>
      <c r="BE50" s="13">
        <f>BD50*VLOOKUP('Données projet'!$B$11,Paramètres!$A$1:$I$89,3,0)*VLOOKUP('Données projet'!$B$11,Paramètres!$A$1:$I$89,5,0)</f>
        <v>163.61509999999993</v>
      </c>
      <c r="BF50" s="13">
        <f t="shared" si="37"/>
        <v>41.656847972292042</v>
      </c>
      <c r="BG50" s="20">
        <f t="shared" si="7"/>
        <v>357.51530938507517</v>
      </c>
      <c r="BH50" s="59">
        <f t="shared" si="8"/>
        <v>650.84864271840843</v>
      </c>
      <c r="BI50" s="59">
        <f ca="1">AVERAGE(OFFSET($BH$3,0,0,'Données projet'!$E$11+1,1))-AVERAGE(OFFSET($H$3,0,0,'Données projet'!$E$11+1,1))</f>
        <v>171.96009656745713</v>
      </c>
      <c r="BJ50" s="59">
        <f t="shared" si="38"/>
        <v>172.37574906747716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1.191227428425359</v>
      </c>
      <c r="BQ50" s="21">
        <f>EXP(-LN(2)/25)*BQ49+(1-EXP(-LN(2)/25))/(LN(2)/25)*Calculateur!BL50*Calculateur!BN50*VLOOKUP('Données projet'!$B$11,Paramètres!$A$1:$I$89,3,0)*0.475*44/12</f>
        <v>12.830947146916243</v>
      </c>
      <c r="BR50" s="21">
        <f>EXP(-LN(2)/2)*BR49+(1-EXP(-LN(2)/2))/(LN(2)/2)*BL50*BO50*VLOOKUP('Données projet'!$B$11,Paramètres!$A$1:$I$89,3,0)*0.475*44/12</f>
        <v>3.3268880405149096E-2</v>
      </c>
      <c r="BS50" s="22">
        <f t="shared" si="9"/>
        <v>14.055443455746751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9.9423076923076934</v>
      </c>
      <c r="N51" s="13">
        <f>IF('Données projet'!$A$36&gt;35,N50+M51-V50,IF(A51&lt;'Données projet'!$A$36,$K$205^A51,IF(A51='Données projet'!$A$36,'Données projet'!$B$36,N50+M51-V50)))</f>
        <v>203.11538461538453</v>
      </c>
      <c r="O51" s="13">
        <f>N51*VLOOKUP('Données projet'!$B$9,Paramètres!$A$1:$I$89,3,0)*VLOOKUP('Données projet'!$B$9,Paramètres!$A$1:$I$89,5,0)</f>
        <v>183.7787999999999</v>
      </c>
      <c r="P51" s="13">
        <f t="shared" si="33"/>
        <v>46.161880289388137</v>
      </c>
      <c r="Q51" s="20">
        <f t="shared" si="53"/>
        <v>400.48001817068416</v>
      </c>
      <c r="R51" s="59">
        <f t="shared" si="0"/>
        <v>693.81335150401742</v>
      </c>
      <c r="S51" s="59">
        <f ca="1">AVERAGE(OFFSET($R$3,0,0,'Données projet'!$E$9+1,1))-AVERAGE(OFFSET($H$3,0,0,'Données projet'!$E$9+1,1))</f>
        <v>309.07357540707869</v>
      </c>
      <c r="T51" s="59">
        <f t="shared" si="34"/>
        <v>155.9593924683299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10.101538461538457</v>
      </c>
      <c r="AI51" s="13">
        <f>IF('Données projet'!$A$62&gt;35,AI50+AH51-AQ50,IF(A51&lt;'Données projet'!$A$62,$AF$205^A51,IF(A51='Données projet'!$A$62,'Données projet'!$B$62,AI50+AH51-AQ50)))</f>
        <v>221.40461538461537</v>
      </c>
      <c r="AJ51" s="13">
        <f>AI51*VLOOKUP('Données projet'!$B$10,Paramètres!$A$1:$I$89,3,0)*VLOOKUP('Données projet'!$B$10,Paramètres!$A$1:$I$89,5,0)</f>
        <v>132.39995999999999</v>
      </c>
      <c r="AK51" s="13">
        <f t="shared" si="35"/>
        <v>34.55032783395712</v>
      </c>
      <c r="AL51" s="20">
        <f t="shared" si="4"/>
        <v>290.77175131080861</v>
      </c>
      <c r="AM51" s="59">
        <f t="shared" si="5"/>
        <v>584.10508464414193</v>
      </c>
      <c r="AN51" s="59">
        <f ca="1">AVERAGE(OFFSET($AM$3,0,0,'Données projet'!$E$10+1,1))-AVERAGE(OFFSET($H$3,0,0,'Données projet'!$E$10+1,1))</f>
        <v>122.69576746316494</v>
      </c>
      <c r="AO51" s="59">
        <f t="shared" si="36"/>
        <v>103.29025722669985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9.5651072796681671</v>
      </c>
      <c r="AW51" s="21">
        <f>EXP(-LN(2)/2)*AW50+(1-EXP(-LN(2)/2))/(LN(2)/2)*AQ51*AT51*VLOOKUP('Données projet'!$B$10,Paramètres!$A$1:$I$89,3,0)*0.475*44/12</f>
        <v>6.0852731142114223E-2</v>
      </c>
      <c r="AX51" s="21">
        <f t="shared" si="6"/>
        <v>9.6259600108102816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11.642307692307689</v>
      </c>
      <c r="BD51" s="12">
        <f>IF('Données projet'!$A$88&gt;35,BD50+BC51-BL50,IF(A51&lt;'Données projet'!$A$88,$BA$205^A51,IF(A51='Données projet'!$A$88,'Données projet'!$B$88,BD50+BC51-BL50)))</f>
        <v>285.24615384615367</v>
      </c>
      <c r="BE51" s="13">
        <f>BD51*VLOOKUP('Données projet'!$B$11,Paramètres!$A$1:$I$89,3,0)*VLOOKUP('Données projet'!$B$11,Paramètres!$A$1:$I$89,5,0)</f>
        <v>170.57719999999992</v>
      </c>
      <c r="BF51" s="13">
        <f t="shared" si="37"/>
        <v>43.219271671345155</v>
      </c>
      <c r="BG51" s="20">
        <f t="shared" si="7"/>
        <v>372.362188160926</v>
      </c>
      <c r="BH51" s="59">
        <f t="shared" si="8"/>
        <v>665.69552149425931</v>
      </c>
      <c r="BI51" s="59">
        <f ca="1">AVERAGE(OFFSET($BH$3,0,0,'Données projet'!$E$11+1,1))-AVERAGE(OFFSET($H$3,0,0,'Données projet'!$E$11+1,1))</f>
        <v>171.96009656745713</v>
      </c>
      <c r="BJ51" s="59">
        <f t="shared" si="38"/>
        <v>172.37574906747716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1.1678681851309256</v>
      </c>
      <c r="BQ51" s="21">
        <f>EXP(-LN(2)/25)*BQ50+(1-EXP(-LN(2)/25))/(LN(2)/25)*Calculateur!BL51*Calculateur!BN51*VLOOKUP('Données projet'!$B$11,Paramètres!$A$1:$I$89,3,0)*0.475*44/12</f>
        <v>12.480084222433634</v>
      </c>
      <c r="BR51" s="21">
        <f>EXP(-LN(2)/2)*BR50+(1-EXP(-LN(2)/2))/(LN(2)/2)*BL51*BO51*VLOOKUP('Données projet'!$B$11,Paramètres!$A$1:$I$89,3,0)*0.475*44/12</f>
        <v>2.352465093696518E-2</v>
      </c>
      <c r="BS51" s="22">
        <f t="shared" si="9"/>
        <v>13.671477058501525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9.9423076923076934</v>
      </c>
      <c r="N52" s="13">
        <f>IF('Données projet'!$A$36&gt;35,N51+M52-V51,IF(A52&lt;'Données projet'!$A$36,$K$205^A52,IF(A52='Données projet'!$A$36,'Données projet'!$B$36,N51+M52-V51)))</f>
        <v>213.05769230769221</v>
      </c>
      <c r="O52" s="13">
        <f>N52*VLOOKUP('Données projet'!$B$9,Paramètres!$A$1:$I$89,3,0)*VLOOKUP('Données projet'!$B$9,Paramètres!$A$1:$I$89,5,0)</f>
        <v>192.77459999999991</v>
      </c>
      <c r="P52" s="13">
        <f t="shared" si="33"/>
        <v>48.152858976416411</v>
      </c>
      <c r="Q52" s="20">
        <f t="shared" si="53"/>
        <v>419.6153243839251</v>
      </c>
      <c r="R52" s="59">
        <f t="shared" si="0"/>
        <v>712.94865771725836</v>
      </c>
      <c r="S52" s="59">
        <f ca="1">AVERAGE(OFFSET($R$3,0,0,'Données projet'!$E$9+1,1))-AVERAGE(OFFSET($H$3,0,0,'Données projet'!$E$9+1,1))</f>
        <v>309.07357540707869</v>
      </c>
      <c r="T52" s="59">
        <f t="shared" si="34"/>
        <v>155.9593924683299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10.101538461538457</v>
      </c>
      <c r="AI52" s="13">
        <f>IF('Données projet'!$A$62&gt;35,AI51+AH52-AQ51,IF(A52&lt;'Données projet'!$A$62,$AF$205^A52,IF(A52='Données projet'!$A$62,'Données projet'!$B$62,AI51+AH52-AQ51)))</f>
        <v>231.50615384615384</v>
      </c>
      <c r="AJ52" s="13">
        <f>AI52*VLOOKUP('Données projet'!$B$10,Paramètres!$A$1:$I$89,3,0)*VLOOKUP('Données projet'!$B$10,Paramètres!$A$1:$I$89,5,0)</f>
        <v>138.44067999999999</v>
      </c>
      <c r="AK52" s="13">
        <f t="shared" si="35"/>
        <v>35.939554654027752</v>
      </c>
      <c r="AL52" s="20">
        <f t="shared" si="4"/>
        <v>303.71224202243161</v>
      </c>
      <c r="AM52" s="59">
        <f t="shared" si="5"/>
        <v>597.04557535576487</v>
      </c>
      <c r="AN52" s="59">
        <f ca="1">AVERAGE(OFFSET($AM$3,0,0,'Données projet'!$E$10+1,1))-AVERAGE(OFFSET($H$3,0,0,'Données projet'!$E$10+1,1))</f>
        <v>122.69576746316494</v>
      </c>
      <c r="AO52" s="59">
        <f t="shared" si="36"/>
        <v>103.29025722669985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9.3035489180985103</v>
      </c>
      <c r="AW52" s="21">
        <f>EXP(-LN(2)/2)*AW51+(1-EXP(-LN(2)/2))/(LN(2)/2)*AQ52*AT52*VLOOKUP('Données projet'!$B$10,Paramètres!$A$1:$I$89,3,0)*0.475*44/12</f>
        <v>4.3029378844310774E-2</v>
      </c>
      <c r="AX52" s="21">
        <f t="shared" si="6"/>
        <v>9.3465782969428215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11.642307692307689</v>
      </c>
      <c r="BD52" s="12">
        <f>IF('Données projet'!$A$88&gt;35,BD51+BC52-BL51,IF(A52&lt;'Données projet'!$A$88,$BA$205^A52,IF(A52='Données projet'!$A$88,'Données projet'!$B$88,BD51+BC52-BL51)))</f>
        <v>296.88846153846134</v>
      </c>
      <c r="BE52" s="13">
        <f>BD52*VLOOKUP('Données projet'!$B$11,Paramètres!$A$1:$I$89,3,0)*VLOOKUP('Données projet'!$B$11,Paramètres!$A$1:$I$89,5,0)</f>
        <v>177.53929999999991</v>
      </c>
      <c r="BF52" s="13">
        <f t="shared" si="37"/>
        <v>44.774287946301975</v>
      </c>
      <c r="BG52" s="20">
        <f t="shared" si="7"/>
        <v>387.1961656731425</v>
      </c>
      <c r="BH52" s="59">
        <f t="shared" si="8"/>
        <v>680.52949900647582</v>
      </c>
      <c r="BI52" s="59">
        <f ca="1">AVERAGE(OFFSET($BH$3,0,0,'Données projet'!$E$11+1,1))-AVERAGE(OFFSET($H$3,0,0,'Données projet'!$E$11+1,1))</f>
        <v>171.96009656745713</v>
      </c>
      <c r="BJ52" s="59">
        <f t="shared" si="38"/>
        <v>172.37574906747716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1.1449670023497645</v>
      </c>
      <c r="BQ52" s="21">
        <f>EXP(-LN(2)/25)*BQ51+(1-EXP(-LN(2)/25))/(LN(2)/25)*Calculateur!BL52*Calculateur!BN52*VLOOKUP('Données projet'!$B$11,Paramètres!$A$1:$I$89,3,0)*0.475*44/12</f>
        <v>12.13881566307208</v>
      </c>
      <c r="BR52" s="21">
        <f>EXP(-LN(2)/2)*BR51+(1-EXP(-LN(2)/2))/(LN(2)/2)*BL52*BO52*VLOOKUP('Données projet'!$B$11,Paramètres!$A$1:$I$89,3,0)*0.475*44/12</f>
        <v>1.6634440202574548E-2</v>
      </c>
      <c r="BS52" s="22">
        <f t="shared" si="9"/>
        <v>13.300417105624419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223</v>
      </c>
      <c r="L53" s="12">
        <f>VLOOKUP(A53,'Données projet'!$A$35:$I$55,9,0)</f>
        <v>9.9423076923076934</v>
      </c>
      <c r="M53" s="12">
        <f t="array" ref="M53">INDEX(L:L,MIN(IF(ISNUMBER(L53:L249),ROW(L53:L249),"")))</f>
        <v>9.9423076923076934</v>
      </c>
      <c r="N53" s="13">
        <f>IF('Données projet'!$A$36&gt;35,N52+M53-V52,IF(A53&lt;'Données projet'!$A$36,$K$205^A53,IF(A53='Données projet'!$A$36,'Données projet'!$B$36,N52+M53-V52)))</f>
        <v>222.99999999999989</v>
      </c>
      <c r="O53" s="13">
        <f>N53*VLOOKUP('Données projet'!$B$9,Paramètres!$A$1:$I$89,3,0)*VLOOKUP('Données projet'!$B$9,Paramètres!$A$1:$I$89,5,0)</f>
        <v>201.77039999999988</v>
      </c>
      <c r="P53" s="13">
        <f t="shared" si="33"/>
        <v>50.133048269036053</v>
      </c>
      <c r="Q53" s="20">
        <f t="shared" si="53"/>
        <v>438.73183906857093</v>
      </c>
      <c r="R53" s="59">
        <f t="shared" si="0"/>
        <v>732.06517240190419</v>
      </c>
      <c r="S53" s="59">
        <f ca="1">AVERAGE(OFFSET($R$3,0,0,'Données projet'!$E$9+1,1))-AVERAGE(OFFSET($H$3,0,0,'Données projet'!$E$9+1,1))</f>
        <v>309.07357540707869</v>
      </c>
      <c r="T53" s="59">
        <f t="shared" si="34"/>
        <v>155.9593924683299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52.282051282051285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241.60769230769228</v>
      </c>
      <c r="AG53" s="12">
        <f>VLOOKUP(A53,'Données projet'!$A$61:$I$81,9,0)</f>
        <v>10.101538461538457</v>
      </c>
      <c r="AH53" s="12">
        <f t="array" ref="AH53">INDEX(AG:AG,MIN(IF(ISNUMBER(AG53:AG249),ROW(AG53:AG249),"")))</f>
        <v>10.101538461538457</v>
      </c>
      <c r="AI53" s="13">
        <f>IF('Données projet'!$A$62&gt;35,AI52+AH53-AQ52,IF(A53&lt;'Données projet'!$A$62,$AF$205^A53,IF(A53='Données projet'!$A$62,'Données projet'!$B$62,AI52+AH53-AQ52)))</f>
        <v>241.6076923076923</v>
      </c>
      <c r="AJ53" s="13">
        <f>AI53*VLOOKUP('Données projet'!$B$10,Paramètres!$A$1:$I$89,3,0)*VLOOKUP('Données projet'!$B$10,Paramètres!$A$1:$I$89,5,0)</f>
        <v>144.48140000000001</v>
      </c>
      <c r="AK53" s="13">
        <f t="shared" si="35"/>
        <v>37.321741124084674</v>
      </c>
      <c r="AL53" s="20">
        <f t="shared" si="4"/>
        <v>316.64047079111413</v>
      </c>
      <c r="AM53" s="59">
        <f t="shared" si="5"/>
        <v>609.9738041244475</v>
      </c>
      <c r="AN53" s="59">
        <f ca="1">AVERAGE(OFFSET($AM$3,0,0,'Données projet'!$E$10+1,1))-AVERAGE(OFFSET($H$3,0,0,'Données projet'!$E$10+1,1))</f>
        <v>122.69576746316494</v>
      </c>
      <c r="AO53" s="59">
        <f t="shared" si="36"/>
        <v>103.29025722669985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55.676923076923075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9.0491428836807319</v>
      </c>
      <c r="AW53" s="21">
        <f>EXP(-LN(2)/2)*AW52+(1-EXP(-LN(2)/2))/(LN(2)/2)*AQ53*AT53*VLOOKUP('Données projet'!$B$10,Paramètres!$A$1:$I$89,3,0)*0.475*44/12</f>
        <v>3.0426365571057119E-2</v>
      </c>
      <c r="AX53" s="21">
        <f t="shared" si="6"/>
        <v>9.0795692492517883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11.642307692307689</v>
      </c>
      <c r="BD53" s="12">
        <f>IF('Données projet'!$A$88&gt;35,BD52+BC53-BL52,IF(A53&lt;'Données projet'!$A$88,$BA$205^A53,IF(A53='Données projet'!$A$88,'Données projet'!$B$88,BD52+BC53-BL52)))</f>
        <v>308.53076923076901</v>
      </c>
      <c r="BE53" s="13">
        <f>BD53*VLOOKUP('Données projet'!$B$11,Paramètres!$A$1:$I$89,3,0)*VLOOKUP('Données projet'!$B$11,Paramètres!$A$1:$I$89,5,0)</f>
        <v>184.5013999999999</v>
      </c>
      <c r="BF53" s="13">
        <f t="shared" si="37"/>
        <v>46.322220516606542</v>
      </c>
      <c r="BG53" s="20">
        <f t="shared" si="7"/>
        <v>402.01780573308952</v>
      </c>
      <c r="BH53" s="59">
        <f t="shared" si="8"/>
        <v>695.35113906642277</v>
      </c>
      <c r="BI53" s="59">
        <f ca="1">AVERAGE(OFFSET($BH$3,0,0,'Données projet'!$E$11+1,1))-AVERAGE(OFFSET($H$3,0,0,'Données projet'!$E$11+1,1))</f>
        <v>171.96009656745713</v>
      </c>
      <c r="BJ53" s="59">
        <f t="shared" si="38"/>
        <v>172.37574906747716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1.1225148977945996</v>
      </c>
      <c r="BQ53" s="21">
        <f>EXP(-LN(2)/25)*BQ52+(1-EXP(-LN(2)/25))/(LN(2)/25)*Calculateur!BL53*Calculateur!BN53*VLOOKUP('Données projet'!$B$11,Paramètres!$A$1:$I$89,3,0)*0.475*44/12</f>
        <v>11.806879110412803</v>
      </c>
      <c r="BR53" s="21">
        <f>EXP(-LN(2)/2)*BR52+(1-EXP(-LN(2)/2))/(LN(2)/2)*BL53*BO53*VLOOKUP('Données projet'!$B$11,Paramètres!$A$1:$I$89,3,0)*0.475*44/12</f>
        <v>1.176232546848259E-2</v>
      </c>
      <c r="BS53" s="22">
        <f t="shared" si="9"/>
        <v>12.941156333675886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9.6586538461538431</v>
      </c>
      <c r="N54" s="13">
        <f>IF('Données projet'!$A$36&gt;35,N53+M54-V53,IF(A54&lt;'Données projet'!$A$36,$K$205^A54,IF(A54='Données projet'!$A$36,'Données projet'!$B$36,N53+M54-V53)))</f>
        <v>180.37660256410243</v>
      </c>
      <c r="O54" s="13">
        <f>N54*VLOOKUP('Données projet'!$B$9,Paramètres!$A$1:$I$89,3,0)*VLOOKUP('Données projet'!$B$9,Paramètres!$A$1:$I$89,5,0)</f>
        <v>163.20474999999988</v>
      </c>
      <c r="P54" s="13">
        <f t="shared" si="33"/>
        <v>41.564519294689731</v>
      </c>
      <c r="Q54" s="20">
        <f t="shared" si="53"/>
        <v>356.63981068825109</v>
      </c>
      <c r="R54" s="59">
        <f t="shared" si="0"/>
        <v>649.9731440215844</v>
      </c>
      <c r="S54" s="59">
        <f ca="1">AVERAGE(OFFSET($R$3,0,0,'Données projet'!$E$9+1,1))-AVERAGE(OFFSET($H$3,0,0,'Données projet'!$E$9+1,1))</f>
        <v>309.07357540707869</v>
      </c>
      <c r="T54" s="59">
        <f t="shared" si="34"/>
        <v>155.9593924683299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8.9376923076923056</v>
      </c>
      <c r="AI54" s="13">
        <f>IF('Données projet'!$A$62&gt;35,AI53+AH54-AQ53,IF(A54&lt;'Données projet'!$A$62,$AF$205^A54,IF(A54='Données projet'!$A$62,'Données projet'!$B$62,AI53+AH54-AQ53)))</f>
        <v>194.86846153846153</v>
      </c>
      <c r="AJ54" s="13">
        <f>AI54*VLOOKUP('Données projet'!$B$10,Paramètres!$A$1:$I$89,3,0)*VLOOKUP('Données projet'!$B$10,Paramètres!$A$1:$I$89,5,0)</f>
        <v>116.53134</v>
      </c>
      <c r="AK54" s="13">
        <f t="shared" si="35"/>
        <v>30.864615448954051</v>
      </c>
      <c r="AL54" s="20">
        <f t="shared" si="4"/>
        <v>256.7146224069283</v>
      </c>
      <c r="AM54" s="59">
        <f t="shared" si="5"/>
        <v>550.04795574026161</v>
      </c>
      <c r="AN54" s="59">
        <f ca="1">AVERAGE(OFFSET($AM$3,0,0,'Données projet'!$E$10+1,1))-AVERAGE(OFFSET($H$3,0,0,'Données projet'!$E$10+1,1))</f>
        <v>122.69576746316494</v>
      </c>
      <c r="AO54" s="59">
        <f t="shared" si="36"/>
        <v>103.29025722669985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8.8016935956527398</v>
      </c>
      <c r="AW54" s="21">
        <f>EXP(-LN(2)/2)*AW53+(1-EXP(-LN(2)/2))/(LN(2)/2)*AQ54*AT54*VLOOKUP('Données projet'!$B$10,Paramètres!$A$1:$I$89,3,0)*0.475*44/12</f>
        <v>2.1514689422155391E-2</v>
      </c>
      <c r="AX54" s="21">
        <f t="shared" si="6"/>
        <v>8.8232082850748945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11.642307692307689</v>
      </c>
      <c r="BD54" s="12">
        <f>IF('Données projet'!$A$88&gt;35,BD53+BC54-BL53,IF(A54&lt;'Données projet'!$A$88,$BA$205^A54,IF(A54='Données projet'!$A$88,'Données projet'!$B$88,BD53+BC54-BL53)))</f>
        <v>320.17307692307668</v>
      </c>
      <c r="BE54" s="13">
        <f>BD54*VLOOKUP('Données projet'!$B$11,Paramètres!$A$1:$I$89,3,0)*VLOOKUP('Données projet'!$B$11,Paramètres!$A$1:$I$89,5,0)</f>
        <v>191.46349999999987</v>
      </c>
      <c r="BF54" s="13">
        <f t="shared" si="37"/>
        <v>47.863367286908087</v>
      </c>
      <c r="BG54" s="20">
        <f t="shared" si="7"/>
        <v>416.82762719136463</v>
      </c>
      <c r="BH54" s="59">
        <f t="shared" si="8"/>
        <v>710.16096052469788</v>
      </c>
      <c r="BI54" s="59">
        <f ca="1">AVERAGE(OFFSET($BH$3,0,0,'Données projet'!$E$11+1,1))-AVERAGE(OFFSET($H$3,0,0,'Données projet'!$E$11+1,1))</f>
        <v>171.96009656745713</v>
      </c>
      <c r="BJ54" s="59">
        <f t="shared" si="38"/>
        <v>172.37574906747716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1.1005030653153298</v>
      </c>
      <c r="BQ54" s="21">
        <f>EXP(-LN(2)/25)*BQ53+(1-EXP(-LN(2)/25))/(LN(2)/25)*Calculateur!BL54*Calculateur!BN54*VLOOKUP('Données projet'!$B$11,Paramètres!$A$1:$I$89,3,0)*0.475*44/12</f>
        <v>11.484019380241778</v>
      </c>
      <c r="BR54" s="21">
        <f>EXP(-LN(2)/2)*BR53+(1-EXP(-LN(2)/2))/(LN(2)/2)*BL54*BO54*VLOOKUP('Données projet'!$B$11,Paramètres!$A$1:$I$89,3,0)*0.475*44/12</f>
        <v>8.3172201012872739E-3</v>
      </c>
      <c r="BS54" s="22">
        <f t="shared" si="9"/>
        <v>12.592839665658394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9.6586538461538431</v>
      </c>
      <c r="N55" s="13">
        <f>IF('Données projet'!$A$36&gt;35,N54+M55-V54,IF(A55&lt;'Données projet'!$A$36,$K$205^A55,IF(A55='Données projet'!$A$36,'Données projet'!$B$36,N54+M55-V54)))</f>
        <v>190.03525641025627</v>
      </c>
      <c r="O55" s="13">
        <f>N55*VLOOKUP('Données projet'!$B$9,Paramètres!$A$1:$I$89,3,0)*VLOOKUP('Données projet'!$B$9,Paramètres!$A$1:$I$89,5,0)</f>
        <v>171.94389999999987</v>
      </c>
      <c r="P55" s="13">
        <f t="shared" si="33"/>
        <v>43.525104007742414</v>
      </c>
      <c r="Q55" s="20">
        <f t="shared" si="53"/>
        <v>375.2751819801511</v>
      </c>
      <c r="R55" s="59">
        <f t="shared" si="0"/>
        <v>668.60851531348442</v>
      </c>
      <c r="S55" s="59">
        <f ca="1">AVERAGE(OFFSET($R$3,0,0,'Données projet'!$E$9+1,1))-AVERAGE(OFFSET($H$3,0,0,'Données projet'!$E$9+1,1))</f>
        <v>309.07357540707869</v>
      </c>
      <c r="T55" s="59">
        <f t="shared" si="34"/>
        <v>155.9593924683299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8.9376923076923056</v>
      </c>
      <c r="AI55" s="13">
        <f>IF('Données projet'!$A$62&gt;35,AI54+AH55-AQ54,IF(A55&lt;'Données projet'!$A$62,$AF$205^A55,IF(A55='Données projet'!$A$62,'Données projet'!$B$62,AI54+AH55-AQ54)))</f>
        <v>203.80615384615385</v>
      </c>
      <c r="AJ55" s="13">
        <f>AI55*VLOOKUP('Données projet'!$B$10,Paramètres!$A$1:$I$89,3,0)*VLOOKUP('Données projet'!$B$10,Paramètres!$A$1:$I$89,5,0)</f>
        <v>121.87608000000002</v>
      </c>
      <c r="AK55" s="13">
        <f t="shared" si="35"/>
        <v>32.112168303032924</v>
      </c>
      <c r="AL55" s="20">
        <f t="shared" si="4"/>
        <v>268.19619912778239</v>
      </c>
      <c r="AM55" s="59">
        <f t="shared" si="5"/>
        <v>561.52953246111565</v>
      </c>
      <c r="AN55" s="59">
        <f ca="1">AVERAGE(OFFSET($AM$3,0,0,'Données projet'!$E$10+1,1))-AVERAGE(OFFSET($H$3,0,0,'Données projet'!$E$10+1,1))</f>
        <v>122.69576746316494</v>
      </c>
      <c r="AO55" s="59">
        <f t="shared" si="36"/>
        <v>103.29025722669985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8.561010821418666</v>
      </c>
      <c r="AW55" s="21">
        <f>EXP(-LN(2)/2)*AW54+(1-EXP(-LN(2)/2))/(LN(2)/2)*AQ55*AT55*VLOOKUP('Données projet'!$B$10,Paramètres!$A$1:$I$89,3,0)*0.475*44/12</f>
        <v>1.5213182785528561E-2</v>
      </c>
      <c r="AX55" s="21">
        <f t="shared" si="6"/>
        <v>8.5762240042041942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331.81538461538463</v>
      </c>
      <c r="BB55" s="12">
        <f>VLOOKUP(A55,'Données projet'!$A$87:$I$107,9,0)</f>
        <v>11.642307692307689</v>
      </c>
      <c r="BC55" s="12">
        <f t="array" ref="BC55">INDEX(BB:BB,MIN(IF(ISNUMBER(BB55:BB251),ROW(BB55:BB251),"")))</f>
        <v>11.642307692307689</v>
      </c>
      <c r="BD55" s="12">
        <f>IF('Données projet'!$A$88&gt;35,BD54+BC55-BL54,IF(A55&lt;'Données projet'!$A$88,$BA$205^A55,IF(A55='Données projet'!$A$88,'Données projet'!$B$88,BD54+BC55-BL54)))</f>
        <v>331.81538461538435</v>
      </c>
      <c r="BE55" s="13">
        <f>BD55*VLOOKUP('Données projet'!$B$11,Paramètres!$A$1:$I$89,3,0)*VLOOKUP('Données projet'!$B$11,Paramètres!$A$1:$I$89,5,0)</f>
        <v>198.42559999999986</v>
      </c>
      <c r="BF55" s="13">
        <f t="shared" si="37"/>
        <v>49.398003268862659</v>
      </c>
      <c r="BG55" s="20">
        <f t="shared" si="7"/>
        <v>431.62610902660225</v>
      </c>
      <c r="BH55" s="59">
        <f t="shared" si="8"/>
        <v>724.95944235993557</v>
      </c>
      <c r="BI55" s="59">
        <f ca="1">AVERAGE(OFFSET($BH$3,0,0,'Données projet'!$E$11+1,1))-AVERAGE(OFFSET($H$3,0,0,'Données projet'!$E$11+1,1))</f>
        <v>171.96009656745713</v>
      </c>
      <c r="BJ55" s="59">
        <f t="shared" si="38"/>
        <v>172.37574906747716</v>
      </c>
      <c r="BK55" s="15">
        <f>IF(ISNA(VLOOKUP(A55,'Données projet'!$A$87:$I$107,3,0)),0,VLOOKUP(A55,'Données projet'!$A$87:$I$107,3,0))</f>
        <v>6</v>
      </c>
      <c r="BL55" s="15">
        <f>IF(ISNA(VLOOKUP(A55,'Données projet'!$A$87:$I$107,4,0)),0,VLOOKUP(A55,'Données projet'!$A$87:$I$107,4,0))</f>
        <v>61.784615384615378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1.0789228714450865</v>
      </c>
      <c r="BQ55" s="21">
        <f>EXP(-LN(2)/25)*BQ54+(1-EXP(-LN(2)/25))/(LN(2)/25)*Calculateur!BL55*Calculateur!BN55*VLOOKUP('Données projet'!$B$11,Paramètres!$A$1:$I$89,3,0)*0.475*44/12</f>
        <v>11.169988266370733</v>
      </c>
      <c r="BR55" s="21">
        <f>EXP(-LN(2)/2)*BR54+(1-EXP(-LN(2)/2))/(LN(2)/2)*BL55*BO55*VLOOKUP('Données projet'!$B$11,Paramètres!$A$1:$I$89,3,0)*0.475*44/12</f>
        <v>5.881162734241295E-3</v>
      </c>
      <c r="BS55" s="22">
        <f t="shared" si="9"/>
        <v>12.254792300550061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9.6586538461538431</v>
      </c>
      <c r="N56" s="13">
        <f>IF('Données projet'!$A$36&gt;35,N55+M56-V55,IF(A56&lt;'Données projet'!$A$36,$K$205^A56,IF(A56='Données projet'!$A$36,'Données projet'!$B$36,N55+M56-V55)))</f>
        <v>199.69391025641011</v>
      </c>
      <c r="O56" s="13">
        <f>N56*VLOOKUP('Données projet'!$B$9,Paramètres!$A$1:$I$89,3,0)*VLOOKUP('Données projet'!$B$9,Paramètres!$A$1:$I$89,5,0)</f>
        <v>180.68304999999987</v>
      </c>
      <c r="P56" s="13">
        <f t="shared" si="33"/>
        <v>45.474118692283398</v>
      </c>
      <c r="Q56" s="20">
        <f t="shared" si="53"/>
        <v>393.89040213906009</v>
      </c>
      <c r="R56" s="59">
        <f t="shared" si="0"/>
        <v>687.2237354723934</v>
      </c>
      <c r="S56" s="59">
        <f ca="1">AVERAGE(OFFSET($R$3,0,0,'Données projet'!$E$9+1,1))-AVERAGE(OFFSET($H$3,0,0,'Données projet'!$E$9+1,1))</f>
        <v>309.07357540707869</v>
      </c>
      <c r="T56" s="59">
        <f t="shared" si="34"/>
        <v>155.9593924683299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8.9376923076923056</v>
      </c>
      <c r="AI56" s="13">
        <f>IF('Données projet'!$A$62&gt;35,AI55+AH56-AQ55,IF(A56&lt;'Données projet'!$A$62,$AF$205^A56,IF(A56='Données projet'!$A$62,'Données projet'!$B$62,AI55+AH56-AQ55)))</f>
        <v>212.74384615384616</v>
      </c>
      <c r="AJ56" s="13">
        <f>AI56*VLOOKUP('Données projet'!$B$10,Paramètres!$A$1:$I$89,3,0)*VLOOKUP('Données projet'!$B$10,Paramètres!$A$1:$I$89,5,0)</f>
        <v>127.22082000000002</v>
      </c>
      <c r="AK56" s="13">
        <f t="shared" si="35"/>
        <v>33.353366983355464</v>
      </c>
      <c r="AL56" s="20">
        <f t="shared" si="4"/>
        <v>279.66670899601081</v>
      </c>
      <c r="AM56" s="59">
        <f t="shared" si="5"/>
        <v>573.00004232934407</v>
      </c>
      <c r="AN56" s="59">
        <f ca="1">AVERAGE(OFFSET($AM$3,0,0,'Données projet'!$E$10+1,1))-AVERAGE(OFFSET($H$3,0,0,'Données projet'!$E$10+1,1))</f>
        <v>122.69576746316494</v>
      </c>
      <c r="AO56" s="59">
        <f t="shared" si="36"/>
        <v>103.29025722669985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8.3269095303029808</v>
      </c>
      <c r="AW56" s="21">
        <f>EXP(-LN(2)/2)*AW55+(1-EXP(-LN(2)/2))/(LN(2)/2)*AQ56*AT56*VLOOKUP('Données projet'!$B$10,Paramètres!$A$1:$I$89,3,0)*0.475*44/12</f>
        <v>1.0757344711077697E-2</v>
      </c>
      <c r="AX56" s="21">
        <f t="shared" si="6"/>
        <v>8.3376668750140581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10.433653846153845</v>
      </c>
      <c r="BD56" s="12">
        <f>IF('Données projet'!$A$88&gt;35,BD55+BC56-BL55,IF(A56&lt;'Données projet'!$A$88,$BA$205^A56,IF(A56='Données projet'!$A$88,'Données projet'!$B$88,BD55+BC56-BL55)))</f>
        <v>280.4644230769228</v>
      </c>
      <c r="BE56" s="13">
        <f>BD56*VLOOKUP('Données projet'!$B$11,Paramètres!$A$1:$I$89,3,0)*VLOOKUP('Données projet'!$B$11,Paramètres!$A$1:$I$89,5,0)</f>
        <v>167.71772499999983</v>
      </c>
      <c r="BF56" s="13">
        <f t="shared" si="37"/>
        <v>42.578468510426148</v>
      </c>
      <c r="BG56" s="20">
        <f t="shared" si="7"/>
        <v>366.26587036399184</v>
      </c>
      <c r="BH56" s="59">
        <f t="shared" si="8"/>
        <v>659.59920369732515</v>
      </c>
      <c r="BI56" s="59">
        <f ca="1">AVERAGE(OFFSET($BH$3,0,0,'Données projet'!$E$11+1,1))-AVERAGE(OFFSET($H$3,0,0,'Données projet'!$E$11+1,1))</f>
        <v>171.96009656745713</v>
      </c>
      <c r="BJ56" s="59">
        <f t="shared" si="38"/>
        <v>172.37574906747716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1.0577658520140201</v>
      </c>
      <c r="BQ56" s="21">
        <f>EXP(-LN(2)/25)*BQ55+(1-EXP(-LN(2)/25))/(LN(2)/25)*Calculateur!BL56*Calculateur!BN56*VLOOKUP('Données projet'!$B$11,Paramètres!$A$1:$I$89,3,0)*0.475*44/12</f>
        <v>10.864544349822673</v>
      </c>
      <c r="BR56" s="21">
        <f>EXP(-LN(2)/2)*BR55+(1-EXP(-LN(2)/2))/(LN(2)/2)*BL56*BO56*VLOOKUP('Données projet'!$B$11,Paramètres!$A$1:$I$89,3,0)*0.475*44/12</f>
        <v>4.1586100506436369E-3</v>
      </c>
      <c r="BS56" s="22">
        <f t="shared" si="9"/>
        <v>11.926468811887336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9.6586538461538431</v>
      </c>
      <c r="N57" s="13">
        <f>IF('Données projet'!$A$36&gt;35,N56+M57-V56,IF(A57&lt;'Données projet'!$A$36,$K$205^A57,IF(A57='Données projet'!$A$36,'Données projet'!$B$36,N56+M57-V56)))</f>
        <v>209.35256410256395</v>
      </c>
      <c r="O57" s="13">
        <f>N57*VLOOKUP('Données projet'!$B$9,Paramètres!$A$1:$I$89,3,0)*VLOOKUP('Données projet'!$B$9,Paramètres!$A$1:$I$89,5,0)</f>
        <v>189.42219999999983</v>
      </c>
      <c r="P57" s="13">
        <f t="shared" si="33"/>
        <v>47.412186840122445</v>
      </c>
      <c r="Q57" s="20">
        <f t="shared" si="53"/>
        <v>412.48655707987967</v>
      </c>
      <c r="R57" s="59">
        <f t="shared" si="0"/>
        <v>705.81989041321299</v>
      </c>
      <c r="S57" s="59">
        <f ca="1">AVERAGE(OFFSET($R$3,0,0,'Données projet'!$E$9+1,1))-AVERAGE(OFFSET($H$3,0,0,'Données projet'!$E$9+1,1))</f>
        <v>309.07357540707869</v>
      </c>
      <c r="T57" s="59">
        <f t="shared" si="34"/>
        <v>155.9593924683299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8.9376923076923056</v>
      </c>
      <c r="AI57" s="13">
        <f>IF('Données projet'!$A$62&gt;35,AI56+AH57-AQ56,IF(A57&lt;'Données projet'!$A$62,$AF$205^A57,IF(A57='Données projet'!$A$62,'Données projet'!$B$62,AI56+AH57-AQ56)))</f>
        <v>221.68153846153848</v>
      </c>
      <c r="AJ57" s="13">
        <f>AI57*VLOOKUP('Données projet'!$B$10,Paramètres!$A$1:$I$89,3,0)*VLOOKUP('Données projet'!$B$10,Paramètres!$A$1:$I$89,5,0)</f>
        <v>132.56556000000003</v>
      </c>
      <c r="AK57" s="13">
        <f t="shared" si="35"/>
        <v>34.588508962227628</v>
      </c>
      <c r="AL57" s="20">
        <f t="shared" si="4"/>
        <v>291.12667010921319</v>
      </c>
      <c r="AM57" s="59">
        <f t="shared" si="5"/>
        <v>584.46000344254651</v>
      </c>
      <c r="AN57" s="59">
        <f ca="1">AVERAGE(OFFSET($AM$3,0,0,'Données projet'!$E$10+1,1))-AVERAGE(OFFSET($H$3,0,0,'Données projet'!$E$10+1,1))</f>
        <v>122.69576746316494</v>
      </c>
      <c r="AO57" s="59">
        <f t="shared" si="36"/>
        <v>103.29025722669985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8.0992097513037056</v>
      </c>
      <c r="AW57" s="21">
        <f>EXP(-LN(2)/2)*AW56+(1-EXP(-LN(2)/2))/(LN(2)/2)*AQ57*AT57*VLOOKUP('Données projet'!$B$10,Paramètres!$A$1:$I$89,3,0)*0.475*44/12</f>
        <v>7.6065913927642823E-3</v>
      </c>
      <c r="AX57" s="21">
        <f t="shared" si="6"/>
        <v>8.1068163426964706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10.433653846153845</v>
      </c>
      <c r="BD57" s="12">
        <f>IF('Données projet'!$A$88&gt;35,BD56+BC57-BL56,IF(A57&lt;'Données projet'!$A$88,$BA$205^A57,IF(A57='Données projet'!$A$88,'Données projet'!$B$88,BD56+BC57-BL56)))</f>
        <v>290.89807692307664</v>
      </c>
      <c r="BE57" s="13">
        <f>BD57*VLOOKUP('Données projet'!$B$11,Paramètres!$A$1:$I$89,3,0)*VLOOKUP('Données projet'!$B$11,Paramètres!$A$1:$I$89,5,0)</f>
        <v>173.95704999999984</v>
      </c>
      <c r="BF57" s="13">
        <f t="shared" si="37"/>
        <v>43.975080818549294</v>
      </c>
      <c r="BG57" s="20">
        <f t="shared" si="7"/>
        <v>379.56512784230637</v>
      </c>
      <c r="BH57" s="59">
        <f t="shared" si="8"/>
        <v>672.89846117563968</v>
      </c>
      <c r="BI57" s="59">
        <f ca="1">AVERAGE(OFFSET($BH$3,0,0,'Données projet'!$E$11+1,1))-AVERAGE(OFFSET($H$3,0,0,'Données projet'!$E$11+1,1))</f>
        <v>171.96009656745713</v>
      </c>
      <c r="BJ57" s="59">
        <f t="shared" si="38"/>
        <v>172.37574906747716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1.0370237088294894</v>
      </c>
      <c r="BQ57" s="21">
        <f>EXP(-LN(2)/25)*BQ56+(1-EXP(-LN(2)/25))/(LN(2)/25)*Calculateur!BL57*Calculateur!BN57*VLOOKUP('Données projet'!$B$11,Paramètres!$A$1:$I$89,3,0)*0.475*44/12</f>
        <v>10.567452813235215</v>
      </c>
      <c r="BR57" s="21">
        <f>EXP(-LN(2)/2)*BR56+(1-EXP(-LN(2)/2))/(LN(2)/2)*BL57*BO57*VLOOKUP('Données projet'!$B$11,Paramètres!$A$1:$I$89,3,0)*0.475*44/12</f>
        <v>2.9405813671206475E-3</v>
      </c>
      <c r="BS57" s="22">
        <f t="shared" si="9"/>
        <v>11.607417103431825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9.6586538461538431</v>
      </c>
      <c r="N58" s="13">
        <f>IF('Données projet'!$A$36&gt;35,N57+M58-V57,IF(A58&lt;'Données projet'!$A$36,$K$205^A58,IF(A58='Données projet'!$A$36,'Données projet'!$B$36,N57+M58-V57)))</f>
        <v>219.01121794871779</v>
      </c>
      <c r="O58" s="13">
        <f>N58*VLOOKUP('Données projet'!$B$9,Paramètres!$A$1:$I$89,3,0)*VLOOKUP('Données projet'!$B$9,Paramètres!$A$1:$I$89,5,0)</f>
        <v>198.16134999999983</v>
      </c>
      <c r="P58" s="13">
        <f t="shared" si="33"/>
        <v>49.339871160864917</v>
      </c>
      <c r="Q58" s="20">
        <f t="shared" si="53"/>
        <v>431.06462685517272</v>
      </c>
      <c r="R58" s="59">
        <f t="shared" si="0"/>
        <v>724.39796018850598</v>
      </c>
      <c r="S58" s="59">
        <f ca="1">AVERAGE(OFFSET($R$3,0,0,'Données projet'!$E$9+1,1))-AVERAGE(OFFSET($H$3,0,0,'Données projet'!$E$9+1,1))</f>
        <v>309.07357540707869</v>
      </c>
      <c r="T58" s="59">
        <f t="shared" si="34"/>
        <v>155.9593924683299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8.9376923076923056</v>
      </c>
      <c r="AI58" s="13">
        <f>IF('Données projet'!$A$62&gt;35,AI57+AH58-AQ57,IF(A58&lt;'Données projet'!$A$62,$AF$205^A58,IF(A58='Données projet'!$A$62,'Données projet'!$B$62,AI57+AH58-AQ57)))</f>
        <v>230.6192307692308</v>
      </c>
      <c r="AJ58" s="13">
        <f>AI58*VLOOKUP('Données projet'!$B$10,Paramètres!$A$1:$I$89,3,0)*VLOOKUP('Données projet'!$B$10,Paramètres!$A$1:$I$89,5,0)</f>
        <v>137.91030000000003</v>
      </c>
      <c r="AK58" s="13">
        <f t="shared" si="35"/>
        <v>35.817866367551225</v>
      </c>
      <c r="AL58" s="20">
        <f t="shared" si="4"/>
        <v>302.5765564234851</v>
      </c>
      <c r="AM58" s="59">
        <f t="shared" si="5"/>
        <v>595.90988975681842</v>
      </c>
      <c r="AN58" s="59">
        <f ca="1">AVERAGE(OFFSET($AM$3,0,0,'Données projet'!$E$10+1,1))-AVERAGE(OFFSET($H$3,0,0,'Données projet'!$E$10+1,1))</f>
        <v>122.69576746316494</v>
      </c>
      <c r="AO58" s="59">
        <f t="shared" si="36"/>
        <v>103.29025722669985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7.8777364347353762</v>
      </c>
      <c r="AW58" s="21">
        <f>EXP(-LN(2)/2)*AW57+(1-EXP(-LN(2)/2))/(LN(2)/2)*AQ58*AT58*VLOOKUP('Données projet'!$B$10,Paramètres!$A$1:$I$89,3,0)*0.475*44/12</f>
        <v>5.3786723555388494E-3</v>
      </c>
      <c r="AX58" s="21">
        <f t="shared" si="6"/>
        <v>7.8831151070909149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10.433653846153845</v>
      </c>
      <c r="BD58" s="12">
        <f>IF('Données projet'!$A$88&gt;35,BD57+BC58-BL57,IF(A58&lt;'Données projet'!$A$88,$BA$205^A58,IF(A58='Données projet'!$A$88,'Données projet'!$B$88,BD57+BC58-BL57)))</f>
        <v>301.33173076923049</v>
      </c>
      <c r="BE58" s="13">
        <f>BD58*VLOOKUP('Données projet'!$B$11,Paramètres!$A$1:$I$89,3,0)*VLOOKUP('Données projet'!$B$11,Paramètres!$A$1:$I$89,5,0)</f>
        <v>180.19637499999985</v>
      </c>
      <c r="BF58" s="13">
        <f t="shared" si="37"/>
        <v>45.365873213127998</v>
      </c>
      <c r="BG58" s="20">
        <f t="shared" si="7"/>
        <v>392.85424897119765</v>
      </c>
      <c r="BH58" s="59">
        <f t="shared" si="8"/>
        <v>686.18758230453091</v>
      </c>
      <c r="BI58" s="59">
        <f ca="1">AVERAGE(OFFSET($BH$3,0,0,'Données projet'!$E$11+1,1))-AVERAGE(OFFSET($H$3,0,0,'Données projet'!$E$11+1,1))</f>
        <v>171.96009656745713</v>
      </c>
      <c r="BJ58" s="59">
        <f t="shared" si="38"/>
        <v>172.37574906747716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1.016688306421349</v>
      </c>
      <c r="BQ58" s="21">
        <f>EXP(-LN(2)/25)*BQ57+(1-EXP(-LN(2)/25))/(LN(2)/25)*Calculateur!BL58*Calculateur!BN58*VLOOKUP('Données projet'!$B$11,Paramètres!$A$1:$I$89,3,0)*0.475*44/12</f>
        <v>10.278485260339107</v>
      </c>
      <c r="BR58" s="21">
        <f>EXP(-LN(2)/2)*BR57+(1-EXP(-LN(2)/2))/(LN(2)/2)*BL58*BO58*VLOOKUP('Données projet'!$B$11,Paramètres!$A$1:$I$89,3,0)*0.475*44/12</f>
        <v>2.0793050253218185E-3</v>
      </c>
      <c r="BS58" s="22">
        <f t="shared" si="9"/>
        <v>11.297252871785778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9.6586538461538431</v>
      </c>
      <c r="N59" s="13">
        <f>IF('Données projet'!$A$36&gt;35,N58+M59-V58,IF(A59&lt;'Données projet'!$A$36,$K$205^A59,IF(A59='Données projet'!$A$36,'Données projet'!$B$36,N58+M59-V58)))</f>
        <v>228.66987179487163</v>
      </c>
      <c r="O59" s="13">
        <f>N59*VLOOKUP('Données projet'!$B$9,Paramètres!$A$1:$I$89,3,0)*VLOOKUP('Données projet'!$B$9,Paramètres!$A$1:$I$89,5,0)</f>
        <v>206.90049999999985</v>
      </c>
      <c r="P59" s="13">
        <f t="shared" si="33"/>
        <v>51.257681925484725</v>
      </c>
      <c r="Q59" s="20">
        <f t="shared" si="53"/>
        <v>449.62550018688563</v>
      </c>
      <c r="R59" s="59">
        <f t="shared" si="0"/>
        <v>742.95883352021895</v>
      </c>
      <c r="S59" s="59">
        <f ca="1">AVERAGE(OFFSET($R$3,0,0,'Données projet'!$E$9+1,1))-AVERAGE(OFFSET($H$3,0,0,'Données projet'!$E$9+1,1))</f>
        <v>309.07357540707869</v>
      </c>
      <c r="T59" s="59">
        <f t="shared" si="34"/>
        <v>155.9593924683299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8.9376923076923056</v>
      </c>
      <c r="AI59" s="13">
        <f>IF('Données projet'!$A$62&gt;35,AI58+AH59-AQ58,IF(A59&lt;'Données projet'!$A$62,$AF$205^A59,IF(A59='Données projet'!$A$62,'Données projet'!$B$62,AI58+AH59-AQ58)))</f>
        <v>239.55692307692311</v>
      </c>
      <c r="AJ59" s="13">
        <f>AI59*VLOOKUP('Données projet'!$B$10,Paramètres!$A$1:$I$89,3,0)*VLOOKUP('Données projet'!$B$10,Paramètres!$A$1:$I$89,5,0)</f>
        <v>143.25504000000004</v>
      </c>
      <c r="AK59" s="13">
        <f t="shared" si="35"/>
        <v>37.041689040099591</v>
      </c>
      <c r="AL59" s="20">
        <f t="shared" si="4"/>
        <v>314.0168030781735</v>
      </c>
      <c r="AM59" s="59">
        <f t="shared" si="5"/>
        <v>607.35013641150681</v>
      </c>
      <c r="AN59" s="59">
        <f ca="1">AVERAGE(OFFSET($AM$3,0,0,'Données projet'!$E$10+1,1))-AVERAGE(OFFSET($H$3,0,0,'Données projet'!$E$10+1,1))</f>
        <v>122.69576746316494</v>
      </c>
      <c r="AO59" s="59">
        <f t="shared" si="36"/>
        <v>103.29025722669985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7.662319317655383</v>
      </c>
      <c r="AW59" s="21">
        <f>EXP(-LN(2)/2)*AW58+(1-EXP(-LN(2)/2))/(LN(2)/2)*AQ59*AT59*VLOOKUP('Données projet'!$B$10,Paramètres!$A$1:$I$89,3,0)*0.475*44/12</f>
        <v>3.8032956963821416E-3</v>
      </c>
      <c r="AX59" s="21">
        <f t="shared" si="6"/>
        <v>7.6661226133517655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10.433653846153845</v>
      </c>
      <c r="BD59" s="12">
        <f>IF('Données projet'!$A$88&gt;35,BD58+BC59-BL58,IF(A59&lt;'Données projet'!$A$88,$BA$205^A59,IF(A59='Données projet'!$A$88,'Données projet'!$B$88,BD58+BC59-BL58)))</f>
        <v>311.76538461538433</v>
      </c>
      <c r="BE59" s="13">
        <f>BD59*VLOOKUP('Données projet'!$B$11,Paramètres!$A$1:$I$89,3,0)*VLOOKUP('Données projet'!$B$11,Paramètres!$A$1:$I$89,5,0)</f>
        <v>186.43569999999985</v>
      </c>
      <c r="BF59" s="13">
        <f t="shared" si="37"/>
        <v>46.751070304344353</v>
      </c>
      <c r="BG59" s="20">
        <f t="shared" si="7"/>
        <v>406.13362494673282</v>
      </c>
      <c r="BH59" s="59">
        <f t="shared" si="8"/>
        <v>699.46695828006614</v>
      </c>
      <c r="BI59" s="59">
        <f ca="1">AVERAGE(OFFSET($BH$3,0,0,'Données projet'!$E$11+1,1))-AVERAGE(OFFSET($H$3,0,0,'Données projet'!$E$11+1,1))</f>
        <v>171.96009656745713</v>
      </c>
      <c r="BJ59" s="59">
        <f t="shared" si="38"/>
        <v>172.37574906747716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0.99675166885106159</v>
      </c>
      <c r="BQ59" s="21">
        <f>EXP(-LN(2)/25)*BQ58+(1-EXP(-LN(2)/25))/(LN(2)/25)*Calculateur!BL59*Calculateur!BN59*VLOOKUP('Données projet'!$B$11,Paramètres!$A$1:$I$89,3,0)*0.475*44/12</f>
        <v>9.9974195403730857</v>
      </c>
      <c r="BR59" s="21">
        <f>EXP(-LN(2)/2)*BR58+(1-EXP(-LN(2)/2))/(LN(2)/2)*BL59*BO59*VLOOKUP('Données projet'!$B$11,Paramètres!$A$1:$I$89,3,0)*0.475*44/12</f>
        <v>1.4702906835603238E-3</v>
      </c>
      <c r="BS59" s="22">
        <f t="shared" si="9"/>
        <v>10.995641499907707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9.6586538461538431</v>
      </c>
      <c r="N60" s="13">
        <f>IF('Données projet'!$A$36&gt;35,N59+M60-V59,IF(A60&lt;'Données projet'!$A$36,$K$205^A60,IF(A60='Données projet'!$A$36,'Données projet'!$B$36,N59+M60-V59)))</f>
        <v>238.32852564102546</v>
      </c>
      <c r="O60" s="13">
        <f>N60*VLOOKUP('Données projet'!$B$9,Paramètres!$A$1:$I$89,3,0)*VLOOKUP('Données projet'!$B$9,Paramètres!$A$1:$I$89,5,0)</f>
        <v>215.63964999999985</v>
      </c>
      <c r="P60" s="13">
        <f t="shared" si="33"/>
        <v>53.166083860481116</v>
      </c>
      <c r="Q60" s="20">
        <f t="shared" si="53"/>
        <v>468.16998647367103</v>
      </c>
      <c r="R60" s="59">
        <f t="shared" si="0"/>
        <v>761.50331980700435</v>
      </c>
      <c r="S60" s="59">
        <f ca="1">AVERAGE(OFFSET($R$3,0,0,'Données projet'!$E$9+1,1))-AVERAGE(OFFSET($H$3,0,0,'Données projet'!$E$9+1,1))</f>
        <v>309.07357540707869</v>
      </c>
      <c r="T60" s="59">
        <f t="shared" si="34"/>
        <v>155.9593924683299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8.9376923076923056</v>
      </c>
      <c r="AI60" s="13">
        <f>IF('Données projet'!$A$62&gt;35,AI59+AH60-AQ59,IF(A60&lt;'Données projet'!$A$62,$AF$205^A60,IF(A60='Données projet'!$A$62,'Données projet'!$B$62,AI59+AH60-AQ59)))</f>
        <v>248.49461538461543</v>
      </c>
      <c r="AJ60" s="13">
        <f>AI60*VLOOKUP('Données projet'!$B$10,Paramètres!$A$1:$I$89,3,0)*VLOOKUP('Données projet'!$B$10,Paramètres!$A$1:$I$89,5,0)</f>
        <v>148.59978000000004</v>
      </c>
      <c r="AK60" s="13">
        <f t="shared" si="35"/>
        <v>38.260207121707367</v>
      </c>
      <c r="AL60" s="20">
        <f t="shared" si="4"/>
        <v>325.44781090364035</v>
      </c>
      <c r="AM60" s="59">
        <f t="shared" si="5"/>
        <v>618.78114423697366</v>
      </c>
      <c r="AN60" s="59">
        <f ca="1">AVERAGE(OFFSET($AM$3,0,0,'Données projet'!$E$10+1,1))-AVERAGE(OFFSET($H$3,0,0,'Données projet'!$E$10+1,1))</f>
        <v>122.69576746316494</v>
      </c>
      <c r="AO60" s="59">
        <f t="shared" si="36"/>
        <v>103.29025722669985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7.4527927929702358</v>
      </c>
      <c r="AW60" s="21">
        <f>EXP(-LN(2)/2)*AW59+(1-EXP(-LN(2)/2))/(LN(2)/2)*AQ60*AT60*VLOOKUP('Données projet'!$B$10,Paramètres!$A$1:$I$89,3,0)*0.475*44/12</f>
        <v>2.6893361777694251E-3</v>
      </c>
      <c r="AX60" s="21">
        <f t="shared" si="6"/>
        <v>7.4554821291480051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10.433653846153845</v>
      </c>
      <c r="BD60" s="12">
        <f>IF('Données projet'!$A$88&gt;35,BD59+BC60-BL59,IF(A60&lt;'Données projet'!$A$88,$BA$205^A60,IF(A60='Données projet'!$A$88,'Données projet'!$B$88,BD59+BC60-BL59)))</f>
        <v>322.19903846153818</v>
      </c>
      <c r="BE60" s="13">
        <f>BD60*VLOOKUP('Données projet'!$B$11,Paramètres!$A$1:$I$89,3,0)*VLOOKUP('Données projet'!$B$11,Paramètres!$A$1:$I$89,5,0)</f>
        <v>192.67502499999983</v>
      </c>
      <c r="BF60" s="13">
        <f t="shared" si="37"/>
        <v>48.130880815569739</v>
      </c>
      <c r="BG60" s="20">
        <f t="shared" si="7"/>
        <v>419.40361929545037</v>
      </c>
      <c r="BH60" s="59">
        <f t="shared" si="8"/>
        <v>712.73695262878368</v>
      </c>
      <c r="BI60" s="59">
        <f ca="1">AVERAGE(OFFSET($BH$3,0,0,'Données projet'!$E$11+1,1))-AVERAGE(OFFSET($H$3,0,0,'Données projet'!$E$11+1,1))</f>
        <v>171.96009656745713</v>
      </c>
      <c r="BJ60" s="59">
        <f t="shared" si="38"/>
        <v>172.37574906747716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0.97720597658337938</v>
      </c>
      <c r="BQ60" s="21">
        <f>EXP(-LN(2)/25)*BQ59+(1-EXP(-LN(2)/25))/(LN(2)/25)*Calculateur!BL60*Calculateur!BN60*VLOOKUP('Données projet'!$B$11,Paramètres!$A$1:$I$89,3,0)*0.475*44/12</f>
        <v>9.7240395773001396</v>
      </c>
      <c r="BR60" s="21">
        <f>EXP(-LN(2)/2)*BR59+(1-EXP(-LN(2)/2))/(LN(2)/2)*BL60*BO60*VLOOKUP('Données projet'!$B$11,Paramètres!$A$1:$I$89,3,0)*0.475*44/12</f>
        <v>1.0396525126609092E-3</v>
      </c>
      <c r="BS60" s="22">
        <f t="shared" si="9"/>
        <v>10.70228520639618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247.98717948717947</v>
      </c>
      <c r="L61" s="12">
        <f>VLOOKUP(A61,'Données projet'!$A$35:$I$55,9,0)</f>
        <v>9.6586538461538431</v>
      </c>
      <c r="M61" s="12">
        <f t="array" ref="M61">INDEX(L:L,MIN(IF(ISNUMBER(L61:L257),ROW(L61:L257),"")))</f>
        <v>9.6586538461538431</v>
      </c>
      <c r="N61" s="13">
        <f>IF('Données projet'!$A$36&gt;35,N60+M61-V60,IF(A61&lt;'Données projet'!$A$36,$K$205^A61,IF(A61='Données projet'!$A$36,'Données projet'!$B$36,N60+M61-V60)))</f>
        <v>247.9871794871793</v>
      </c>
      <c r="O61" s="13">
        <f>N61*VLOOKUP('Données projet'!$B$9,Paramètres!$A$1:$I$89,3,0)*VLOOKUP('Données projet'!$B$9,Paramètres!$A$1:$I$89,5,0)</f>
        <v>224.37879999999984</v>
      </c>
      <c r="P61" s="13">
        <f t="shared" si="33"/>
        <v>55.065501892979434</v>
      </c>
      <c r="Q61" s="20">
        <f t="shared" si="53"/>
        <v>486.69882579693893</v>
      </c>
      <c r="R61" s="59">
        <f t="shared" si="0"/>
        <v>780.03215913027225</v>
      </c>
      <c r="S61" s="59">
        <f ca="1">AVERAGE(OFFSET($R$3,0,0,'Données projet'!$E$9+1,1))-AVERAGE(OFFSET($H$3,0,0,'Données projet'!$E$9+1,1))</f>
        <v>309.07357540707869</v>
      </c>
      <c r="T61" s="59">
        <f t="shared" si="34"/>
        <v>155.9593924683299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47.467948717948715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8.9376923076923056</v>
      </c>
      <c r="AI61" s="13">
        <f>IF('Données projet'!$A$62&gt;35,AI60+AH61-AQ60,IF(A61&lt;'Données projet'!$A$62,$AF$205^A61,IF(A61='Données projet'!$A$62,'Données projet'!$B$62,AI60+AH61-AQ60)))</f>
        <v>257.43230769230775</v>
      </c>
      <c r="AJ61" s="13">
        <f>AI61*VLOOKUP('Données projet'!$B$10,Paramètres!$A$1:$I$89,3,0)*VLOOKUP('Données projet'!$B$10,Paramètres!$A$1:$I$89,5,0)</f>
        <v>153.94452000000004</v>
      </c>
      <c r="AK61" s="13">
        <f t="shared" si="35"/>
        <v>39.473633260634188</v>
      </c>
      <c r="AL61" s="20">
        <f t="shared" si="4"/>
        <v>336.86995026227123</v>
      </c>
      <c r="AM61" s="59">
        <f t="shared" si="5"/>
        <v>630.20328359560449</v>
      </c>
      <c r="AN61" s="59">
        <f ca="1">AVERAGE(OFFSET($AM$3,0,0,'Données projet'!$E$10+1,1))-AVERAGE(OFFSET($H$3,0,0,'Données projet'!$E$10+1,1))</f>
        <v>122.69576746316494</v>
      </c>
      <c r="AO61" s="59">
        <f t="shared" si="36"/>
        <v>103.29025722669985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7.2489957821211251</v>
      </c>
      <c r="AW61" s="21">
        <f>EXP(-LN(2)/2)*AW60+(1-EXP(-LN(2)/2))/(LN(2)/2)*AQ61*AT61*VLOOKUP('Données projet'!$B$10,Paramètres!$A$1:$I$89,3,0)*0.475*44/12</f>
        <v>1.901647848191071E-3</v>
      </c>
      <c r="AX61" s="21">
        <f t="shared" si="6"/>
        <v>7.2508974299693163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10.433653846153845</v>
      </c>
      <c r="BD61" s="12">
        <f>IF('Données projet'!$A$88&gt;35,BD60+BC61-BL60,IF(A61&lt;'Données projet'!$A$88,$BA$205^A61,IF(A61='Données projet'!$A$88,'Données projet'!$B$88,BD60+BC61-BL60)))</f>
        <v>332.63269230769203</v>
      </c>
      <c r="BE61" s="13">
        <f>BD61*VLOOKUP('Données projet'!$B$11,Paramètres!$A$1:$I$89,3,0)*VLOOKUP('Données projet'!$B$11,Paramètres!$A$1:$I$89,5,0)</f>
        <v>198.91434999999984</v>
      </c>
      <c r="BF61" s="13">
        <f t="shared" si="37"/>
        <v>49.505499184742547</v>
      </c>
      <c r="BG61" s="20">
        <f t="shared" si="7"/>
        <v>432.66457066342628</v>
      </c>
      <c r="BH61" s="59">
        <f t="shared" si="8"/>
        <v>725.99790399675953</v>
      </c>
      <c r="BI61" s="59">
        <f ca="1">AVERAGE(OFFSET($BH$3,0,0,'Données projet'!$E$11+1,1))-AVERAGE(OFFSET($H$3,0,0,'Données projet'!$E$11+1,1))</f>
        <v>171.96009656745713</v>
      </c>
      <c r="BJ61" s="59">
        <f t="shared" si="38"/>
        <v>172.37574906747716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0.95804356341937125</v>
      </c>
      <c r="BQ61" s="21">
        <f>EXP(-LN(2)/25)*BQ60+(1-EXP(-LN(2)/25))/(LN(2)/25)*Calculateur!BL61*Calculateur!BN61*VLOOKUP('Données projet'!$B$11,Paramètres!$A$1:$I$89,3,0)*0.475*44/12</f>
        <v>9.4581352036938497</v>
      </c>
      <c r="BR61" s="21">
        <f>EXP(-LN(2)/2)*BR60+(1-EXP(-LN(2)/2))/(LN(2)/2)*BL61*BO61*VLOOKUP('Données projet'!$B$11,Paramètres!$A$1:$I$89,3,0)*0.475*44/12</f>
        <v>7.3514534178016188E-4</v>
      </c>
      <c r="BS61" s="22">
        <f t="shared" si="9"/>
        <v>10.416913912455001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9.2219551282051242</v>
      </c>
      <c r="N62" s="13">
        <f>IF('Données projet'!$A$36&gt;35,N61+M62-V61,IF(A62&lt;'Données projet'!$A$36,$K$205^A62,IF(A62='Données projet'!$A$36,'Données projet'!$B$36,N61+M62-V61)))</f>
        <v>209.74118589743568</v>
      </c>
      <c r="O62" s="13">
        <f>N62*VLOOKUP('Données projet'!$B$9,Paramètres!$A$1:$I$89,3,0)*VLOOKUP('Données projet'!$B$9,Paramètres!$A$1:$I$89,5,0)</f>
        <v>189.77382499999979</v>
      </c>
      <c r="P62" s="13">
        <f t="shared" si="33"/>
        <v>47.489945304141962</v>
      </c>
      <c r="Q62" s="20">
        <f t="shared" si="53"/>
        <v>413.23439994638017</v>
      </c>
      <c r="R62" s="59">
        <f t="shared" si="0"/>
        <v>706.56773327971348</v>
      </c>
      <c r="S62" s="59">
        <f ca="1">AVERAGE(OFFSET($R$3,0,0,'Données projet'!$E$9+1,1))-AVERAGE(OFFSET($H$3,0,0,'Données projet'!$E$9+1,1))</f>
        <v>309.07357540707869</v>
      </c>
      <c r="T62" s="59">
        <f t="shared" si="34"/>
        <v>155.9593924683299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8.9376923076923056</v>
      </c>
      <c r="AI62" s="13">
        <f>IF('Données projet'!$A$62&gt;35,AI61+AH62-AQ61,IF(A62&lt;'Données projet'!$A$62,$AF$205^A62,IF(A62='Données projet'!$A$62,'Données projet'!$B$62,AI61+AH62-AQ61)))</f>
        <v>266.37000000000006</v>
      </c>
      <c r="AJ62" s="13">
        <f>AI62*VLOOKUP('Données projet'!$B$10,Paramètres!$A$1:$I$89,3,0)*VLOOKUP('Données projet'!$B$10,Paramètres!$A$1:$I$89,5,0)</f>
        <v>159.28926000000004</v>
      </c>
      <c r="AK62" s="13">
        <f t="shared" si="35"/>
        <v>40.682164502055365</v>
      </c>
      <c r="AL62" s="20">
        <f t="shared" si="4"/>
        <v>348.28356434107985</v>
      </c>
      <c r="AM62" s="59">
        <f t="shared" si="5"/>
        <v>641.61689767441317</v>
      </c>
      <c r="AN62" s="59">
        <f ca="1">AVERAGE(OFFSET($AM$3,0,0,'Données projet'!$E$10+1,1))-AVERAGE(OFFSET($H$3,0,0,'Données projet'!$E$10+1,1))</f>
        <v>122.69576746316494</v>
      </c>
      <c r="AO62" s="59">
        <f t="shared" si="36"/>
        <v>103.29025722669985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7.0507716112509025</v>
      </c>
      <c r="AW62" s="21">
        <f>EXP(-LN(2)/2)*AW61+(1-EXP(-LN(2)/2))/(LN(2)/2)*AQ62*AT62*VLOOKUP('Données projet'!$B$10,Paramètres!$A$1:$I$89,3,0)*0.475*44/12</f>
        <v>1.3446680888847128E-3</v>
      </c>
      <c r="AX62" s="21">
        <f t="shared" si="6"/>
        <v>7.0521162793397876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10.433653846153845</v>
      </c>
      <c r="BD62" s="12">
        <f>IF('Données projet'!$A$88&gt;35,BD61+BC62-BL61,IF(A62&lt;'Données projet'!$A$88,$BA$205^A62,IF(A62='Données projet'!$A$88,'Données projet'!$B$88,BD61+BC62-BL61)))</f>
        <v>343.06634615384587</v>
      </c>
      <c r="BE62" s="13">
        <f>BD62*VLOOKUP('Données projet'!$B$11,Paramètres!$A$1:$I$89,3,0)*VLOOKUP('Données projet'!$B$11,Paramètres!$A$1:$I$89,5,0)</f>
        <v>205.15367499999985</v>
      </c>
      <c r="BF62" s="13">
        <f t="shared" si="37"/>
        <v>50.875106959180371</v>
      </c>
      <c r="BG62" s="20">
        <f t="shared" si="7"/>
        <v>445.91679524557213</v>
      </c>
      <c r="BH62" s="59">
        <f t="shared" si="8"/>
        <v>739.25012857890545</v>
      </c>
      <c r="BI62" s="59">
        <f ca="1">AVERAGE(OFFSET($BH$3,0,0,'Données projet'!$E$11+1,1))-AVERAGE(OFFSET($H$3,0,0,'Données projet'!$E$11+1,1))</f>
        <v>171.96009656745713</v>
      </c>
      <c r="BJ62" s="59">
        <f t="shared" si="38"/>
        <v>172.37574906747716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0.93925691348959139</v>
      </c>
      <c r="BQ62" s="21">
        <f>EXP(-LN(2)/25)*BQ61+(1-EXP(-LN(2)/25))/(LN(2)/25)*Calculateur!BL62*Calculateur!BN62*VLOOKUP('Données projet'!$B$11,Paramètres!$A$1:$I$89,3,0)*0.475*44/12</f>
        <v>9.1995019991671274</v>
      </c>
      <c r="BR62" s="21">
        <f>EXP(-LN(2)/2)*BR61+(1-EXP(-LN(2)/2))/(LN(2)/2)*BL62*BO62*VLOOKUP('Données projet'!$B$11,Paramètres!$A$1:$I$89,3,0)*0.475*44/12</f>
        <v>5.1982625633045462E-4</v>
      </c>
      <c r="BS62" s="22">
        <f t="shared" si="9"/>
        <v>10.139278738913049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9.2219551282051242</v>
      </c>
      <c r="N63" s="13">
        <f>IF('Données projet'!$A$36&gt;35,N62+M63-V62,IF(A63&lt;'Données projet'!$A$36,$K$205^A63,IF(A63='Données projet'!$A$36,'Données projet'!$B$36,N62+M63-V62)))</f>
        <v>218.96314102564082</v>
      </c>
      <c r="O63" s="13">
        <f>N63*VLOOKUP('Données projet'!$B$9,Paramètres!$A$1:$I$89,3,0)*VLOOKUP('Données projet'!$B$9,Paramètres!$A$1:$I$89,5,0)</f>
        <v>198.11784999999981</v>
      </c>
      <c r="P63" s="13">
        <f t="shared" si="33"/>
        <v>49.330300772275599</v>
      </c>
      <c r="Q63" s="20">
        <f t="shared" si="53"/>
        <v>430.97219592837968</v>
      </c>
      <c r="R63" s="59">
        <f t="shared" si="0"/>
        <v>724.30552926171299</v>
      </c>
      <c r="S63" s="59">
        <f ca="1">AVERAGE(OFFSET($R$3,0,0,'Données projet'!$E$9+1,1))-AVERAGE(OFFSET($H$3,0,0,'Données projet'!$E$9+1,1))</f>
        <v>309.07357540707869</v>
      </c>
      <c r="T63" s="59">
        <f t="shared" si="34"/>
        <v>155.9593924683299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275.30769230769226</v>
      </c>
      <c r="AG63" s="12">
        <f>VLOOKUP(A63,'Données projet'!$A$61:$I$81,9,0)</f>
        <v>8.9376923076923056</v>
      </c>
      <c r="AH63" s="12">
        <f t="array" ref="AH63">INDEX(AG:AG,MIN(IF(ISNUMBER(AG63:AG259),ROW(AG63:AG259),"")))</f>
        <v>8.9376923076923056</v>
      </c>
      <c r="AI63" s="13">
        <f>IF('Données projet'!$A$62&gt;35,AI62+AH63-AQ62,IF(A63&lt;'Données projet'!$A$62,$AF$205^A63,IF(A63='Données projet'!$A$62,'Données projet'!$B$62,AI62+AH63-AQ62)))</f>
        <v>275.30769230769238</v>
      </c>
      <c r="AJ63" s="13">
        <f>AI63*VLOOKUP('Données projet'!$B$10,Paramètres!$A$1:$I$89,3,0)*VLOOKUP('Données projet'!$B$10,Paramètres!$A$1:$I$89,5,0)</f>
        <v>164.63400000000007</v>
      </c>
      <c r="AK63" s="13">
        <f t="shared" si="35"/>
        <v>41.885983917692833</v>
      </c>
      <c r="AL63" s="20">
        <f t="shared" si="4"/>
        <v>359.68897198998178</v>
      </c>
      <c r="AM63" s="59">
        <f t="shared" si="5"/>
        <v>653.02230532331509</v>
      </c>
      <c r="AN63" s="59">
        <f ca="1">AVERAGE(OFFSET($AM$3,0,0,'Données projet'!$E$10+1,1))-AVERAGE(OFFSET($H$3,0,0,'Données projet'!$E$10+1,1))</f>
        <v>122.69576746316494</v>
      </c>
      <c r="AO63" s="59">
        <f t="shared" si="36"/>
        <v>103.29025722669985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50.076923076923073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6.8579678907572825</v>
      </c>
      <c r="AW63" s="21">
        <f>EXP(-LN(2)/2)*AW62+(1-EXP(-LN(2)/2))/(LN(2)/2)*AQ63*AT63*VLOOKUP('Données projet'!$B$10,Paramètres!$A$1:$I$89,3,0)*0.475*44/12</f>
        <v>9.5082392409553572E-4</v>
      </c>
      <c r="AX63" s="21">
        <f t="shared" si="6"/>
        <v>6.8589187146813781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353.5</v>
      </c>
      <c r="BB63" s="12">
        <f>VLOOKUP(A63,'Données projet'!$A$87:$I$107,9,0)</f>
        <v>10.433653846153845</v>
      </c>
      <c r="BC63" s="12">
        <f t="array" ref="BC63">INDEX(BB:BB,MIN(IF(ISNUMBER(BB63:BB259),ROW(BB63:BB259),"")))</f>
        <v>10.433653846153845</v>
      </c>
      <c r="BD63" s="12">
        <f>IF('Données projet'!$A$88&gt;35,BD62+BC63-BL62,IF(A63&lt;'Données projet'!$A$88,$BA$205^A63,IF(A63='Données projet'!$A$88,'Données projet'!$B$88,BD62+BC63-BL62)))</f>
        <v>353.49999999999972</v>
      </c>
      <c r="BE63" s="13">
        <f>BD63*VLOOKUP('Données projet'!$B$11,Paramètres!$A$1:$I$89,3,0)*VLOOKUP('Données projet'!$B$11,Paramètres!$A$1:$I$89,5,0)</f>
        <v>211.39299999999983</v>
      </c>
      <c r="BF63" s="13">
        <f t="shared" si="37"/>
        <v>52.239874015944039</v>
      </c>
      <c r="BG63" s="20">
        <f t="shared" si="7"/>
        <v>459.1605889111022</v>
      </c>
      <c r="BH63" s="59">
        <f t="shared" si="8"/>
        <v>752.49392224443545</v>
      </c>
      <c r="BI63" s="59">
        <f ca="1">AVERAGE(OFFSET($BH$3,0,0,'Données projet'!$E$11+1,1))-AVERAGE(OFFSET($H$3,0,0,'Données projet'!$E$11+1,1))</f>
        <v>171.96009656745713</v>
      </c>
      <c r="BJ63" s="59">
        <f t="shared" si="38"/>
        <v>172.37574906747716</v>
      </c>
      <c r="BK63" s="15">
        <f>IF(ISNA(VLOOKUP(A63,'Données projet'!$A$87:$I$107,3,0)),0,VLOOKUP(A63,'Données projet'!$A$87:$I$107,3,0))</f>
        <v>7</v>
      </c>
      <c r="BL63" s="15">
        <f>IF(ISNA(VLOOKUP(A63,'Données projet'!$A$87:$I$107,4,0)),0,VLOOKUP(A63,'Données projet'!$A$87:$I$107,4,0))</f>
        <v>353.5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0.92083865830620948</v>
      </c>
      <c r="BQ63" s="21">
        <f>EXP(-LN(2)/25)*BQ62+(1-EXP(-LN(2)/25))/(LN(2)/25)*Calculateur!BL63*Calculateur!BN63*VLOOKUP('Données projet'!$B$11,Paramètres!$A$1:$I$89,3,0)*0.475*44/12</f>
        <v>8.9479411332191177</v>
      </c>
      <c r="BR63" s="21">
        <f>EXP(-LN(2)/2)*BR62+(1-EXP(-LN(2)/2))/(LN(2)/2)*BL63*BO63*VLOOKUP('Données projet'!$B$11,Paramètres!$A$1:$I$89,3,0)*0.475*44/12</f>
        <v>3.6757267089008094E-4</v>
      </c>
      <c r="BS63" s="22">
        <f t="shared" si="9"/>
        <v>9.869147364196218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9.2219551282051242</v>
      </c>
      <c r="N64" s="13">
        <f>IF('Données projet'!$A$36&gt;35,N63+M64-V63,IF(A64&lt;'Données projet'!$A$36,$K$205^A64,IF(A64='Données projet'!$A$36,'Données projet'!$B$36,N63+M64-V63)))</f>
        <v>228.18509615384596</v>
      </c>
      <c r="O64" s="13">
        <f>N64*VLOOKUP('Données projet'!$B$9,Paramètres!$A$1:$I$89,3,0)*VLOOKUP('Données projet'!$B$9,Paramètres!$A$1:$I$89,5,0)</f>
        <v>206.46187499999985</v>
      </c>
      <c r="P64" s="13">
        <f t="shared" si="33"/>
        <v>51.161653428040907</v>
      </c>
      <c r="Q64" s="20">
        <f t="shared" si="53"/>
        <v>448.69431201217094</v>
      </c>
      <c r="R64" s="59">
        <f t="shared" si="0"/>
        <v>742.0276453455042</v>
      </c>
      <c r="S64" s="59">
        <f ca="1">AVERAGE(OFFSET($R$3,0,0,'Données projet'!$E$9+1,1))-AVERAGE(OFFSET($H$3,0,0,'Données projet'!$E$9+1,1))</f>
        <v>309.07357540707869</v>
      </c>
      <c r="T64" s="59">
        <f t="shared" si="34"/>
        <v>155.9593924683299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7.7092307692307687</v>
      </c>
      <c r="AI64" s="13">
        <f>IF('Données projet'!$A$62&gt;35,AI63+AH64-AQ63,IF(A64&lt;'Données projet'!$A$62,$AF$205^A64,IF(A64='Données projet'!$A$62,'Données projet'!$B$62,AI63+AH64-AQ63)))</f>
        <v>232.94000000000008</v>
      </c>
      <c r="AJ64" s="13">
        <f>AI64*VLOOKUP('Données projet'!$B$10,Paramètres!$A$1:$I$89,3,0)*VLOOKUP('Données projet'!$B$10,Paramètres!$A$1:$I$89,5,0)</f>
        <v>139.29812000000007</v>
      </c>
      <c r="AK64" s="13">
        <f t="shared" si="35"/>
        <v>36.13616763956604</v>
      </c>
      <c r="AL64" s="20">
        <f t="shared" si="4"/>
        <v>305.54805097224425</v>
      </c>
      <c r="AM64" s="59">
        <f t="shared" si="5"/>
        <v>598.88138430557751</v>
      </c>
      <c r="AN64" s="59">
        <f ca="1">AVERAGE(OFFSET($AM$3,0,0,'Données projet'!$E$10+1,1))-AVERAGE(OFFSET($H$3,0,0,'Données projet'!$E$10+1,1))</f>
        <v>122.69576746316494</v>
      </c>
      <c r="AO64" s="59">
        <f t="shared" si="36"/>
        <v>103.29025722669985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6.6704363981396675</v>
      </c>
      <c r="AW64" s="21">
        <f>EXP(-LN(2)/2)*AW63+(1-EXP(-LN(2)/2))/(LN(2)/2)*AQ64*AT64*VLOOKUP('Données projet'!$B$10,Paramètres!$A$1:$I$89,3,0)*0.475*44/12</f>
        <v>6.723340444423565E-4</v>
      </c>
      <c r="AX64" s="21">
        <f t="shared" si="6"/>
        <v>6.67110873218411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-2.8421709430404007E-13</v>
      </c>
      <c r="BE64" s="13">
        <f>BD64*VLOOKUP('Données projet'!$B$11,Paramètres!$A$1:$I$89,3,0)*VLOOKUP('Données projet'!$B$11,Paramètres!$A$1:$I$89,5,0)</f>
        <v>-1.69961822393816E-13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171.96009656745713</v>
      </c>
      <c r="BJ64" s="59">
        <f t="shared" si="38"/>
        <v>172.37574906747716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0.90278157387294733</v>
      </c>
      <c r="BQ64" s="21">
        <f>EXP(-LN(2)/25)*BQ63+(1-EXP(-LN(2)/25))/(LN(2)/25)*Calculateur!BL64*Calculateur!BN64*VLOOKUP('Données projet'!$B$11,Paramètres!$A$1:$I$89,3,0)*0.475*44/12</f>
        <v>8.7032592123794679</v>
      </c>
      <c r="BR64" s="21">
        <f>EXP(-LN(2)/2)*BR63+(1-EXP(-LN(2)/2))/(LN(2)/2)*BL64*BO64*VLOOKUP('Données projet'!$B$11,Paramètres!$A$1:$I$89,3,0)*0.475*44/12</f>
        <v>2.5991312816522731E-4</v>
      </c>
      <c r="BS64" s="22">
        <f t="shared" si="9"/>
        <v>9.6063006993805793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9.2219551282051242</v>
      </c>
      <c r="N65" s="13">
        <f>IF('Données projet'!$A$36&gt;35,N64+M65-V64,IF(A65&lt;'Données projet'!$A$36,$K$205^A65,IF(A65='Données projet'!$A$36,'Données projet'!$B$36,N64+M65-V64)))</f>
        <v>237.4070512820511</v>
      </c>
      <c r="O65" s="13">
        <f>N65*VLOOKUP('Données projet'!$B$9,Paramètres!$A$1:$I$89,3,0)*VLOOKUP('Données projet'!$B$9,Paramètres!$A$1:$I$89,5,0)</f>
        <v>214.80589999999981</v>
      </c>
      <c r="P65" s="13">
        <f t="shared" si="33"/>
        <v>52.984408736730096</v>
      </c>
      <c r="Q65" s="20">
        <f t="shared" si="53"/>
        <v>466.40145438313789</v>
      </c>
      <c r="R65" s="59">
        <f t="shared" si="0"/>
        <v>759.73478771647115</v>
      </c>
      <c r="S65" s="59">
        <f ca="1">AVERAGE(OFFSET($R$3,0,0,'Données projet'!$E$9+1,1))-AVERAGE(OFFSET($H$3,0,0,'Données projet'!$E$9+1,1))</f>
        <v>309.07357540707869</v>
      </c>
      <c r="T65" s="59">
        <f t="shared" si="34"/>
        <v>155.9593924683299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7.7092307692307687</v>
      </c>
      <c r="AI65" s="13">
        <f>IF('Données projet'!$A$62&gt;35,AI64+AH65-AQ64,IF(A65&lt;'Données projet'!$A$62,$AF$205^A65,IF(A65='Données projet'!$A$62,'Données projet'!$B$62,AI64+AH65-AQ64)))</f>
        <v>240.64923076923085</v>
      </c>
      <c r="AJ65" s="13">
        <f>AI65*VLOOKUP('Données projet'!$B$10,Paramètres!$A$1:$I$89,3,0)*VLOOKUP('Données projet'!$B$10,Paramètres!$A$1:$I$89,5,0)</f>
        <v>143.90824000000006</v>
      </c>
      <c r="AK65" s="13">
        <f t="shared" si="35"/>
        <v>37.190888648661023</v>
      </c>
      <c r="AL65" s="20">
        <f t="shared" si="4"/>
        <v>315.41431572975137</v>
      </c>
      <c r="AM65" s="59">
        <f t="shared" si="5"/>
        <v>608.74764906308474</v>
      </c>
      <c r="AN65" s="59">
        <f ca="1">AVERAGE(OFFSET($AM$3,0,0,'Données projet'!$E$10+1,1))-AVERAGE(OFFSET($H$3,0,0,'Données projet'!$E$10+1,1))</f>
        <v>122.69576746316494</v>
      </c>
      <c r="AO65" s="59">
        <f t="shared" si="36"/>
        <v>103.29025722669985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6.488032964049534</v>
      </c>
      <c r="AW65" s="21">
        <f>EXP(-LN(2)/2)*AW64+(1-EXP(-LN(2)/2))/(LN(2)/2)*AQ65*AT65*VLOOKUP('Données projet'!$B$10,Paramètres!$A$1:$I$89,3,0)*0.475*44/12</f>
        <v>4.7541196204776791E-4</v>
      </c>
      <c r="AX65" s="21">
        <f t="shared" si="6"/>
        <v>6.4885083760115814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-2.8421709430404007E-13</v>
      </c>
      <c r="BE65" s="13">
        <f>BD65*VLOOKUP('Données projet'!$B$11,Paramètres!$A$1:$I$89,3,0)*VLOOKUP('Données projet'!$B$11,Paramètres!$A$1:$I$89,5,0)</f>
        <v>-1.69961822393816E-13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171.96009656745713</v>
      </c>
      <c r="BJ65" s="59">
        <f t="shared" si="38"/>
        <v>172.37574906747716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0.88507857785168742</v>
      </c>
      <c r="BQ65" s="21">
        <f>EXP(-LN(2)/25)*BQ64+(1-EXP(-LN(2)/25))/(LN(2)/25)*Calculateur!BL65*Calculateur!BN65*VLOOKUP('Données projet'!$B$11,Paramètres!$A$1:$I$89,3,0)*0.475*44/12</f>
        <v>8.4652681315324401</v>
      </c>
      <c r="BR65" s="21">
        <f>EXP(-LN(2)/2)*BR64+(1-EXP(-LN(2)/2))/(LN(2)/2)*BL65*BO65*VLOOKUP('Données projet'!$B$11,Paramètres!$A$1:$I$89,3,0)*0.475*44/12</f>
        <v>1.8378633544504047E-4</v>
      </c>
      <c r="BS65" s="22">
        <f t="shared" si="9"/>
        <v>9.3505304957195712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9.2219551282051242</v>
      </c>
      <c r="N66" s="13">
        <f>IF('Données projet'!$A$36&gt;35,N65+M66-V65,IF(A66&lt;'Données projet'!$A$36,$K$205^A66,IF(A66='Données projet'!$A$36,'Données projet'!$B$36,N65+M66-V65)))</f>
        <v>246.62900641025624</v>
      </c>
      <c r="O66" s="13">
        <f>N66*VLOOKUP('Données projet'!$B$9,Paramètres!$A$1:$I$89,3,0)*VLOOKUP('Données projet'!$B$9,Paramètres!$A$1:$I$89,5,0)</f>
        <v>223.14992499999985</v>
      </c>
      <c r="P66" s="13">
        <f t="shared" si="33"/>
        <v>54.798938879785823</v>
      </c>
      <c r="Q66" s="20">
        <f t="shared" si="53"/>
        <v>484.09427125729331</v>
      </c>
      <c r="R66" s="59">
        <f t="shared" si="0"/>
        <v>777.42760459062663</v>
      </c>
      <c r="S66" s="59">
        <f ca="1">AVERAGE(OFFSET($R$3,0,0,'Données projet'!$E$9+1,1))-AVERAGE(OFFSET($H$3,0,0,'Données projet'!$E$9+1,1))</f>
        <v>309.07357540707869</v>
      </c>
      <c r="T66" s="59">
        <f t="shared" si="34"/>
        <v>155.9593924683299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7.7092307692307687</v>
      </c>
      <c r="AI66" s="13">
        <f>IF('Données projet'!$A$62&gt;35,AI65+AH66-AQ65,IF(A66&lt;'Données projet'!$A$62,$AF$205^A66,IF(A66='Données projet'!$A$62,'Données projet'!$B$62,AI65+AH66-AQ65)))</f>
        <v>248.35846153846163</v>
      </c>
      <c r="AJ66" s="13">
        <f>AI66*VLOOKUP('Données projet'!$B$10,Paramètres!$A$1:$I$89,3,0)*VLOOKUP('Données projet'!$B$10,Paramètres!$A$1:$I$89,5,0)</f>
        <v>148.51836000000006</v>
      </c>
      <c r="AK66" s="13">
        <f t="shared" si="35"/>
        <v>38.241683333484019</v>
      </c>
      <c r="AL66" s="20">
        <f t="shared" si="4"/>
        <v>325.27374213915141</v>
      </c>
      <c r="AM66" s="59">
        <f t="shared" si="5"/>
        <v>618.60707547248467</v>
      </c>
      <c r="AN66" s="59">
        <f ca="1">AVERAGE(OFFSET($AM$3,0,0,'Données projet'!$E$10+1,1))-AVERAGE(OFFSET($H$3,0,0,'Données projet'!$E$10+1,1))</f>
        <v>122.69576746316494</v>
      </c>
      <c r="AO66" s="59">
        <f t="shared" si="36"/>
        <v>103.29025722669985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6.3106173614567744</v>
      </c>
      <c r="AW66" s="21">
        <f>EXP(-LN(2)/2)*AW65+(1-EXP(-LN(2)/2))/(LN(2)/2)*AQ66*AT66*VLOOKUP('Données projet'!$B$10,Paramètres!$A$1:$I$89,3,0)*0.475*44/12</f>
        <v>3.361670222211783E-4</v>
      </c>
      <c r="AX66" s="21">
        <f t="shared" si="6"/>
        <v>6.3109535284789953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-2.8421709430404007E-13</v>
      </c>
      <c r="BE66" s="13">
        <f>BD66*VLOOKUP('Données projet'!$B$11,Paramètres!$A$1:$I$89,3,0)*VLOOKUP('Données projet'!$B$11,Paramètres!$A$1:$I$89,5,0)</f>
        <v>-1.69961822393816E-13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171.96009656745713</v>
      </c>
      <c r="BJ66" s="59">
        <f t="shared" si="38"/>
        <v>172.37574906747716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0.86772272678464313</v>
      </c>
      <c r="BQ66" s="21">
        <f>EXP(-LN(2)/25)*BQ65+(1-EXP(-LN(2)/25))/(LN(2)/25)*Calculateur!BL66*Calculateur!BN66*VLOOKUP('Données projet'!$B$11,Paramètres!$A$1:$I$89,3,0)*0.475*44/12</f>
        <v>8.2337849293065819</v>
      </c>
      <c r="BR66" s="21">
        <f>EXP(-LN(2)/2)*BR65+(1-EXP(-LN(2)/2))/(LN(2)/2)*BL66*BO66*VLOOKUP('Données projet'!$B$11,Paramètres!$A$1:$I$89,3,0)*0.475*44/12</f>
        <v>1.2995656408261365E-4</v>
      </c>
      <c r="BS66" s="22">
        <f t="shared" si="9"/>
        <v>9.101637612655308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9.2219551282051242</v>
      </c>
      <c r="N67" s="13">
        <f>IF('Données projet'!$A$36&gt;35,N66+M67-V66,IF(A67&lt;'Données projet'!$A$36,$K$205^A67,IF(A67='Données projet'!$A$36,'Données projet'!$B$36,N66+M67-V66)))</f>
        <v>255.85096153846138</v>
      </c>
      <c r="O67" s="13">
        <f>N67*VLOOKUP('Données projet'!$B$9,Paramètres!$A$1:$I$89,3,0)*VLOOKUP('Données projet'!$B$9,Paramètres!$A$1:$I$89,5,0)</f>
        <v>231.49394999999984</v>
      </c>
      <c r="P67" s="13">
        <f t="shared" si="33"/>
        <v>56.605586628604179</v>
      </c>
      <c r="Q67" s="20">
        <f t="shared" ref="Q67:Q98" si="54">(O67+P67)*0.475*44/12</f>
        <v>501.77335962815204</v>
      </c>
      <c r="R67" s="59">
        <f t="shared" ref="R67:R130" si="55">Q67+(I67+J67)*44/12</f>
        <v>795.10669296148535</v>
      </c>
      <c r="S67" s="59">
        <f ca="1">AVERAGE(OFFSET($R$3,0,0,'Données projet'!$E$9+1,1))-AVERAGE(OFFSET($H$3,0,0,'Données projet'!$E$9+1,1))</f>
        <v>309.07357540707869</v>
      </c>
      <c r="T67" s="59">
        <f t="shared" si="34"/>
        <v>155.9593924683299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7.7092307692307687</v>
      </c>
      <c r="AI67" s="13">
        <f>IF('Données projet'!$A$62&gt;35,AI66+AH67-AQ66,IF(A67&lt;'Données projet'!$A$62,$AF$205^A67,IF(A67='Données projet'!$A$62,'Données projet'!$B$62,AI66+AH67-AQ66)))</f>
        <v>256.06769230769237</v>
      </c>
      <c r="AJ67" s="13">
        <f>AI67*VLOOKUP('Données projet'!$B$10,Paramètres!$A$1:$I$89,3,0)*VLOOKUP('Données projet'!$B$10,Paramètres!$A$1:$I$89,5,0)</f>
        <v>153.12848000000005</v>
      </c>
      <c r="AK67" s="13">
        <f t="shared" si="35"/>
        <v>39.288687555174619</v>
      </c>
      <c r="AL67" s="20">
        <f t="shared" si="4"/>
        <v>335.12656682526256</v>
      </c>
      <c r="AM67" s="59">
        <f t="shared" si="5"/>
        <v>628.45990015859593</v>
      </c>
      <c r="AN67" s="59">
        <f ca="1">AVERAGE(OFFSET($AM$3,0,0,'Données projet'!$E$10+1,1))-AVERAGE(OFFSET($H$3,0,0,'Données projet'!$E$10+1,1))</f>
        <v>122.69576746316494</v>
      </c>
      <c r="AO67" s="59">
        <f t="shared" si="36"/>
        <v>103.29025722669985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6.1380531978467952</v>
      </c>
      <c r="AW67" s="21">
        <f>EXP(-LN(2)/2)*AW66+(1-EXP(-LN(2)/2))/(LN(2)/2)*AQ67*AT67*VLOOKUP('Données projet'!$B$10,Paramètres!$A$1:$I$89,3,0)*0.475*44/12</f>
        <v>2.3770598102388401E-4</v>
      </c>
      <c r="AX67" s="21">
        <f t="shared" si="6"/>
        <v>6.1382909038278193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-2.8421709430404007E-13</v>
      </c>
      <c r="BE67" s="13">
        <f>BD67*VLOOKUP('Données projet'!$B$11,Paramètres!$A$1:$I$89,3,0)*VLOOKUP('Données projet'!$B$11,Paramètres!$A$1:$I$89,5,0)</f>
        <v>-1.69961822393816E-13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171.96009656745713</v>
      </c>
      <c r="BJ67" s="59">
        <f t="shared" si="38"/>
        <v>172.37574906747716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0.85070721337099964</v>
      </c>
      <c r="BQ67" s="21">
        <f>EXP(-LN(2)/25)*BQ66+(1-EXP(-LN(2)/25))/(LN(2)/25)*Calculateur!BL67*Calculateur!BN67*VLOOKUP('Données projet'!$B$11,Paramètres!$A$1:$I$89,3,0)*0.475*44/12</f>
        <v>8.0086316474187633</v>
      </c>
      <c r="BR67" s="21">
        <f>EXP(-LN(2)/2)*BR66+(1-EXP(-LN(2)/2))/(LN(2)/2)*BL67*BO67*VLOOKUP('Données projet'!$B$11,Paramètres!$A$1:$I$89,3,0)*0.475*44/12</f>
        <v>9.1893167722520235E-5</v>
      </c>
      <c r="BS67" s="22">
        <f t="shared" si="9"/>
        <v>8.8594307539574846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9.2219551282051242</v>
      </c>
      <c r="N68" s="13">
        <f>IF('Données projet'!$A$36&gt;35,N67+M68-V67,IF(A68&lt;'Données projet'!$A$36,$K$205^A68,IF(A68='Données projet'!$A$36,'Données projet'!$B$36,N67+M68-V67)))</f>
        <v>265.07291666666652</v>
      </c>
      <c r="O68" s="13">
        <f>N68*VLOOKUP('Données projet'!$B$9,Paramètres!$A$1:$I$89,3,0)*VLOOKUP('Données projet'!$B$9,Paramètres!$A$1:$I$89,5,0)</f>
        <v>239.83797499999986</v>
      </c>
      <c r="P68" s="13">
        <f t="shared" si="33"/>
        <v>58.404668644128165</v>
      </c>
      <c r="Q68" s="20">
        <f t="shared" si="54"/>
        <v>519.4392710135229</v>
      </c>
      <c r="R68" s="59">
        <f t="shared" si="55"/>
        <v>812.77260434685627</v>
      </c>
      <c r="S68" s="59">
        <f ca="1">AVERAGE(OFFSET($R$3,0,0,'Données projet'!$E$9+1,1))-AVERAGE(OFFSET($H$3,0,0,'Données projet'!$E$9+1,1))</f>
        <v>309.07357540707869</v>
      </c>
      <c r="T68" s="59">
        <f t="shared" si="34"/>
        <v>155.9593924683299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7.7092307692307687</v>
      </c>
      <c r="AI68" s="13">
        <f>IF('Données projet'!$A$62&gt;35,AI67+AH68-AQ67,IF(A68&lt;'Données projet'!$A$62,$AF$205^A68,IF(A68='Données projet'!$A$62,'Données projet'!$B$62,AI67+AH68-AQ67)))</f>
        <v>263.77692307692314</v>
      </c>
      <c r="AJ68" s="13">
        <f>AI68*VLOOKUP('Données projet'!$B$10,Paramètres!$A$1:$I$89,3,0)*VLOOKUP('Données projet'!$B$10,Paramètres!$A$1:$I$89,5,0)</f>
        <v>157.73860000000005</v>
      </c>
      <c r="AK68" s="13">
        <f t="shared" si="35"/>
        <v>40.33202852942668</v>
      </c>
      <c r="AL68" s="20">
        <f t="shared" ref="AL68:AL131" si="58">(AJ68+AK68)*0.475*44/12</f>
        <v>344.97301135541824</v>
      </c>
      <c r="AM68" s="59">
        <f t="shared" ref="AM68:AM131" si="59">AL68+(AD68+AE68)*44/12</f>
        <v>638.30634468875155</v>
      </c>
      <c r="AN68" s="59">
        <f ca="1">AVERAGE(OFFSET($AM$3,0,0,'Données projet'!$E$10+1,1))-AVERAGE(OFFSET($H$3,0,0,'Données projet'!$E$10+1,1))</f>
        <v>122.69576746316494</v>
      </c>
      <c r="AO68" s="59">
        <f t="shared" si="36"/>
        <v>103.29025722669985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5.9702078103654852</v>
      </c>
      <c r="AW68" s="21">
        <f>EXP(-LN(2)/2)*AW67+(1-EXP(-LN(2)/2))/(LN(2)/2)*AQ68*AT68*VLOOKUP('Données projet'!$B$10,Paramètres!$A$1:$I$89,3,0)*0.475*44/12</f>
        <v>1.6808351111058918E-4</v>
      </c>
      <c r="AX68" s="21">
        <f t="shared" ref="AX68:AX131" si="60">SUM(AU68:AW68)</f>
        <v>5.9703758938765956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-2.8421709430404007E-13</v>
      </c>
      <c r="BE68" s="13">
        <f>BD68*VLOOKUP('Données projet'!$B$11,Paramètres!$A$1:$I$89,3,0)*VLOOKUP('Données projet'!$B$11,Paramètres!$A$1:$I$89,5,0)</f>
        <v>-1.69961822393816E-13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171.96009656745713</v>
      </c>
      <c r="BJ68" s="59">
        <f t="shared" si="38"/>
        <v>172.37574906747716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0.83402536379695935</v>
      </c>
      <c r="BQ68" s="21">
        <f>EXP(-LN(2)/25)*BQ67+(1-EXP(-LN(2)/25))/(LN(2)/25)*Calculateur!BL68*Calculateur!BN68*VLOOKUP('Données projet'!$B$11,Paramètres!$A$1:$I$89,3,0)*0.475*44/12</f>
        <v>7.7896351938644628</v>
      </c>
      <c r="BR68" s="21">
        <f>EXP(-LN(2)/2)*BR67+(1-EXP(-LN(2)/2))/(LN(2)/2)*BL68*BO68*VLOOKUP('Données projet'!$B$11,Paramètres!$A$1:$I$89,3,0)*0.475*44/12</f>
        <v>6.4978282041306827E-5</v>
      </c>
      <c r="BS68" s="22">
        <f t="shared" ref="BS68:BS131" si="63">SUM(BP68:BR68)</f>
        <v>8.6237255359434641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274.29487179487177</v>
      </c>
      <c r="L69" s="12">
        <f>VLOOKUP(A69,'Données projet'!$A$35:$I$55,9,0)</f>
        <v>9.2219551282051242</v>
      </c>
      <c r="M69" s="12">
        <f t="array" ref="M69">INDEX(L:L,MIN(IF(ISNUMBER(L69:L265),ROW(L69:L265),"")))</f>
        <v>9.2219551282051242</v>
      </c>
      <c r="N69" s="13">
        <f>IF('Données projet'!$A$36&gt;35,N68+M69-V68,IF(A69&lt;'Données projet'!$A$36,$K$205^A69,IF(A69='Données projet'!$A$36,'Données projet'!$B$36,N68+M69-V68)))</f>
        <v>274.29487179487165</v>
      </c>
      <c r="O69" s="13">
        <f>N69*VLOOKUP('Données projet'!$B$9,Paramètres!$A$1:$I$89,3,0)*VLOOKUP('Données projet'!$B$9,Paramètres!$A$1:$I$89,5,0)</f>
        <v>248.18199999999985</v>
      </c>
      <c r="P69" s="13">
        <f t="shared" ref="P69:P132" si="87">EXP(-1.0587+0.8836*LN(O69)+0.284)</f>
        <v>60.196478304365186</v>
      </c>
      <c r="Q69" s="20">
        <f t="shared" si="54"/>
        <v>537.09251638010244</v>
      </c>
      <c r="R69" s="59">
        <f t="shared" si="55"/>
        <v>830.42584971343581</v>
      </c>
      <c r="S69" s="59">
        <f ca="1">AVERAGE(OFFSET($R$3,0,0,'Données projet'!$E$9+1,1))-AVERAGE(OFFSET($H$3,0,0,'Données projet'!$E$9+1,1))</f>
        <v>309.07357540707869</v>
      </c>
      <c r="T69" s="59">
        <f t="shared" ref="T69:T132" si="88">$T$3</f>
        <v>155.9593924683299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54.141025641025635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7.7092307692307687</v>
      </c>
      <c r="AI69" s="13">
        <f>IF('Données projet'!$A$62&gt;35,AI68+AH69-AQ68,IF(A69&lt;'Données projet'!$A$62,$AF$205^A69,IF(A69='Données projet'!$A$62,'Données projet'!$B$62,AI68+AH69-AQ68)))</f>
        <v>271.48615384615391</v>
      </c>
      <c r="AJ69" s="13">
        <f>AI69*VLOOKUP('Données projet'!$B$10,Paramètres!$A$1:$I$89,3,0)*VLOOKUP('Données projet'!$B$10,Paramètres!$A$1:$I$89,5,0)</f>
        <v>162.34872000000004</v>
      </c>
      <c r="AK69" s="13">
        <f t="shared" ref="AK69:AK132" si="89">EXP(-1.0587+0.8836*LN(AJ69)+0.284)</f>
        <v>41.371825613040222</v>
      </c>
      <c r="AL69" s="20">
        <f t="shared" si="58"/>
        <v>354.81328360937846</v>
      </c>
      <c r="AM69" s="59">
        <f t="shared" si="59"/>
        <v>648.14661694271172</v>
      </c>
      <c r="AN69" s="59">
        <f ca="1">AVERAGE(OFFSET($AM$3,0,0,'Données projet'!$E$10+1,1))-AVERAGE(OFFSET($H$3,0,0,'Données projet'!$E$10+1,1))</f>
        <v>122.69576746316494</v>
      </c>
      <c r="AO69" s="59">
        <f t="shared" ref="AO69:AO132" si="90">$AO$3</f>
        <v>103.29025722669985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5.8069521638314576</v>
      </c>
      <c r="AW69" s="21">
        <f>EXP(-LN(2)/2)*AW68+(1-EXP(-LN(2)/2))/(LN(2)/2)*AQ69*AT69*VLOOKUP('Données projet'!$B$10,Paramètres!$A$1:$I$89,3,0)*0.475*44/12</f>
        <v>1.1885299051194202E-4</v>
      </c>
      <c r="AX69" s="21">
        <f t="shared" si="60"/>
        <v>5.8070710168219692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-2.8421709430404007E-13</v>
      </c>
      <c r="BE69" s="13">
        <f>BD69*VLOOKUP('Données projet'!$B$11,Paramètres!$A$1:$I$89,3,0)*VLOOKUP('Données projet'!$B$11,Paramètres!$A$1:$I$89,5,0)</f>
        <v>-1.69961822393816E-13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171.96009656745713</v>
      </c>
      <c r="BJ69" s="59">
        <f t="shared" ref="BJ69:BJ132" si="92">$BJ$3</f>
        <v>172.37574906747716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0.81767063511814242</v>
      </c>
      <c r="BQ69" s="21">
        <f>EXP(-LN(2)/25)*BQ68+(1-EXP(-LN(2)/25))/(LN(2)/25)*Calculateur!BL69*Calculateur!BN69*VLOOKUP('Données projet'!$B$11,Paramètres!$A$1:$I$89,3,0)*0.475*44/12</f>
        <v>7.5766272098491276</v>
      </c>
      <c r="BR69" s="21">
        <f>EXP(-LN(2)/2)*BR68+(1-EXP(-LN(2)/2))/(LN(2)/2)*BL69*BO69*VLOOKUP('Données projet'!$B$11,Paramètres!$A$1:$I$89,3,0)*0.475*44/12</f>
        <v>4.5946583861260118E-5</v>
      </c>
      <c r="BS69" s="22">
        <f t="shared" si="63"/>
        <v>8.3943437915511314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8.6875</v>
      </c>
      <c r="N70" s="13">
        <f>IF('Données projet'!$A$36&gt;35,N69+M70-V69,IF(A70&lt;'Données projet'!$A$36,$K$205^A70,IF(A70='Données projet'!$A$36,'Données projet'!$B$36,N69+M70-V69)))</f>
        <v>228.84134615384602</v>
      </c>
      <c r="O70" s="13">
        <f>N70*VLOOKUP('Données projet'!$B$9,Paramètres!$A$1:$I$89,3,0)*VLOOKUP('Données projet'!$B$9,Paramètres!$A$1:$I$89,5,0)</f>
        <v>207.05564999999984</v>
      </c>
      <c r="P70" s="13">
        <f t="shared" si="87"/>
        <v>51.291643354789841</v>
      </c>
      <c r="Q70" s="20">
        <f t="shared" si="54"/>
        <v>449.95486925959204</v>
      </c>
      <c r="R70" s="59">
        <f t="shared" si="55"/>
        <v>743.28820259292536</v>
      </c>
      <c r="S70" s="59">
        <f ca="1">AVERAGE(OFFSET($R$3,0,0,'Données projet'!$E$9+1,1))-AVERAGE(OFFSET($H$3,0,0,'Données projet'!$E$9+1,1))</f>
        <v>309.07357540707869</v>
      </c>
      <c r="T70" s="59">
        <f t="shared" si="88"/>
        <v>155.9593924683299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7.7092307692307687</v>
      </c>
      <c r="AI70" s="13">
        <f>IF('Données projet'!$A$62&gt;35,AI69+AH70-AQ69,IF(A70&lt;'Données projet'!$A$62,$AF$205^A70,IF(A70='Données projet'!$A$62,'Données projet'!$B$62,AI69+AH70-AQ69)))</f>
        <v>279.19538461538468</v>
      </c>
      <c r="AJ70" s="13">
        <f>AI70*VLOOKUP('Données projet'!$B$10,Paramètres!$A$1:$I$89,3,0)*VLOOKUP('Données projet'!$B$10,Paramètres!$A$1:$I$89,5,0)</f>
        <v>166.95884000000007</v>
      </c>
      <c r="AK70" s="13">
        <f t="shared" si="89"/>
        <v>42.408190998621166</v>
      </c>
      <c r="AL70" s="20">
        <f t="shared" si="58"/>
        <v>364.64757898926524</v>
      </c>
      <c r="AM70" s="59">
        <f t="shared" si="59"/>
        <v>657.98091232259856</v>
      </c>
      <c r="AN70" s="59">
        <f ca="1">AVERAGE(OFFSET($AM$3,0,0,'Données projet'!$E$10+1,1))-AVERAGE(OFFSET($H$3,0,0,'Données projet'!$E$10+1,1))</f>
        <v>122.69576746316494</v>
      </c>
      <c r="AO70" s="59">
        <f t="shared" si="90"/>
        <v>103.29025722669985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5.6481607515371444</v>
      </c>
      <c r="AW70" s="21">
        <f>EXP(-LN(2)/2)*AW69+(1-EXP(-LN(2)/2))/(LN(2)/2)*AQ70*AT70*VLOOKUP('Données projet'!$B$10,Paramètres!$A$1:$I$89,3,0)*0.475*44/12</f>
        <v>8.4041755555294603E-5</v>
      </c>
      <c r="AX70" s="21">
        <f t="shared" si="60"/>
        <v>5.6482447932927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-2.8421709430404007E-13</v>
      </c>
      <c r="BE70" s="13">
        <f>BD70*VLOOKUP('Données projet'!$B$11,Paramètres!$A$1:$I$89,3,0)*VLOOKUP('Données projet'!$B$11,Paramètres!$A$1:$I$89,5,0)</f>
        <v>-1.69961822393816E-13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171.96009656745713</v>
      </c>
      <c r="BJ70" s="59">
        <f t="shared" si="92"/>
        <v>172.37574906747716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0.80163661269331754</v>
      </c>
      <c r="BQ70" s="21">
        <f>EXP(-LN(2)/25)*BQ69+(1-EXP(-LN(2)/25))/(LN(2)/25)*Calculateur!BL70*Calculateur!BN70*VLOOKUP('Données projet'!$B$11,Paramètres!$A$1:$I$89,3,0)*0.475*44/12</f>
        <v>7.3694439403582948</v>
      </c>
      <c r="BR70" s="21">
        <f>EXP(-LN(2)/2)*BR69+(1-EXP(-LN(2)/2))/(LN(2)/2)*BL70*BO70*VLOOKUP('Données projet'!$B$11,Paramètres!$A$1:$I$89,3,0)*0.475*44/12</f>
        <v>3.2489141020653414E-5</v>
      </c>
      <c r="BS70" s="22">
        <f t="shared" si="63"/>
        <v>8.1711130421926317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8.6875</v>
      </c>
      <c r="N71" s="13">
        <f>IF('Données projet'!$A$36&gt;35,N70+M71-V70,IF(A71&lt;'Données projet'!$A$36,$K$205^A71,IF(A71='Données projet'!$A$36,'Données projet'!$B$36,N70+M71-V70)))</f>
        <v>237.52884615384602</v>
      </c>
      <c r="O71" s="13">
        <f>N71*VLOOKUP('Données projet'!$B$9,Paramètres!$A$1:$I$89,3,0)*VLOOKUP('Données projet'!$B$9,Paramètres!$A$1:$I$89,5,0)</f>
        <v>214.91609999999989</v>
      </c>
      <c r="P71" s="13">
        <f t="shared" si="87"/>
        <v>53.008426149576081</v>
      </c>
      <c r="Q71" s="20">
        <f t="shared" si="54"/>
        <v>466.6352163771781</v>
      </c>
      <c r="R71" s="59">
        <f t="shared" si="55"/>
        <v>759.96854971051141</v>
      </c>
      <c r="S71" s="59">
        <f ca="1">AVERAGE(OFFSET($R$3,0,0,'Données projet'!$E$9+1,1))-AVERAGE(OFFSET($H$3,0,0,'Données projet'!$E$9+1,1))</f>
        <v>309.07357540707869</v>
      </c>
      <c r="T71" s="59">
        <f t="shared" si="88"/>
        <v>155.9593924683299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7.7092307692307687</v>
      </c>
      <c r="AI71" s="13">
        <f>IF('Données projet'!$A$62&gt;35,AI70+AH71-AQ70,IF(A71&lt;'Données projet'!$A$62,$AF$205^A71,IF(A71='Données projet'!$A$62,'Données projet'!$B$62,AI70+AH71-AQ70)))</f>
        <v>286.90461538461545</v>
      </c>
      <c r="AJ71" s="13">
        <f>AI71*VLOOKUP('Données projet'!$B$10,Paramètres!$A$1:$I$89,3,0)*VLOOKUP('Données projet'!$B$10,Paramètres!$A$1:$I$89,5,0)</f>
        <v>171.56896000000003</v>
      </c>
      <c r="AK71" s="13">
        <f t="shared" si="89"/>
        <v>43.441230330395015</v>
      </c>
      <c r="AL71" s="20">
        <f t="shared" si="58"/>
        <v>374.4760814921047</v>
      </c>
      <c r="AM71" s="59">
        <f t="shared" si="59"/>
        <v>667.80941482543801</v>
      </c>
      <c r="AN71" s="59">
        <f ca="1">AVERAGE(OFFSET($AM$3,0,0,'Données projet'!$E$10+1,1))-AVERAGE(OFFSET($H$3,0,0,'Données projet'!$E$10+1,1))</f>
        <v>122.69576746316494</v>
      </c>
      <c r="AO71" s="59">
        <f t="shared" si="90"/>
        <v>103.29025722669985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5.4937114987624964</v>
      </c>
      <c r="AW71" s="21">
        <f>EXP(-LN(2)/2)*AW70+(1-EXP(-LN(2)/2))/(LN(2)/2)*AQ71*AT71*VLOOKUP('Données projet'!$B$10,Paramètres!$A$1:$I$89,3,0)*0.475*44/12</f>
        <v>5.9426495255971023E-5</v>
      </c>
      <c r="AX71" s="21">
        <f t="shared" si="60"/>
        <v>5.4937709252577527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-2.8421709430404007E-13</v>
      </c>
      <c r="BE71" s="13">
        <f>BD71*VLOOKUP('Données projet'!$B$11,Paramètres!$A$1:$I$89,3,0)*VLOOKUP('Données projet'!$B$11,Paramètres!$A$1:$I$89,5,0)</f>
        <v>-1.69961822393816E-13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171.96009656745713</v>
      </c>
      <c r="BJ71" s="59">
        <f t="shared" si="92"/>
        <v>172.37574906747716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0.78591700766845551</v>
      </c>
      <c r="BQ71" s="21">
        <f>EXP(-LN(2)/25)*BQ70+(1-EXP(-LN(2)/25))/(LN(2)/25)*Calculateur!BL71*Calculateur!BN71*VLOOKUP('Données projet'!$B$11,Paramètres!$A$1:$I$89,3,0)*0.475*44/12</f>
        <v>7.1679261082669834</v>
      </c>
      <c r="BR71" s="21">
        <f>EXP(-LN(2)/2)*BR70+(1-EXP(-LN(2)/2))/(LN(2)/2)*BL71*BO71*VLOOKUP('Données projet'!$B$11,Paramètres!$A$1:$I$89,3,0)*0.475*44/12</f>
        <v>2.2973291930630059E-5</v>
      </c>
      <c r="BS71" s="22">
        <f t="shared" si="63"/>
        <v>7.95386608922737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8.6875</v>
      </c>
      <c r="N72" s="13">
        <f>IF('Données projet'!$A$36&gt;35,N71+M72-V71,IF(A72&lt;'Données projet'!$A$36,$K$205^A72,IF(A72='Données projet'!$A$36,'Données projet'!$B$36,N71+M72-V71)))</f>
        <v>246.21634615384602</v>
      </c>
      <c r="O72" s="13">
        <f>N72*VLOOKUP('Données projet'!$B$9,Paramètres!$A$1:$I$89,3,0)*VLOOKUP('Données projet'!$B$9,Paramètres!$A$1:$I$89,5,0)</f>
        <v>222.77654999999987</v>
      </c>
      <c r="P72" s="13">
        <f t="shared" si="87"/>
        <v>54.717913950141721</v>
      </c>
      <c r="Q72" s="20">
        <f t="shared" si="54"/>
        <v>483.30285804649662</v>
      </c>
      <c r="R72" s="59">
        <f t="shared" si="55"/>
        <v>776.63619137982994</v>
      </c>
      <c r="S72" s="59">
        <f ca="1">AVERAGE(OFFSET($R$3,0,0,'Données projet'!$E$9+1,1))-AVERAGE(OFFSET($H$3,0,0,'Données projet'!$E$9+1,1))</f>
        <v>309.07357540707869</v>
      </c>
      <c r="T72" s="59">
        <f t="shared" si="88"/>
        <v>155.9593924683299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7.7092307692307687</v>
      </c>
      <c r="AI72" s="13">
        <f>IF('Données projet'!$A$62&gt;35,AI71+AH72-AQ71,IF(A72&lt;'Données projet'!$A$62,$AF$205^A72,IF(A72='Données projet'!$A$62,'Données projet'!$B$62,AI71+AH72-AQ71)))</f>
        <v>294.61384615384623</v>
      </c>
      <c r="AJ72" s="13">
        <f>AI72*VLOOKUP('Données projet'!$B$10,Paramètres!$A$1:$I$89,3,0)*VLOOKUP('Données projet'!$B$10,Paramètres!$A$1:$I$89,5,0)</f>
        <v>176.17908000000006</v>
      </c>
      <c r="AK72" s="13">
        <f t="shared" si="89"/>
        <v>44.471043251970087</v>
      </c>
      <c r="AL72" s="20">
        <f t="shared" si="58"/>
        <v>384.29896466384798</v>
      </c>
      <c r="AM72" s="59">
        <f t="shared" si="59"/>
        <v>677.63229799718124</v>
      </c>
      <c r="AN72" s="59">
        <f ca="1">AVERAGE(OFFSET($AM$3,0,0,'Données projet'!$E$10+1,1))-AVERAGE(OFFSET($H$3,0,0,'Données projet'!$E$10+1,1))</f>
        <v>122.69576746316494</v>
      </c>
      <c r="AO72" s="59">
        <f t="shared" si="90"/>
        <v>103.29025722669985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5.3434856689271042</v>
      </c>
      <c r="AW72" s="21">
        <f>EXP(-LN(2)/2)*AW71+(1-EXP(-LN(2)/2))/(LN(2)/2)*AQ72*AT72*VLOOKUP('Données projet'!$B$10,Paramètres!$A$1:$I$89,3,0)*0.475*44/12</f>
        <v>4.2020877777647308E-5</v>
      </c>
      <c r="AX72" s="21">
        <f t="shared" si="60"/>
        <v>5.3435276898048816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-2.8421709430404007E-13</v>
      </c>
      <c r="BE72" s="13">
        <f>BD72*VLOOKUP('Données projet'!$B$11,Paramètres!$A$1:$I$89,3,0)*VLOOKUP('Données projet'!$B$11,Paramètres!$A$1:$I$89,5,0)</f>
        <v>-1.69961822393816E-13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171.96009656745713</v>
      </c>
      <c r="BJ72" s="59">
        <f t="shared" si="92"/>
        <v>172.37574906747716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0.77050565451011865</v>
      </c>
      <c r="BQ72" s="21">
        <f>EXP(-LN(2)/25)*BQ71+(1-EXP(-LN(2)/25))/(LN(2)/25)*Calculateur!BL72*Calculateur!BN72*VLOOKUP('Données projet'!$B$11,Paramètres!$A$1:$I$89,3,0)*0.475*44/12</f>
        <v>6.9719187918915715</v>
      </c>
      <c r="BR72" s="21">
        <f>EXP(-LN(2)/2)*BR71+(1-EXP(-LN(2)/2))/(LN(2)/2)*BL72*BO72*VLOOKUP('Données projet'!$B$11,Paramètres!$A$1:$I$89,3,0)*0.475*44/12</f>
        <v>1.6244570510326707E-5</v>
      </c>
      <c r="BS72" s="22">
        <f t="shared" si="63"/>
        <v>7.7424406909722006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8.6875</v>
      </c>
      <c r="N73" s="13">
        <f>IF('Données projet'!$A$36&gt;35,N72+M73-V72,IF(A73&lt;'Données projet'!$A$36,$K$205^A73,IF(A73='Données projet'!$A$36,'Données projet'!$B$36,N72+M73-V72)))</f>
        <v>254.90384615384602</v>
      </c>
      <c r="O73" s="13">
        <f>N73*VLOOKUP('Données projet'!$B$9,Paramètres!$A$1:$I$89,3,0)*VLOOKUP('Données projet'!$B$9,Paramètres!$A$1:$I$89,5,0)</f>
        <v>230.63699999999986</v>
      </c>
      <c r="P73" s="13">
        <f t="shared" si="87"/>
        <v>56.420393645840619</v>
      </c>
      <c r="Q73" s="20">
        <f t="shared" si="54"/>
        <v>499.95829393317217</v>
      </c>
      <c r="R73" s="59">
        <f t="shared" si="55"/>
        <v>793.29162726650543</v>
      </c>
      <c r="S73" s="59">
        <f ca="1">AVERAGE(OFFSET($R$3,0,0,'Données projet'!$E$9+1,1))-AVERAGE(OFFSET($H$3,0,0,'Données projet'!$E$9+1,1))</f>
        <v>309.07357540707869</v>
      </c>
      <c r="T73" s="59">
        <f t="shared" si="88"/>
        <v>155.9593924683299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302.32307692307688</v>
      </c>
      <c r="AG73" s="12">
        <f>VLOOKUP(A73,'Données projet'!$A$61:$I$81,9,0)</f>
        <v>7.7092307692307687</v>
      </c>
      <c r="AH73" s="12">
        <f t="array" ref="AH73">INDEX(AG:AG,MIN(IF(ISNUMBER(AG73:AG269),ROW(AG73:AG269),"")))</f>
        <v>7.7092307692307687</v>
      </c>
      <c r="AI73" s="13">
        <f>IF('Données projet'!$A$62&gt;35,AI72+AH73-AQ72,IF(A73&lt;'Données projet'!$A$62,$AF$205^A73,IF(A73='Données projet'!$A$62,'Données projet'!$B$62,AI72+AH73-AQ72)))</f>
        <v>302.323076923077</v>
      </c>
      <c r="AJ73" s="13">
        <f>AI73*VLOOKUP('Données projet'!$B$10,Paramètres!$A$1:$I$89,3,0)*VLOOKUP('Données projet'!$B$10,Paramètres!$A$1:$I$89,5,0)</f>
        <v>180.78920000000005</v>
      </c>
      <c r="AK73" s="13">
        <f t="shared" si="89"/>
        <v>45.497723895154429</v>
      </c>
      <c r="AL73" s="20">
        <f t="shared" si="58"/>
        <v>394.11639245072735</v>
      </c>
      <c r="AM73" s="59">
        <f t="shared" si="59"/>
        <v>687.44972578406066</v>
      </c>
      <c r="AN73" s="59">
        <f ca="1">AVERAGE(OFFSET($AM$3,0,0,'Données projet'!$E$10+1,1))-AVERAGE(OFFSET($H$3,0,0,'Données projet'!$E$10+1,1))</f>
        <v>122.69576746316494</v>
      </c>
      <c r="AO73" s="59">
        <f t="shared" si="90"/>
        <v>103.29025722669985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54.215384615384615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5.1973677723085938</v>
      </c>
      <c r="AW73" s="21">
        <f>EXP(-LN(2)/2)*AW72+(1-EXP(-LN(2)/2))/(LN(2)/2)*AQ73*AT73*VLOOKUP('Données projet'!$B$10,Paramètres!$A$1:$I$89,3,0)*0.475*44/12</f>
        <v>2.9713247627985515E-5</v>
      </c>
      <c r="AX73" s="21">
        <f t="shared" si="60"/>
        <v>5.1973974855562215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-2.8421709430404007E-13</v>
      </c>
      <c r="BE73" s="13">
        <f>BD73*VLOOKUP('Données projet'!$B$11,Paramètres!$A$1:$I$89,3,0)*VLOOKUP('Données projet'!$B$11,Paramètres!$A$1:$I$89,5,0)</f>
        <v>-1.69961822393816E-13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171.96009656745713</v>
      </c>
      <c r="BJ73" s="59">
        <f t="shared" si="92"/>
        <v>172.37574906747716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0.75539650858721963</v>
      </c>
      <c r="BQ73" s="21">
        <f>EXP(-LN(2)/25)*BQ72+(1-EXP(-LN(2)/25))/(LN(2)/25)*Calculateur!BL73*Calculateur!BN73*VLOOKUP('Données projet'!$B$11,Paramètres!$A$1:$I$89,3,0)*0.475*44/12</f>
        <v>6.781271305890022</v>
      </c>
      <c r="BR73" s="21">
        <f>EXP(-LN(2)/2)*BR72+(1-EXP(-LN(2)/2))/(LN(2)/2)*BL73*BO73*VLOOKUP('Données projet'!$B$11,Paramètres!$A$1:$I$89,3,0)*0.475*44/12</f>
        <v>1.1486645965315029E-5</v>
      </c>
      <c r="BS73" s="22">
        <f t="shared" si="63"/>
        <v>7.5366793011232067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8.6875</v>
      </c>
      <c r="N74" s="13">
        <f>IF('Données projet'!$A$36&gt;35,N73+M74-V73,IF(A74&lt;'Données projet'!$A$36,$K$205^A74,IF(A74='Données projet'!$A$36,'Données projet'!$B$36,N73+M74-V73)))</f>
        <v>263.59134615384602</v>
      </c>
      <c r="O74" s="13">
        <f>N74*VLOOKUP('Données projet'!$B$9,Paramètres!$A$1:$I$89,3,0)*VLOOKUP('Données projet'!$B$9,Paramètres!$A$1:$I$89,5,0)</f>
        <v>238.49744999999984</v>
      </c>
      <c r="P74" s="13">
        <f t="shared" si="87"/>
        <v>58.116131461503187</v>
      </c>
      <c r="Q74" s="20">
        <f t="shared" si="54"/>
        <v>516.60198771211776</v>
      </c>
      <c r="R74" s="59">
        <f t="shared" si="55"/>
        <v>809.93532104545102</v>
      </c>
      <c r="S74" s="59">
        <f ca="1">AVERAGE(OFFSET($R$3,0,0,'Données projet'!$E$9+1,1))-AVERAGE(OFFSET($H$3,0,0,'Données projet'!$E$9+1,1))</f>
        <v>309.07357540707869</v>
      </c>
      <c r="T74" s="59">
        <f t="shared" si="88"/>
        <v>155.9593924683299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6.2061538461538532</v>
      </c>
      <c r="AI74" s="13">
        <f>IF('Données projet'!$A$62&gt;35,AI73+AH74-AQ73,IF(A74&lt;'Données projet'!$A$62,$AF$205^A74,IF(A74='Données projet'!$A$62,'Données projet'!$B$62,AI73+AH74-AQ73)))</f>
        <v>254.31384615384621</v>
      </c>
      <c r="AJ74" s="13">
        <f>AI74*VLOOKUP('Données projet'!$B$10,Paramètres!$A$1:$I$89,3,0)*VLOOKUP('Données projet'!$B$10,Paramètres!$A$1:$I$89,5,0)</f>
        <v>152.07968000000005</v>
      </c>
      <c r="AK74" s="13">
        <f t="shared" si="89"/>
        <v>39.050820956481395</v>
      </c>
      <c r="AL74" s="20">
        <f t="shared" si="58"/>
        <v>332.88562249920523</v>
      </c>
      <c r="AM74" s="59">
        <f t="shared" si="59"/>
        <v>626.21895583253854</v>
      </c>
      <c r="AN74" s="59">
        <f ca="1">AVERAGE(OFFSET($AM$3,0,0,'Données projet'!$E$10+1,1))-AVERAGE(OFFSET($H$3,0,0,'Données projet'!$E$10+1,1))</f>
        <v>122.69576746316494</v>
      </c>
      <c r="AO74" s="59">
        <f t="shared" si="90"/>
        <v>103.29025722669985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5.0552454772571229</v>
      </c>
      <c r="AW74" s="21">
        <f>EXP(-LN(2)/2)*AW73+(1-EXP(-LN(2)/2))/(LN(2)/2)*AQ74*AT74*VLOOKUP('Données projet'!$B$10,Paramètres!$A$1:$I$89,3,0)*0.475*44/12</f>
        <v>2.1010438888823657E-5</v>
      </c>
      <c r="AX74" s="21">
        <f t="shared" si="60"/>
        <v>5.0552664876960121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-2.8421709430404007E-13</v>
      </c>
      <c r="BE74" s="13">
        <f>BD74*VLOOKUP('Données projet'!$B$11,Paramètres!$A$1:$I$89,3,0)*VLOOKUP('Données projet'!$B$11,Paramètres!$A$1:$I$89,5,0)</f>
        <v>-1.69961822393816E-13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171.96009656745713</v>
      </c>
      <c r="BJ74" s="59">
        <f t="shared" si="92"/>
        <v>172.37574906747716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0.74058364380019959</v>
      </c>
      <c r="BQ74" s="21">
        <f>EXP(-LN(2)/25)*BQ73+(1-EXP(-LN(2)/25))/(LN(2)/25)*Calculateur!BL74*Calculateur!BN74*VLOOKUP('Données projet'!$B$11,Paramètres!$A$1:$I$89,3,0)*0.475*44/12</f>
        <v>6.5958370854188999</v>
      </c>
      <c r="BR74" s="21">
        <f>EXP(-LN(2)/2)*BR73+(1-EXP(-LN(2)/2))/(LN(2)/2)*BL74*BO74*VLOOKUP('Données projet'!$B$11,Paramètres!$A$1:$I$89,3,0)*0.475*44/12</f>
        <v>8.1222852551633534E-6</v>
      </c>
      <c r="BS74" s="22">
        <f t="shared" si="63"/>
        <v>7.3364288515043548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8.6875</v>
      </c>
      <c r="N75" s="13">
        <f>IF('Données projet'!$A$36&gt;35,N74+M75-V74,IF(A75&lt;'Données projet'!$A$36,$K$205^A75,IF(A75='Données projet'!$A$36,'Données projet'!$B$36,N74+M75-V74)))</f>
        <v>272.27884615384602</v>
      </c>
      <c r="O75" s="13">
        <f>N75*VLOOKUP('Données projet'!$B$9,Paramètres!$A$1:$I$89,3,0)*VLOOKUP('Données projet'!$B$9,Paramètres!$A$1:$I$89,5,0)</f>
        <v>246.35789999999989</v>
      </c>
      <c r="P75" s="13">
        <f t="shared" si="87"/>
        <v>59.805375077411945</v>
      </c>
      <c r="Q75" s="20">
        <f t="shared" si="54"/>
        <v>533.23437075982554</v>
      </c>
      <c r="R75" s="59">
        <f t="shared" si="55"/>
        <v>826.56770409315891</v>
      </c>
      <c r="S75" s="59">
        <f ca="1">AVERAGE(OFFSET($R$3,0,0,'Données projet'!$E$9+1,1))-AVERAGE(OFFSET($H$3,0,0,'Données projet'!$E$9+1,1))</f>
        <v>309.07357540707869</v>
      </c>
      <c r="T75" s="59">
        <f t="shared" si="88"/>
        <v>155.9593924683299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6.2061538461538532</v>
      </c>
      <c r="AI75" s="13">
        <f>IF('Données projet'!$A$62&gt;35,AI74+AH75-AQ74,IF(A75&lt;'Données projet'!$A$62,$AF$205^A75,IF(A75='Données projet'!$A$62,'Données projet'!$B$62,AI74+AH75-AQ74)))</f>
        <v>260.5200000000001</v>
      </c>
      <c r="AJ75" s="13">
        <f>AI75*VLOOKUP('Données projet'!$B$10,Paramètres!$A$1:$I$89,3,0)*VLOOKUP('Données projet'!$B$10,Paramètres!$A$1:$I$89,5,0)</f>
        <v>155.79096000000007</v>
      </c>
      <c r="AK75" s="13">
        <f t="shared" si="89"/>
        <v>39.891686747728144</v>
      </c>
      <c r="AL75" s="20">
        <f t="shared" si="58"/>
        <v>340.81394308562659</v>
      </c>
      <c r="AM75" s="59">
        <f t="shared" si="59"/>
        <v>634.1472764189599</v>
      </c>
      <c r="AN75" s="59">
        <f ca="1">AVERAGE(OFFSET($AM$3,0,0,'Données projet'!$E$10+1,1))-AVERAGE(OFFSET($H$3,0,0,'Données projet'!$E$10+1,1))</f>
        <v>122.69576746316494</v>
      </c>
      <c r="AO75" s="59">
        <f t="shared" si="90"/>
        <v>103.29025722669985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4.9170095238377209</v>
      </c>
      <c r="AW75" s="21">
        <f>EXP(-LN(2)/2)*AW74+(1-EXP(-LN(2)/2))/(LN(2)/2)*AQ75*AT75*VLOOKUP('Données projet'!$B$10,Paramètres!$A$1:$I$89,3,0)*0.475*44/12</f>
        <v>1.4856623813992759E-5</v>
      </c>
      <c r="AX75" s="21">
        <f t="shared" si="60"/>
        <v>4.9170243804615348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-2.8421709430404007E-13</v>
      </c>
      <c r="BE75" s="13">
        <f>BD75*VLOOKUP('Données projet'!$B$11,Paramètres!$A$1:$I$89,3,0)*VLOOKUP('Données projet'!$B$11,Paramètres!$A$1:$I$89,5,0)</f>
        <v>-1.69961822393816E-13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171.96009656745713</v>
      </c>
      <c r="BJ75" s="59">
        <f t="shared" si="92"/>
        <v>172.37574906747716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0.72606125025669754</v>
      </c>
      <c r="BQ75" s="21">
        <f>EXP(-LN(2)/25)*BQ74+(1-EXP(-LN(2)/25))/(LN(2)/25)*Calculateur!BL75*Calculateur!BN75*VLOOKUP('Données projet'!$B$11,Paramètres!$A$1:$I$89,3,0)*0.475*44/12</f>
        <v>6.4154735734581232</v>
      </c>
      <c r="BR75" s="21">
        <f>EXP(-LN(2)/2)*BR74+(1-EXP(-LN(2)/2))/(LN(2)/2)*BL75*BO75*VLOOKUP('Données projet'!$B$11,Paramètres!$A$1:$I$89,3,0)*0.475*44/12</f>
        <v>5.7433229826575147E-6</v>
      </c>
      <c r="BS75" s="22">
        <f t="shared" si="63"/>
        <v>7.1415405670378034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8.6875</v>
      </c>
      <c r="N76" s="13">
        <f>IF('Données projet'!$A$36&gt;35,N75+M76-V75,IF(A76&lt;'Données projet'!$A$36,$K$205^A76,IF(A76='Données projet'!$A$36,'Données projet'!$B$36,N75+M76-V75)))</f>
        <v>280.96634615384602</v>
      </c>
      <c r="O76" s="13">
        <f>N76*VLOOKUP('Données projet'!$B$9,Paramètres!$A$1:$I$89,3,0)*VLOOKUP('Données projet'!$B$9,Paramètres!$A$1:$I$89,5,0)</f>
        <v>254.21834999999987</v>
      </c>
      <c r="P76" s="13">
        <f t="shared" si="87"/>
        <v>61.488355471111007</v>
      </c>
      <c r="Q76" s="20">
        <f t="shared" si="54"/>
        <v>549.85584536218471</v>
      </c>
      <c r="R76" s="59">
        <f t="shared" si="55"/>
        <v>843.18917869551797</v>
      </c>
      <c r="S76" s="59">
        <f ca="1">AVERAGE(OFFSET($R$3,0,0,'Données projet'!$E$9+1,1))-AVERAGE(OFFSET($H$3,0,0,'Données projet'!$E$9+1,1))</f>
        <v>309.07357540707869</v>
      </c>
      <c r="T76" s="59">
        <f t="shared" si="88"/>
        <v>155.9593924683299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6.2061538461538532</v>
      </c>
      <c r="AI76" s="13">
        <f>IF('Données projet'!$A$62&gt;35,AI75+AH76-AQ75,IF(A76&lt;'Données projet'!$A$62,$AF$205^A76,IF(A76='Données projet'!$A$62,'Données projet'!$B$62,AI75+AH76-AQ75)))</f>
        <v>266.72615384615392</v>
      </c>
      <c r="AJ76" s="13">
        <f>AI76*VLOOKUP('Données projet'!$B$10,Paramètres!$A$1:$I$89,3,0)*VLOOKUP('Données projet'!$B$10,Paramètres!$A$1:$I$89,5,0)</f>
        <v>159.50224000000006</v>
      </c>
      <c r="AK76" s="13">
        <f t="shared" si="89"/>
        <v>40.730223897870985</v>
      </c>
      <c r="AL76" s="20">
        <f t="shared" si="58"/>
        <v>348.73820795545868</v>
      </c>
      <c r="AM76" s="59">
        <f t="shared" si="59"/>
        <v>642.07154128879199</v>
      </c>
      <c r="AN76" s="59">
        <f ca="1">AVERAGE(OFFSET($AM$3,0,0,'Données projet'!$E$10+1,1))-AVERAGE(OFFSET($H$3,0,0,'Données projet'!$E$10+1,1))</f>
        <v>122.69576746316494</v>
      </c>
      <c r="AO76" s="59">
        <f t="shared" si="90"/>
        <v>103.29025722669985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4.7825536398340853</v>
      </c>
      <c r="AW76" s="21">
        <f>EXP(-LN(2)/2)*AW75+(1-EXP(-LN(2)/2))/(LN(2)/2)*AQ76*AT76*VLOOKUP('Données projet'!$B$10,Paramètres!$A$1:$I$89,3,0)*0.475*44/12</f>
        <v>1.050521944441183E-5</v>
      </c>
      <c r="AX76" s="21">
        <f t="shared" si="60"/>
        <v>4.7825641450535299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-2.8421709430404007E-13</v>
      </c>
      <c r="BE76" s="13">
        <f>BD76*VLOOKUP('Données projet'!$B$11,Paramètres!$A$1:$I$89,3,0)*VLOOKUP('Données projet'!$B$11,Paramètres!$A$1:$I$89,5,0)</f>
        <v>-1.69961822393816E-13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171.96009656745713</v>
      </c>
      <c r="BJ76" s="59">
        <f t="shared" si="92"/>
        <v>172.37574906747716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0.71182363199279819</v>
      </c>
      <c r="BQ76" s="21">
        <f>EXP(-LN(2)/25)*BQ75+(1-EXP(-LN(2)/25))/(LN(2)/25)*Calculateur!BL76*Calculateur!BN76*VLOOKUP('Données projet'!$B$11,Paramètres!$A$1:$I$89,3,0)*0.475*44/12</f>
        <v>6.2400421112168187</v>
      </c>
      <c r="BR76" s="21">
        <f>EXP(-LN(2)/2)*BR75+(1-EXP(-LN(2)/2))/(LN(2)/2)*BL76*BO76*VLOOKUP('Données projet'!$B$11,Paramètres!$A$1:$I$89,3,0)*0.475*44/12</f>
        <v>4.0611426275816767E-6</v>
      </c>
      <c r="BS76" s="22">
        <f t="shared" si="63"/>
        <v>6.9518698043522447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289.65384615384613</v>
      </c>
      <c r="L77" s="12">
        <f>VLOOKUP(A77,'Données projet'!$A$35:$I$55,9,0)</f>
        <v>8.6875</v>
      </c>
      <c r="M77" s="12">
        <f t="array" ref="M77">INDEX(L:L,MIN(IF(ISNUMBER(L77:L273),ROW(L77:L273),"")))</f>
        <v>8.6875</v>
      </c>
      <c r="N77" s="13">
        <f>IF('Données projet'!$A$36&gt;35,N76+M77-V76,IF(A77&lt;'Données projet'!$A$36,$K$205^A77,IF(A77='Données projet'!$A$36,'Données projet'!$B$36,N76+M77-V76)))</f>
        <v>289.65384615384602</v>
      </c>
      <c r="O77" s="13">
        <f>N77*VLOOKUP('Données projet'!$B$9,Paramètres!$A$1:$I$89,3,0)*VLOOKUP('Données projet'!$B$9,Paramètres!$A$1:$I$89,5,0)</f>
        <v>262.07879999999989</v>
      </c>
      <c r="P77" s="13">
        <f t="shared" si="87"/>
        <v>63.165288525021069</v>
      </c>
      <c r="Q77" s="20">
        <f t="shared" si="54"/>
        <v>566.46678751441152</v>
      </c>
      <c r="R77" s="59">
        <f t="shared" si="55"/>
        <v>859.80012084774489</v>
      </c>
      <c r="S77" s="59">
        <f ca="1">AVERAGE(OFFSET($R$3,0,0,'Données projet'!$E$9+1,1))-AVERAGE(OFFSET($H$3,0,0,'Données projet'!$E$9+1,1))</f>
        <v>309.07357540707869</v>
      </c>
      <c r="T77" s="59">
        <f t="shared" si="88"/>
        <v>155.9593924683299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52.737179487179482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6.2061538461538532</v>
      </c>
      <c r="AI77" s="13">
        <f>IF('Données projet'!$A$62&gt;35,AI76+AH77-AQ76,IF(A77&lt;'Données projet'!$A$62,$AF$205^A77,IF(A77='Données projet'!$A$62,'Données projet'!$B$62,AI76+AH77-AQ76)))</f>
        <v>272.93230769230775</v>
      </c>
      <c r="AJ77" s="13">
        <f>AI77*VLOOKUP('Données projet'!$B$10,Paramètres!$A$1:$I$89,3,0)*VLOOKUP('Données projet'!$B$10,Paramètres!$A$1:$I$89,5,0)</f>
        <v>163.21352000000005</v>
      </c>
      <c r="AK77" s="13">
        <f t="shared" si="89"/>
        <v>41.566492825495779</v>
      </c>
      <c r="AL77" s="20">
        <f t="shared" si="58"/>
        <v>356.65852233773853</v>
      </c>
      <c r="AM77" s="59">
        <f t="shared" si="59"/>
        <v>649.99185567107179</v>
      </c>
      <c r="AN77" s="59">
        <f ca="1">AVERAGE(OFFSET($AM$3,0,0,'Données projet'!$E$10+1,1))-AVERAGE(OFFSET($H$3,0,0,'Données projet'!$E$10+1,1))</f>
        <v>122.69576746316494</v>
      </c>
      <c r="AO77" s="59">
        <f t="shared" si="90"/>
        <v>103.29025722669985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4.6517744590492569</v>
      </c>
      <c r="AW77" s="21">
        <f>EXP(-LN(2)/2)*AW76+(1-EXP(-LN(2)/2))/(LN(2)/2)*AQ77*AT77*VLOOKUP('Données projet'!$B$10,Paramètres!$A$1:$I$89,3,0)*0.475*44/12</f>
        <v>7.4283119069963812E-6</v>
      </c>
      <c r="AX77" s="21">
        <f t="shared" si="60"/>
        <v>4.6517818873611638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-2.8421709430404007E-13</v>
      </c>
      <c r="BE77" s="13">
        <f>BD77*VLOOKUP('Données projet'!$B$11,Paramètres!$A$1:$I$89,3,0)*VLOOKUP('Données projet'!$B$11,Paramètres!$A$1:$I$89,5,0)</f>
        <v>-1.69961822393816E-13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171.96009656745713</v>
      </c>
      <c r="BJ77" s="59">
        <f t="shared" si="92"/>
        <v>172.37574906747716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0.6978652047389643</v>
      </c>
      <c r="BQ77" s="21">
        <f>EXP(-LN(2)/25)*BQ76+(1-EXP(-LN(2)/25))/(LN(2)/25)*Calculateur!BL77*Calculateur!BN77*VLOOKUP('Données projet'!$B$11,Paramètres!$A$1:$I$89,3,0)*0.475*44/12</f>
        <v>6.0694078315360418</v>
      </c>
      <c r="BR77" s="21">
        <f>EXP(-LN(2)/2)*BR76+(1-EXP(-LN(2)/2))/(LN(2)/2)*BL77*BO77*VLOOKUP('Données projet'!$B$11,Paramètres!$A$1:$I$89,3,0)*0.475*44/12</f>
        <v>2.8716614913287573E-6</v>
      </c>
      <c r="BS77" s="22">
        <f t="shared" si="63"/>
        <v>6.7672759079364981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8.1746794871794854</v>
      </c>
      <c r="N78" s="13">
        <f>IF('Données projet'!$A$36&gt;35,N77+M78-V77,IF(A78&lt;'Données projet'!$A$36,$K$205^A78,IF(A78='Données projet'!$A$36,'Données projet'!$B$36,N77+M78-V77)))</f>
        <v>245.09134615384605</v>
      </c>
      <c r="O78" s="13">
        <f>N78*VLOOKUP('Données projet'!$B$9,Paramètres!$A$1:$I$89,3,0)*VLOOKUP('Données projet'!$B$9,Paramètres!$A$1:$I$89,5,0)</f>
        <v>221.7586499999999</v>
      </c>
      <c r="P78" s="13">
        <f t="shared" si="87"/>
        <v>54.49694230414304</v>
      </c>
      <c r="Q78" s="20">
        <f t="shared" si="54"/>
        <v>481.14515659638232</v>
      </c>
      <c r="R78" s="59">
        <f t="shared" si="55"/>
        <v>774.47848992971558</v>
      </c>
      <c r="S78" s="59">
        <f ca="1">AVERAGE(OFFSET($R$3,0,0,'Données projet'!$E$9+1,1))-AVERAGE(OFFSET($H$3,0,0,'Données projet'!$E$9+1,1))</f>
        <v>309.07357540707869</v>
      </c>
      <c r="T78" s="59">
        <f t="shared" si="88"/>
        <v>155.9593924683299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6.2061538461538532</v>
      </c>
      <c r="AI78" s="13">
        <f>IF('Données projet'!$A$62&gt;35,AI77+AH78-AQ77,IF(A78&lt;'Données projet'!$A$62,$AF$205^A78,IF(A78='Données projet'!$A$62,'Données projet'!$B$62,AI77+AH78-AQ77)))</f>
        <v>279.13846153846157</v>
      </c>
      <c r="AJ78" s="13">
        <f>AI78*VLOOKUP('Données projet'!$B$10,Paramètres!$A$1:$I$89,3,0)*VLOOKUP('Données projet'!$B$10,Paramètres!$A$1:$I$89,5,0)</f>
        <v>166.92480000000003</v>
      </c>
      <c r="AK78" s="13">
        <f t="shared" si="89"/>
        <v>42.400551044671708</v>
      </c>
      <c r="AL78" s="20">
        <f t="shared" si="58"/>
        <v>364.57498640280323</v>
      </c>
      <c r="AM78" s="59">
        <f t="shared" si="59"/>
        <v>657.90831973613649</v>
      </c>
      <c r="AN78" s="59">
        <f ca="1">AVERAGE(OFFSET($AM$3,0,0,'Données projet'!$E$10+1,1))-AVERAGE(OFFSET($H$3,0,0,'Données projet'!$E$10+1,1))</f>
        <v>122.69576746316494</v>
      </c>
      <c r="AO78" s="59">
        <f t="shared" si="90"/>
        <v>103.29025722669985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4.5245714418403677</v>
      </c>
      <c r="AW78" s="21">
        <f>EXP(-LN(2)/2)*AW77+(1-EXP(-LN(2)/2))/(LN(2)/2)*AQ78*AT78*VLOOKUP('Données projet'!$B$10,Paramètres!$A$1:$I$89,3,0)*0.475*44/12</f>
        <v>5.2526097222059161E-6</v>
      </c>
      <c r="AX78" s="21">
        <f t="shared" si="60"/>
        <v>4.52457669445009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-2.8421709430404007E-13</v>
      </c>
      <c r="BE78" s="13">
        <f>BD78*VLOOKUP('Données projet'!$B$11,Paramètres!$A$1:$I$89,3,0)*VLOOKUP('Données projet'!$B$11,Paramètres!$A$1:$I$89,5,0)</f>
        <v>-1.69961822393816E-13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171.96009656745713</v>
      </c>
      <c r="BJ78" s="59">
        <f t="shared" si="92"/>
        <v>172.37574906747716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0.68418049372977807</v>
      </c>
      <c r="BQ78" s="21">
        <f>EXP(-LN(2)/25)*BQ77+(1-EXP(-LN(2)/25))/(LN(2)/25)*Calculateur!BL78*Calculateur!BN78*VLOOKUP('Données projet'!$B$11,Paramètres!$A$1:$I$89,3,0)*0.475*44/12</f>
        <v>5.9034395552064023</v>
      </c>
      <c r="BR78" s="21">
        <f>EXP(-LN(2)/2)*BR77+(1-EXP(-LN(2)/2))/(LN(2)/2)*BL78*BO78*VLOOKUP('Données projet'!$B$11,Paramètres!$A$1:$I$89,3,0)*0.475*44/12</f>
        <v>2.0305713137908383E-6</v>
      </c>
      <c r="BS78" s="22">
        <f t="shared" si="63"/>
        <v>6.5876220795074945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8.1746794871794854</v>
      </c>
      <c r="N79" s="13">
        <f>IF('Données projet'!$A$36&gt;35,N78+M79-V78,IF(A79&lt;'Données projet'!$A$36,$K$205^A79,IF(A79='Données projet'!$A$36,'Données projet'!$B$36,N78+M79-V78)))</f>
        <v>253.26602564102552</v>
      </c>
      <c r="O79" s="13">
        <f>N79*VLOOKUP('Données projet'!$B$9,Paramètres!$A$1:$I$89,3,0)*VLOOKUP('Données projet'!$B$9,Paramètres!$A$1:$I$89,5,0)</f>
        <v>229.15509999999986</v>
      </c>
      <c r="P79" s="13">
        <f t="shared" si="87"/>
        <v>56.099955286020709</v>
      </c>
      <c r="Q79" s="20">
        <f t="shared" si="54"/>
        <v>496.8192212898191</v>
      </c>
      <c r="R79" s="59">
        <f t="shared" si="55"/>
        <v>790.15255462315235</v>
      </c>
      <c r="S79" s="59">
        <f ca="1">AVERAGE(OFFSET($R$3,0,0,'Données projet'!$E$9+1,1))-AVERAGE(OFFSET($H$3,0,0,'Données projet'!$E$9+1,1))</f>
        <v>309.07357540707869</v>
      </c>
      <c r="T79" s="59">
        <f t="shared" si="88"/>
        <v>155.9593924683299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6.2061538461538532</v>
      </c>
      <c r="AI79" s="13">
        <f>IF('Données projet'!$A$62&gt;35,AI78+AH79-AQ78,IF(A79&lt;'Données projet'!$A$62,$AF$205^A79,IF(A79='Données projet'!$A$62,'Données projet'!$B$62,AI78+AH79-AQ78)))</f>
        <v>285.34461538461539</v>
      </c>
      <c r="AJ79" s="13">
        <f>AI79*VLOOKUP('Données projet'!$B$10,Paramètres!$A$1:$I$89,3,0)*VLOOKUP('Données projet'!$B$10,Paramètres!$A$1:$I$89,5,0)</f>
        <v>170.63608000000002</v>
      </c>
      <c r="AK79" s="13">
        <f t="shared" si="89"/>
        <v>43.232453366004947</v>
      </c>
      <c r="AL79" s="20">
        <f t="shared" si="58"/>
        <v>372.48769561245859</v>
      </c>
      <c r="AM79" s="59">
        <f t="shared" si="59"/>
        <v>665.82102894579191</v>
      </c>
      <c r="AN79" s="59">
        <f ca="1">AVERAGE(OFFSET($AM$3,0,0,'Données projet'!$E$10+1,1))-AVERAGE(OFFSET($H$3,0,0,'Données projet'!$E$10+1,1))</f>
        <v>122.69576746316494</v>
      </c>
      <c r="AO79" s="59">
        <f t="shared" si="90"/>
        <v>103.29025722669985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4.4008467978263717</v>
      </c>
      <c r="AW79" s="21">
        <f>EXP(-LN(2)/2)*AW78+(1-EXP(-LN(2)/2))/(LN(2)/2)*AQ79*AT79*VLOOKUP('Données projet'!$B$10,Paramètres!$A$1:$I$89,3,0)*0.475*44/12</f>
        <v>3.714155953498191E-6</v>
      </c>
      <c r="AX79" s="21">
        <f t="shared" si="60"/>
        <v>4.4008505119823251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-2.8421709430404007E-13</v>
      </c>
      <c r="BE79" s="13">
        <f>BD79*VLOOKUP('Données projet'!$B$11,Paramètres!$A$1:$I$89,3,0)*VLOOKUP('Données projet'!$B$11,Paramètres!$A$1:$I$89,5,0)</f>
        <v>-1.69961822393816E-13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171.96009656745713</v>
      </c>
      <c r="BJ79" s="59">
        <f t="shared" si="92"/>
        <v>172.37574906747716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0.6707641315566325</v>
      </c>
      <c r="BQ79" s="21">
        <f>EXP(-LN(2)/25)*BQ78+(1-EXP(-LN(2)/25))/(LN(2)/25)*Calculateur!BL79*Calculateur!BN79*VLOOKUP('Données projet'!$B$11,Paramètres!$A$1:$I$89,3,0)*0.475*44/12</f>
        <v>5.7420096901208897</v>
      </c>
      <c r="BR79" s="21">
        <f>EXP(-LN(2)/2)*BR78+(1-EXP(-LN(2)/2))/(LN(2)/2)*BL79*BO79*VLOOKUP('Données projet'!$B$11,Paramètres!$A$1:$I$89,3,0)*0.475*44/12</f>
        <v>1.4358307456643787E-6</v>
      </c>
      <c r="BS79" s="22">
        <f t="shared" si="63"/>
        <v>6.4127752575082679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8.1746794871794854</v>
      </c>
      <c r="N80" s="13">
        <f>IF('Données projet'!$A$36&gt;35,N79+M80-V79,IF(A80&lt;'Données projet'!$A$36,$K$205^A80,IF(A80='Données projet'!$A$36,'Données projet'!$B$36,N79+M80-V79)))</f>
        <v>261.44070512820502</v>
      </c>
      <c r="O80" s="13">
        <f>N80*VLOOKUP('Données projet'!$B$9,Paramètres!$A$1:$I$89,3,0)*VLOOKUP('Données projet'!$B$9,Paramètres!$A$1:$I$89,5,0)</f>
        <v>236.55154999999991</v>
      </c>
      <c r="P80" s="13">
        <f t="shared" si="87"/>
        <v>57.696955867207052</v>
      </c>
      <c r="Q80" s="20">
        <f t="shared" si="54"/>
        <v>512.4828143853855</v>
      </c>
      <c r="R80" s="59">
        <f t="shared" si="55"/>
        <v>805.81614771871887</v>
      </c>
      <c r="S80" s="59">
        <f ca="1">AVERAGE(OFFSET($R$3,0,0,'Données projet'!$E$9+1,1))-AVERAGE(OFFSET($H$3,0,0,'Données projet'!$E$9+1,1))</f>
        <v>309.07357540707869</v>
      </c>
      <c r="T80" s="59">
        <f t="shared" si="88"/>
        <v>155.9593924683299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6.2061538461538532</v>
      </c>
      <c r="AI80" s="13">
        <f>IF('Données projet'!$A$62&gt;35,AI79+AH80-AQ79,IF(A80&lt;'Données projet'!$A$62,$AF$205^A80,IF(A80='Données projet'!$A$62,'Données projet'!$B$62,AI79+AH80-AQ79)))</f>
        <v>291.55076923076922</v>
      </c>
      <c r="AJ80" s="13">
        <f>AI80*VLOOKUP('Données projet'!$B$10,Paramètres!$A$1:$I$89,3,0)*VLOOKUP('Données projet'!$B$10,Paramètres!$A$1:$I$89,5,0)</f>
        <v>174.34736000000001</v>
      </c>
      <c r="AK80" s="13">
        <f t="shared" si="89"/>
        <v>44.062252079707392</v>
      </c>
      <c r="AL80" s="20">
        <f t="shared" si="58"/>
        <v>380.39674103882379</v>
      </c>
      <c r="AM80" s="59">
        <f t="shared" si="59"/>
        <v>673.73007437215711</v>
      </c>
      <c r="AN80" s="59">
        <f ca="1">AVERAGE(OFFSET($AM$3,0,0,'Données projet'!$E$10+1,1))-AVERAGE(OFFSET($H$3,0,0,'Données projet'!$E$10+1,1))</f>
        <v>122.69576746316494</v>
      </c>
      <c r="AO80" s="59">
        <f t="shared" si="90"/>
        <v>103.29025722669985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4.2805054107093348</v>
      </c>
      <c r="AW80" s="21">
        <f>EXP(-LN(2)/2)*AW79+(1-EXP(-LN(2)/2))/(LN(2)/2)*AQ80*AT80*VLOOKUP('Données projet'!$B$10,Paramètres!$A$1:$I$89,3,0)*0.475*44/12</f>
        <v>2.6263048611029585E-6</v>
      </c>
      <c r="AX80" s="21">
        <f t="shared" si="60"/>
        <v>4.2805080370141955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-2.8421709430404007E-13</v>
      </c>
      <c r="BE80" s="13">
        <f>BD80*VLOOKUP('Données projet'!$B$11,Paramètres!$A$1:$I$89,3,0)*VLOOKUP('Données projet'!$B$11,Paramètres!$A$1:$I$89,5,0)</f>
        <v>-1.69961822393816E-13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171.96009656745713</v>
      </c>
      <c r="BJ80" s="59">
        <f t="shared" si="92"/>
        <v>172.37574906747716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0.65761085606252934</v>
      </c>
      <c r="BQ80" s="21">
        <f>EXP(-LN(2)/25)*BQ79+(1-EXP(-LN(2)/25))/(LN(2)/25)*Calculateur!BL80*Calculateur!BN80*VLOOKUP('Données projet'!$B$11,Paramètres!$A$1:$I$89,3,0)*0.475*44/12</f>
        <v>5.5849941331853676</v>
      </c>
      <c r="BR80" s="21">
        <f>EXP(-LN(2)/2)*BR79+(1-EXP(-LN(2)/2))/(LN(2)/2)*BL80*BO80*VLOOKUP('Données projet'!$B$11,Paramètres!$A$1:$I$89,3,0)*0.475*44/12</f>
        <v>1.0152856568954192E-6</v>
      </c>
      <c r="BS80" s="22">
        <f t="shared" si="63"/>
        <v>6.2426060045335543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8.1746794871794854</v>
      </c>
      <c r="N81" s="13">
        <f>IF('Données projet'!$A$36&gt;35,N80+M81-V80,IF(A81&lt;'Données projet'!$A$36,$K$205^A81,IF(A81='Données projet'!$A$36,'Données projet'!$B$36,N80+M81-V80)))</f>
        <v>269.61538461538453</v>
      </c>
      <c r="O81" s="13">
        <f>N81*VLOOKUP('Données projet'!$B$9,Paramètres!$A$1:$I$89,3,0)*VLOOKUP('Données projet'!$B$9,Paramètres!$A$1:$I$89,5,0)</f>
        <v>243.94799999999992</v>
      </c>
      <c r="P81" s="13">
        <f t="shared" si="87"/>
        <v>59.288153612728067</v>
      </c>
      <c r="Q81" s="20">
        <f t="shared" si="54"/>
        <v>528.13630087550121</v>
      </c>
      <c r="R81" s="59">
        <f t="shared" si="55"/>
        <v>821.46963420883458</v>
      </c>
      <c r="S81" s="59">
        <f ca="1">AVERAGE(OFFSET($R$3,0,0,'Données projet'!$E$9+1,1))-AVERAGE(OFFSET($H$3,0,0,'Données projet'!$E$9+1,1))</f>
        <v>309.07357540707869</v>
      </c>
      <c r="T81" s="59">
        <f t="shared" si="88"/>
        <v>155.9593924683299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6.2061538461538532</v>
      </c>
      <c r="AI81" s="13">
        <f>IF('Données projet'!$A$62&gt;35,AI80+AH81-AQ80,IF(A81&lt;'Données projet'!$A$62,$AF$205^A81,IF(A81='Données projet'!$A$62,'Données projet'!$B$62,AI80+AH81-AQ80)))</f>
        <v>297.75692307692304</v>
      </c>
      <c r="AJ81" s="13">
        <f>AI81*VLOOKUP('Données projet'!$B$10,Paramètres!$A$1:$I$89,3,0)*VLOOKUP('Données projet'!$B$10,Paramètres!$A$1:$I$89,5,0)</f>
        <v>178.05864</v>
      </c>
      <c r="AK81" s="13">
        <f t="shared" si="89"/>
        <v>44.88999712263788</v>
      </c>
      <c r="AL81" s="20">
        <f t="shared" si="58"/>
        <v>388.30220965526092</v>
      </c>
      <c r="AM81" s="59">
        <f t="shared" si="59"/>
        <v>681.63554298859424</v>
      </c>
      <c r="AN81" s="59">
        <f ca="1">AVERAGE(OFFSET($AM$3,0,0,'Données projet'!$E$10+1,1))-AVERAGE(OFFSET($H$3,0,0,'Données projet'!$E$10+1,1))</f>
        <v>122.69576746316494</v>
      </c>
      <c r="AO81" s="59">
        <f t="shared" si="90"/>
        <v>103.29025722669985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4.1634547651514913</v>
      </c>
      <c r="AW81" s="21">
        <f>EXP(-LN(2)/2)*AW80+(1-EXP(-LN(2)/2))/(LN(2)/2)*AQ81*AT81*VLOOKUP('Données projet'!$B$10,Paramètres!$A$1:$I$89,3,0)*0.475*44/12</f>
        <v>1.8570779767490959E-6</v>
      </c>
      <c r="AX81" s="21">
        <f t="shared" si="60"/>
        <v>4.163456622229468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-2.8421709430404007E-13</v>
      </c>
      <c r="BE81" s="13">
        <f>BD81*VLOOKUP('Données projet'!$B$11,Paramètres!$A$1:$I$89,3,0)*VLOOKUP('Données projet'!$B$11,Paramètres!$A$1:$I$89,5,0)</f>
        <v>-1.69961822393816E-13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171.96009656745713</v>
      </c>
      <c r="BJ81" s="59">
        <f t="shared" si="92"/>
        <v>172.37574906747716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0.64471550827815971</v>
      </c>
      <c r="BQ81" s="21">
        <f>EXP(-LN(2)/25)*BQ80+(1-EXP(-LN(2)/25))/(LN(2)/25)*Calculateur!BL81*Calculateur!BN81*VLOOKUP('Données projet'!$B$11,Paramètres!$A$1:$I$89,3,0)*0.475*44/12</f>
        <v>5.4322721749113372</v>
      </c>
      <c r="BR81" s="21">
        <f>EXP(-LN(2)/2)*BR80+(1-EXP(-LN(2)/2))/(LN(2)/2)*BL81*BO81*VLOOKUP('Données projet'!$B$11,Paramètres!$A$1:$I$89,3,0)*0.475*44/12</f>
        <v>7.1791537283218934E-7</v>
      </c>
      <c r="BS81" s="22">
        <f t="shared" si="63"/>
        <v>6.0769884011048694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8.1746794871794854</v>
      </c>
      <c r="N82" s="13">
        <f>IF('Données projet'!$A$36&gt;35,N81+M82-V81,IF(A82&lt;'Données projet'!$A$36,$K$205^A82,IF(A82='Données projet'!$A$36,'Données projet'!$B$36,N81+M82-V81)))</f>
        <v>277.79006410256403</v>
      </c>
      <c r="O82" s="13">
        <f>N82*VLOOKUP('Données projet'!$B$9,Paramètres!$A$1:$I$89,3,0)*VLOOKUP('Données projet'!$B$9,Paramètres!$A$1:$I$89,5,0)</f>
        <v>251.34444999999991</v>
      </c>
      <c r="P82" s="13">
        <f t="shared" si="87"/>
        <v>60.873744657540833</v>
      </c>
      <c r="Q82" s="20">
        <f t="shared" si="54"/>
        <v>543.78002236188331</v>
      </c>
      <c r="R82" s="59">
        <f t="shared" si="55"/>
        <v>837.11335569521657</v>
      </c>
      <c r="S82" s="59">
        <f ca="1">AVERAGE(OFFSET($R$3,0,0,'Données projet'!$E$9+1,1))-AVERAGE(OFFSET($H$3,0,0,'Données projet'!$E$9+1,1))</f>
        <v>309.07357540707869</v>
      </c>
      <c r="T82" s="59">
        <f t="shared" si="88"/>
        <v>155.9593924683299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6.2061538461538532</v>
      </c>
      <c r="AI82" s="13">
        <f>IF('Données projet'!$A$62&gt;35,AI81+AH82-AQ81,IF(A82&lt;'Données projet'!$A$62,$AF$205^A82,IF(A82='Données projet'!$A$62,'Données projet'!$B$62,AI81+AH82-AQ81)))</f>
        <v>303.96307692307687</v>
      </c>
      <c r="AJ82" s="13">
        <f>AI82*VLOOKUP('Données projet'!$B$10,Paramètres!$A$1:$I$89,3,0)*VLOOKUP('Données projet'!$B$10,Paramètres!$A$1:$I$89,5,0)</f>
        <v>181.76991999999998</v>
      </c>
      <c r="AK82" s="13">
        <f t="shared" si="89"/>
        <v>45.715736231023754</v>
      </c>
      <c r="AL82" s="20">
        <f t="shared" si="58"/>
        <v>396.2041846023663</v>
      </c>
      <c r="AM82" s="59">
        <f t="shared" si="59"/>
        <v>689.53751793569961</v>
      </c>
      <c r="AN82" s="59">
        <f ca="1">AVERAGE(OFFSET($AM$3,0,0,'Données projet'!$E$10+1,1))-AVERAGE(OFFSET($H$3,0,0,'Données projet'!$E$10+1,1))</f>
        <v>122.69576746316494</v>
      </c>
      <c r="AO82" s="59">
        <f t="shared" si="90"/>
        <v>103.29025722669985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4.0496048756518537</v>
      </c>
      <c r="AW82" s="21">
        <f>EXP(-LN(2)/2)*AW81+(1-EXP(-LN(2)/2))/(LN(2)/2)*AQ82*AT82*VLOOKUP('Données projet'!$B$10,Paramètres!$A$1:$I$89,3,0)*0.475*44/12</f>
        <v>1.3131524305514794E-6</v>
      </c>
      <c r="AX82" s="21">
        <f t="shared" si="60"/>
        <v>4.049606188804284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-2.8421709430404007E-13</v>
      </c>
      <c r="BE82" s="13">
        <f>BD82*VLOOKUP('Données projet'!$B$11,Paramètres!$A$1:$I$89,3,0)*VLOOKUP('Données projet'!$B$11,Paramètres!$A$1:$I$89,5,0)</f>
        <v>-1.69961822393816E-13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171.96009656745713</v>
      </c>
      <c r="BJ82" s="59">
        <f t="shared" si="92"/>
        <v>172.37574906747716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0.63207303039845608</v>
      </c>
      <c r="BQ82" s="21">
        <f>EXP(-LN(2)/25)*BQ81+(1-EXP(-LN(2)/25))/(LN(2)/25)*Calculateur!BL82*Calculateur!BN82*VLOOKUP('Données projet'!$B$11,Paramètres!$A$1:$I$89,3,0)*0.475*44/12</f>
        <v>5.2837264066176086</v>
      </c>
      <c r="BR82" s="21">
        <f>EXP(-LN(2)/2)*BR81+(1-EXP(-LN(2)/2))/(LN(2)/2)*BL82*BO82*VLOOKUP('Données projet'!$B$11,Paramètres!$A$1:$I$89,3,0)*0.475*44/12</f>
        <v>5.0764282844770959E-7</v>
      </c>
      <c r="BS82" s="22">
        <f t="shared" si="63"/>
        <v>5.9157999446588931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8.1746794871794854</v>
      </c>
      <c r="N83" s="13">
        <f>IF('Données projet'!$A$36&gt;35,N82+M83-V82,IF(A83&lt;'Données projet'!$A$36,$K$205^A83,IF(A83='Données projet'!$A$36,'Données projet'!$B$36,N82+M83-V82)))</f>
        <v>285.96474358974353</v>
      </c>
      <c r="O83" s="13">
        <f>N83*VLOOKUP('Données projet'!$B$9,Paramètres!$A$1:$I$89,3,0)*VLOOKUP('Données projet'!$B$9,Paramètres!$A$1:$I$89,5,0)</f>
        <v>258.7408999999999</v>
      </c>
      <c r="P83" s="13">
        <f t="shared" si="87"/>
        <v>62.453912936792911</v>
      </c>
      <c r="Q83" s="20">
        <f t="shared" si="54"/>
        <v>559.41429919824748</v>
      </c>
      <c r="R83" s="59">
        <f t="shared" si="55"/>
        <v>852.74763253158085</v>
      </c>
      <c r="S83" s="59">
        <f ca="1">AVERAGE(OFFSET($R$3,0,0,'Données projet'!$E$9+1,1))-AVERAGE(OFFSET($H$3,0,0,'Données projet'!$E$9+1,1))</f>
        <v>309.07357540707869</v>
      </c>
      <c r="T83" s="59">
        <f t="shared" si="88"/>
        <v>155.9593924683299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310.16923076923081</v>
      </c>
      <c r="AG83" s="12">
        <f>VLOOKUP(A83,'Données projet'!$A$61:$I$81,9,0)</f>
        <v>6.2061538461538532</v>
      </c>
      <c r="AH83" s="12">
        <f t="array" ref="AH83">INDEX(AG:AG,MIN(IF(ISNUMBER(AG83:AG279),ROW(AG83:AG279),"")))</f>
        <v>6.2061538461538532</v>
      </c>
      <c r="AI83" s="13">
        <f>IF('Données projet'!$A$62&gt;35,AI82+AH83-AQ82,IF(A83&lt;'Données projet'!$A$62,$AF$205^A83,IF(A83='Données projet'!$A$62,'Données projet'!$B$62,AI82+AH83-AQ82)))</f>
        <v>310.16923076923069</v>
      </c>
      <c r="AJ83" s="13">
        <f>AI83*VLOOKUP('Données projet'!$B$10,Paramètres!$A$1:$I$89,3,0)*VLOOKUP('Données projet'!$B$10,Paramètres!$A$1:$I$89,5,0)</f>
        <v>185.48119999999997</v>
      </c>
      <c r="AK83" s="13">
        <f t="shared" si="89"/>
        <v>46.539515080357305</v>
      </c>
      <c r="AL83" s="20">
        <f t="shared" si="58"/>
        <v>404.10274543162222</v>
      </c>
      <c r="AM83" s="59">
        <f t="shared" si="59"/>
        <v>697.43607876495548</v>
      </c>
      <c r="AN83" s="59">
        <f ca="1">AVERAGE(OFFSET($AM$3,0,0,'Données projet'!$E$10+1,1))-AVERAGE(OFFSET($H$3,0,0,'Données projet'!$E$10+1,1))</f>
        <v>122.69576746316494</v>
      </c>
      <c r="AO83" s="59">
        <f t="shared" si="90"/>
        <v>103.29025722669985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310.16923076923081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3.938868217367689</v>
      </c>
      <c r="AW83" s="21">
        <f>EXP(-LN(2)/2)*AW82+(1-EXP(-LN(2)/2))/(LN(2)/2)*AQ83*AT83*VLOOKUP('Données projet'!$B$10,Paramètres!$A$1:$I$89,3,0)*0.475*44/12</f>
        <v>9.2853898837454808E-7</v>
      </c>
      <c r="AX83" s="21">
        <f t="shared" si="60"/>
        <v>3.9388691459066774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-2.8421709430404007E-13</v>
      </c>
      <c r="BE83" s="13">
        <f>BD83*VLOOKUP('Données projet'!$B$11,Paramètres!$A$1:$I$89,3,0)*VLOOKUP('Données projet'!$B$11,Paramètres!$A$1:$I$89,5,0)</f>
        <v>-1.69961822393816E-13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171.96009656745713</v>
      </c>
      <c r="BJ83" s="59">
        <f t="shared" si="92"/>
        <v>172.37574906747716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0.6196784637988233</v>
      </c>
      <c r="BQ83" s="21">
        <f>EXP(-LN(2)/25)*BQ82+(1-EXP(-LN(2)/25))/(LN(2)/25)*Calculateur!BL83*Calculateur!BN83*VLOOKUP('Données projet'!$B$11,Paramètres!$A$1:$I$89,3,0)*0.475*44/12</f>
        <v>5.1392426301695542</v>
      </c>
      <c r="BR83" s="21">
        <f>EXP(-LN(2)/2)*BR82+(1-EXP(-LN(2)/2))/(LN(2)/2)*BL83*BO83*VLOOKUP('Données projet'!$B$11,Paramètres!$A$1:$I$89,3,0)*0.475*44/12</f>
        <v>3.5895768641609467E-7</v>
      </c>
      <c r="BS83" s="22">
        <f t="shared" si="63"/>
        <v>5.7589214529260637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8.1746794871794854</v>
      </c>
      <c r="N84" s="13">
        <f>IF('Données projet'!$A$36&gt;35,N83+M84-V83,IF(A84&lt;'Données projet'!$A$36,$K$205^A84,IF(A84='Données projet'!$A$36,'Données projet'!$B$36,N83+M84-V83)))</f>
        <v>294.13942307692304</v>
      </c>
      <c r="O84" s="13">
        <f>N84*VLOOKUP('Données projet'!$B$9,Paramètres!$A$1:$I$89,3,0)*VLOOKUP('Données projet'!$B$9,Paramètres!$A$1:$I$89,5,0)</f>
        <v>266.13734999999997</v>
      </c>
      <c r="P84" s="13">
        <f t="shared" si="87"/>
        <v>64.02883127145283</v>
      </c>
      <c r="Q84" s="20">
        <f t="shared" si="54"/>
        <v>575.03943238111356</v>
      </c>
      <c r="R84" s="59">
        <f t="shared" si="55"/>
        <v>868.37276571444681</v>
      </c>
      <c r="S84" s="59">
        <f ca="1">AVERAGE(OFFSET($R$3,0,0,'Données projet'!$E$9+1,1))-AVERAGE(OFFSET($H$3,0,0,'Données projet'!$E$9+1,1))</f>
        <v>309.07357540707869</v>
      </c>
      <c r="T84" s="59">
        <f t="shared" si="88"/>
        <v>155.9593924683299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122.69576746316494</v>
      </c>
      <c r="AO84" s="59">
        <f t="shared" si="90"/>
        <v>103.29025722669985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3.8311596588276924</v>
      </c>
      <c r="AW84" s="21">
        <f>EXP(-LN(2)/2)*AW83+(1-EXP(-LN(2)/2))/(LN(2)/2)*AQ84*AT84*VLOOKUP('Données projet'!$B$10,Paramètres!$A$1:$I$89,3,0)*0.475*44/12</f>
        <v>6.5657621527573982E-7</v>
      </c>
      <c r="AX84" s="21">
        <f t="shared" si="60"/>
        <v>3.8311603154039076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-2.8421709430404007E-13</v>
      </c>
      <c r="BE84" s="13">
        <f>BD84*VLOOKUP('Données projet'!$B$11,Paramètres!$A$1:$I$89,3,0)*VLOOKUP('Données projet'!$B$11,Paramètres!$A$1:$I$89,5,0)</f>
        <v>-1.69961822393816E-13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171.96009656745713</v>
      </c>
      <c r="BJ84" s="59">
        <f t="shared" si="92"/>
        <v>172.37574906747716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0.60752694709027022</v>
      </c>
      <c r="BQ84" s="21">
        <f>EXP(-LN(2)/25)*BQ83+(1-EXP(-LN(2)/25))/(LN(2)/25)*Calculateur!BL84*Calculateur!BN84*VLOOKUP('Données projet'!$B$11,Paramètres!$A$1:$I$89,3,0)*0.475*44/12</f>
        <v>4.9987097701865437</v>
      </c>
      <c r="BR84" s="21">
        <f>EXP(-LN(2)/2)*BR83+(1-EXP(-LN(2)/2))/(LN(2)/2)*BL84*BO84*VLOOKUP('Données projet'!$B$11,Paramètres!$A$1:$I$89,3,0)*0.475*44/12</f>
        <v>2.5382141422385479E-7</v>
      </c>
      <c r="BS84" s="22">
        <f t="shared" si="63"/>
        <v>5.6062369710982285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302.31410256410254</v>
      </c>
      <c r="L85" s="12">
        <f>VLOOKUP(A85,'Données projet'!$A$35:$I$55,9,0)</f>
        <v>8.1746794871794854</v>
      </c>
      <c r="M85" s="12">
        <f t="array" ref="M85">INDEX(L:L,MIN(IF(ISNUMBER(L85:L281),ROW(L85:L281),"")))</f>
        <v>8.1746794871794854</v>
      </c>
      <c r="N85" s="13">
        <f>IF('Données projet'!$A$36&gt;35,N84+M85-V84,IF(A85&lt;'Données projet'!$A$36,$K$205^A85,IF(A85='Données projet'!$A$36,'Données projet'!$B$36,N84+M85-V84)))</f>
        <v>302.31410256410254</v>
      </c>
      <c r="O85" s="13">
        <f>N85*VLOOKUP('Données projet'!$B$9,Paramètres!$A$1:$I$89,3,0)*VLOOKUP('Données projet'!$B$9,Paramètres!$A$1:$I$89,5,0)</f>
        <v>273.53379999999999</v>
      </c>
      <c r="P85" s="13">
        <f t="shared" si="87"/>
        <v>65.598662329861284</v>
      </c>
      <c r="Q85" s="20">
        <f t="shared" si="54"/>
        <v>590.65570522450832</v>
      </c>
      <c r="R85" s="59">
        <f t="shared" si="55"/>
        <v>883.9890385578417</v>
      </c>
      <c r="S85" s="59">
        <f ca="1">AVERAGE(OFFSET($R$3,0,0,'Données projet'!$E$9+1,1))-AVERAGE(OFFSET($H$3,0,0,'Données projet'!$E$9+1,1))</f>
        <v>309.07357540707869</v>
      </c>
      <c r="T85" s="59">
        <f t="shared" si="88"/>
        <v>155.9593924683299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40.371794871794869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122.69576746316494</v>
      </c>
      <c r="AO85" s="59">
        <f t="shared" si="90"/>
        <v>103.29025722669985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3.7263963964851188</v>
      </c>
      <c r="AW85" s="21">
        <f>EXP(-LN(2)/2)*AW84+(1-EXP(-LN(2)/2))/(LN(2)/2)*AQ85*AT85*VLOOKUP('Données projet'!$B$10,Paramètres!$A$1:$I$89,3,0)*0.475*44/12</f>
        <v>4.6426949418727409E-7</v>
      </c>
      <c r="AX85" s="21">
        <f t="shared" si="60"/>
        <v>3.7263968607546132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-2.8421709430404007E-13</v>
      </c>
      <c r="BE85" s="13">
        <f>BD85*VLOOKUP('Données projet'!$B$11,Paramètres!$A$1:$I$89,3,0)*VLOOKUP('Données projet'!$B$11,Paramètres!$A$1:$I$89,5,0)</f>
        <v>-1.69961822393816E-13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171.96009656745713</v>
      </c>
      <c r="BJ85" s="59">
        <f t="shared" si="92"/>
        <v>172.37574906747716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0.5956137142126785</v>
      </c>
      <c r="BQ85" s="21">
        <f>EXP(-LN(2)/25)*BQ84+(1-EXP(-LN(2)/25))/(LN(2)/25)*Calculateur!BL85*Calculateur!BN85*VLOOKUP('Données projet'!$B$11,Paramètres!$A$1:$I$89,3,0)*0.475*44/12</f>
        <v>4.8620197886500707</v>
      </c>
      <c r="BR85" s="21">
        <f>EXP(-LN(2)/2)*BR84+(1-EXP(-LN(2)/2))/(LN(2)/2)*BL85*BO85*VLOOKUP('Données projet'!$B$11,Paramètres!$A$1:$I$89,3,0)*0.475*44/12</f>
        <v>1.7947884320804733E-7</v>
      </c>
      <c r="BS85" s="22">
        <f t="shared" si="63"/>
        <v>5.4576336823415925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7.8677884615384599</v>
      </c>
      <c r="N86" s="13">
        <f>IF('Données projet'!$A$36&gt;35,N85+M86-V85,IF(A86&lt;'Données projet'!$A$36,$K$205^A86,IF(A86='Données projet'!$A$36,'Données projet'!$B$36,N85+M86-V85)))</f>
        <v>269.81009615384613</v>
      </c>
      <c r="O86" s="13">
        <f>N86*VLOOKUP('Données projet'!$B$9,Paramètres!$A$1:$I$89,3,0)*VLOOKUP('Données projet'!$B$9,Paramètres!$A$1:$I$89,5,0)</f>
        <v>244.12417499999998</v>
      </c>
      <c r="P86" s="13">
        <f t="shared" si="87"/>
        <v>59.325985011718309</v>
      </c>
      <c r="Q86" s="20">
        <f t="shared" si="54"/>
        <v>528.50902868707601</v>
      </c>
      <c r="R86" s="59">
        <f t="shared" si="55"/>
        <v>821.84236202040938</v>
      </c>
      <c r="S86" s="59">
        <f ca="1">AVERAGE(OFFSET($R$3,0,0,'Données projet'!$E$9+1,1))-AVERAGE(OFFSET($H$3,0,0,'Données projet'!$E$9+1,1))</f>
        <v>309.07357540707869</v>
      </c>
      <c r="T86" s="59">
        <f t="shared" si="88"/>
        <v>155.9593924683299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122.69576746316494</v>
      </c>
      <c r="AO86" s="59">
        <f t="shared" si="90"/>
        <v>103.29025722669985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3.6244978910605634</v>
      </c>
      <c r="AW86" s="21">
        <f>EXP(-LN(2)/2)*AW85+(1-EXP(-LN(2)/2))/(LN(2)/2)*AQ86*AT86*VLOOKUP('Données projet'!$B$10,Paramètres!$A$1:$I$89,3,0)*0.475*44/12</f>
        <v>3.2828810763786997E-7</v>
      </c>
      <c r="AX86" s="21">
        <f t="shared" si="60"/>
        <v>3.6244982193486712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-2.8421709430404007E-13</v>
      </c>
      <c r="BE86" s="13">
        <f>BD86*VLOOKUP('Données projet'!$B$11,Paramètres!$A$1:$I$89,3,0)*VLOOKUP('Données projet'!$B$11,Paramètres!$A$1:$I$89,5,0)</f>
        <v>-1.69961822393816E-13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171.96009656745713</v>
      </c>
      <c r="BJ86" s="59">
        <f t="shared" si="92"/>
        <v>172.37574906747716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0.5839340925654618</v>
      </c>
      <c r="BQ86" s="21">
        <f>EXP(-LN(2)/25)*BQ85+(1-EXP(-LN(2)/25))/(LN(2)/25)*Calculateur!BL86*Calculateur!BN86*VLOOKUP('Données projet'!$B$11,Paramètres!$A$1:$I$89,3,0)*0.475*44/12</f>
        <v>4.7290676018469258</v>
      </c>
      <c r="BR86" s="21">
        <f>EXP(-LN(2)/2)*BR85+(1-EXP(-LN(2)/2))/(LN(2)/2)*BL86*BO86*VLOOKUP('Données projet'!$B$11,Paramètres!$A$1:$I$89,3,0)*0.475*44/12</f>
        <v>1.269107071119274E-7</v>
      </c>
      <c r="BS86" s="22">
        <f t="shared" si="63"/>
        <v>5.3130018213230947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7.8677884615384599</v>
      </c>
      <c r="N87" s="13">
        <f>IF('Données projet'!$A$36&gt;35,N86+M87-V86,IF(A87&lt;'Données projet'!$A$36,$K$205^A87,IF(A87='Données projet'!$A$36,'Données projet'!$B$36,N86+M87-V86)))</f>
        <v>277.67788461538458</v>
      </c>
      <c r="O87" s="13">
        <f>N87*VLOOKUP('Données projet'!$B$9,Paramètres!$A$1:$I$89,3,0)*VLOOKUP('Données projet'!$B$9,Paramètres!$A$1:$I$89,5,0)</f>
        <v>251.24294999999998</v>
      </c>
      <c r="P87" s="13">
        <f t="shared" si="87"/>
        <v>60.852023014307242</v>
      </c>
      <c r="Q87" s="20">
        <f t="shared" si="54"/>
        <v>543.56541133325175</v>
      </c>
      <c r="R87" s="59">
        <f t="shared" si="55"/>
        <v>836.89874466658512</v>
      </c>
      <c r="S87" s="59">
        <f ca="1">AVERAGE(OFFSET($R$3,0,0,'Données projet'!$E$9+1,1))-AVERAGE(OFFSET($H$3,0,0,'Données projet'!$E$9+1,1))</f>
        <v>309.07357540707869</v>
      </c>
      <c r="T87" s="59">
        <f t="shared" si="88"/>
        <v>155.9593924683299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122.69576746316494</v>
      </c>
      <c r="AO87" s="59">
        <f t="shared" si="90"/>
        <v>103.29025722669985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3.5253858056254521</v>
      </c>
      <c r="AW87" s="21">
        <f>EXP(-LN(2)/2)*AW86+(1-EXP(-LN(2)/2))/(LN(2)/2)*AQ87*AT87*VLOOKUP('Données projet'!$B$10,Paramètres!$A$1:$I$89,3,0)*0.475*44/12</f>
        <v>2.321347470936371E-7</v>
      </c>
      <c r="AX87" s="21">
        <f t="shared" si="60"/>
        <v>3.5253860377601991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-2.8421709430404007E-13</v>
      </c>
      <c r="BE87" s="13">
        <f>BD87*VLOOKUP('Données projet'!$B$11,Paramètres!$A$1:$I$89,3,0)*VLOOKUP('Données projet'!$B$11,Paramètres!$A$1:$I$89,5,0)</f>
        <v>-1.69961822393816E-13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171.96009656745713</v>
      </c>
      <c r="BJ87" s="59">
        <f t="shared" si="92"/>
        <v>172.37574906747716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0.57248350117488123</v>
      </c>
      <c r="BQ87" s="21">
        <f>EXP(-LN(2)/25)*BQ86+(1-EXP(-LN(2)/25))/(LN(2)/25)*Calculateur!BL87*Calculateur!BN87*VLOOKUP('Données projet'!$B$11,Paramètres!$A$1:$I$89,3,0)*0.475*44/12</f>
        <v>4.5997509995835646</v>
      </c>
      <c r="BR87" s="21">
        <f>EXP(-LN(2)/2)*BR86+(1-EXP(-LN(2)/2))/(LN(2)/2)*BL87*BO87*VLOOKUP('Données projet'!$B$11,Paramètres!$A$1:$I$89,3,0)*0.475*44/12</f>
        <v>8.9739421604023667E-8</v>
      </c>
      <c r="BS87" s="22">
        <f t="shared" si="63"/>
        <v>5.172234590497867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7.8677884615384599</v>
      </c>
      <c r="N88" s="13">
        <f>IF('Données projet'!$A$36&gt;35,N87+M88-V87,IF(A88&lt;'Données projet'!$A$36,$K$205^A88,IF(A88='Données projet'!$A$36,'Données projet'!$B$36,N87+M88-V87)))</f>
        <v>285.54567307692304</v>
      </c>
      <c r="O88" s="13">
        <f>N88*VLOOKUP('Données projet'!$B$9,Paramètres!$A$1:$I$89,3,0)*VLOOKUP('Données projet'!$B$9,Paramètres!$A$1:$I$89,5,0)</f>
        <v>258.36172499999998</v>
      </c>
      <c r="P88" s="13">
        <f t="shared" si="87"/>
        <v>62.373035564748605</v>
      </c>
      <c r="Q88" s="20">
        <f t="shared" si="54"/>
        <v>558.61304131693703</v>
      </c>
      <c r="R88" s="59">
        <f t="shared" si="55"/>
        <v>851.9463746502704</v>
      </c>
      <c r="S88" s="59">
        <f ca="1">AVERAGE(OFFSET($R$3,0,0,'Données projet'!$E$9+1,1))-AVERAGE(OFFSET($H$3,0,0,'Données projet'!$E$9+1,1))</f>
        <v>309.07357540707869</v>
      </c>
      <c r="T88" s="59">
        <f t="shared" si="88"/>
        <v>155.9593924683299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122.69576746316494</v>
      </c>
      <c r="AO88" s="59">
        <f t="shared" si="90"/>
        <v>103.29025722669985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3.4289839453786422</v>
      </c>
      <c r="AW88" s="21">
        <f>EXP(-LN(2)/2)*AW87+(1-EXP(-LN(2)/2))/(LN(2)/2)*AQ88*AT88*VLOOKUP('Données projet'!$B$10,Paramètres!$A$1:$I$89,3,0)*0.475*44/12</f>
        <v>1.6414405381893501E-7</v>
      </c>
      <c r="AX88" s="21">
        <f t="shared" si="60"/>
        <v>3.4289841095226961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-2.8421709430404007E-13</v>
      </c>
      <c r="BE88" s="13">
        <f>BD88*VLOOKUP('Données projet'!$B$11,Paramètres!$A$1:$I$89,3,0)*VLOOKUP('Données projet'!$B$11,Paramètres!$A$1:$I$89,5,0)</f>
        <v>-1.69961822393816E-13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171.96009656745713</v>
      </c>
      <c r="BJ88" s="59">
        <f t="shared" si="92"/>
        <v>172.37574906747716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0.56125744889729878</v>
      </c>
      <c r="BQ88" s="21">
        <f>EXP(-LN(2)/25)*BQ87+(1-EXP(-LN(2)/25))/(LN(2)/25)*Calculateur!BL88*Calculateur!BN88*VLOOKUP('Données projet'!$B$11,Paramètres!$A$1:$I$89,3,0)*0.475*44/12</f>
        <v>4.4739705666095597</v>
      </c>
      <c r="BR88" s="21">
        <f>EXP(-LN(2)/2)*BR87+(1-EXP(-LN(2)/2))/(LN(2)/2)*BL88*BO88*VLOOKUP('Données projet'!$B$11,Paramètres!$A$1:$I$89,3,0)*0.475*44/12</f>
        <v>6.3455353555963698E-8</v>
      </c>
      <c r="BS88" s="22">
        <f t="shared" si="63"/>
        <v>5.0352280789622119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7.8677884615384599</v>
      </c>
      <c r="N89" s="13">
        <f>IF('Données projet'!$A$36&gt;35,N88+M89-V88,IF(A89&lt;'Données projet'!$A$36,$K$205^A89,IF(A89='Données projet'!$A$36,'Données projet'!$B$36,N88+M89-V88)))</f>
        <v>293.41346153846149</v>
      </c>
      <c r="O89" s="13">
        <f>N89*VLOOKUP('Données projet'!$B$9,Paramètres!$A$1:$I$89,3,0)*VLOOKUP('Données projet'!$B$9,Paramètres!$A$1:$I$89,5,0)</f>
        <v>265.48049999999995</v>
      </c>
      <c r="P89" s="13">
        <f t="shared" si="87"/>
        <v>63.88917704165199</v>
      </c>
      <c r="Q89" s="20">
        <f t="shared" si="54"/>
        <v>573.65218751421037</v>
      </c>
      <c r="R89" s="59">
        <f t="shared" si="55"/>
        <v>866.98552084754374</v>
      </c>
      <c r="S89" s="59">
        <f ca="1">AVERAGE(OFFSET($R$3,0,0,'Données projet'!$E$9+1,1))-AVERAGE(OFFSET($H$3,0,0,'Données projet'!$E$9+1,1))</f>
        <v>309.07357540707869</v>
      </c>
      <c r="T89" s="59">
        <f t="shared" si="88"/>
        <v>155.9593924683299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122.69576746316494</v>
      </c>
      <c r="AO89" s="59">
        <f t="shared" si="90"/>
        <v>103.29025722669985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3.3352181990698346</v>
      </c>
      <c r="AW89" s="21">
        <f>EXP(-LN(2)/2)*AW88+(1-EXP(-LN(2)/2))/(LN(2)/2)*AQ89*AT89*VLOOKUP('Données projet'!$B$10,Paramètres!$A$1:$I$89,3,0)*0.475*44/12</f>
        <v>1.1606737354681856E-7</v>
      </c>
      <c r="AX89" s="21">
        <f t="shared" si="60"/>
        <v>3.3352183151372081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-2.8421709430404007E-13</v>
      </c>
      <c r="BE89" s="13">
        <f>BD89*VLOOKUP('Données projet'!$B$11,Paramètres!$A$1:$I$89,3,0)*VLOOKUP('Données projet'!$B$11,Paramètres!$A$1:$I$89,5,0)</f>
        <v>-1.69961822393816E-13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171.96009656745713</v>
      </c>
      <c r="BJ89" s="59">
        <f t="shared" si="92"/>
        <v>172.37574906747716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0.55025153265766402</v>
      </c>
      <c r="BQ89" s="21">
        <f>EXP(-LN(2)/25)*BQ88+(1-EXP(-LN(2)/25))/(LN(2)/25)*Calculateur!BL89*Calculateur!BN89*VLOOKUP('Données projet'!$B$11,Paramètres!$A$1:$I$89,3,0)*0.475*44/12</f>
        <v>4.3516296061897348</v>
      </c>
      <c r="BR89" s="21">
        <f>EXP(-LN(2)/2)*BR88+(1-EXP(-LN(2)/2))/(LN(2)/2)*BL89*BO89*VLOOKUP('Données projet'!$B$11,Paramètres!$A$1:$I$89,3,0)*0.475*44/12</f>
        <v>4.4869710802011834E-8</v>
      </c>
      <c r="BS89" s="22">
        <f t="shared" si="63"/>
        <v>4.9018811837171095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7.8677884615384599</v>
      </c>
      <c r="N90" s="13">
        <f>IF('Données projet'!$A$36&gt;35,N89+M90-V89,IF(A90&lt;'Données projet'!$A$36,$K$205^A90,IF(A90='Données projet'!$A$36,'Données projet'!$B$36,N89+M90-V89)))</f>
        <v>301.28124999999994</v>
      </c>
      <c r="O90" s="13">
        <f>N90*VLOOKUP('Données projet'!$B$9,Paramètres!$A$1:$I$89,3,0)*VLOOKUP('Données projet'!$B$9,Paramètres!$A$1:$I$89,5,0)</f>
        <v>272.59927499999998</v>
      </c>
      <c r="P90" s="13">
        <f t="shared" si="87"/>
        <v>65.400593073041165</v>
      </c>
      <c r="Q90" s="20">
        <f t="shared" si="54"/>
        <v>588.68310356054678</v>
      </c>
      <c r="R90" s="59">
        <f t="shared" si="55"/>
        <v>882.01643689388015</v>
      </c>
      <c r="S90" s="59">
        <f ca="1">AVERAGE(OFFSET($R$3,0,0,'Données projet'!$E$9+1,1))-AVERAGE(OFFSET($H$3,0,0,'Données projet'!$E$9+1,1))</f>
        <v>309.07357540707869</v>
      </c>
      <c r="T90" s="59">
        <f t="shared" si="88"/>
        <v>155.9593924683299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122.69576746316494</v>
      </c>
      <c r="AO90" s="59">
        <f t="shared" si="90"/>
        <v>103.29025722669985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3.2440164820247674</v>
      </c>
      <c r="AW90" s="21">
        <f>EXP(-LN(2)/2)*AW89+(1-EXP(-LN(2)/2))/(LN(2)/2)*AQ90*AT90*VLOOKUP('Données projet'!$B$10,Paramètres!$A$1:$I$89,3,0)*0.475*44/12</f>
        <v>8.2072026909467518E-8</v>
      </c>
      <c r="AX90" s="21">
        <f t="shared" si="60"/>
        <v>3.2440165640967944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-2.8421709430404007E-13</v>
      </c>
      <c r="BE90" s="13">
        <f>BD90*VLOOKUP('Données projet'!$B$11,Paramètres!$A$1:$I$89,3,0)*VLOOKUP('Données projet'!$B$11,Paramètres!$A$1:$I$89,5,0)</f>
        <v>-1.69961822393816E-13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171.96009656745713</v>
      </c>
      <c r="BJ90" s="59">
        <f t="shared" si="92"/>
        <v>172.37574906747716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0.53946143572254235</v>
      </c>
      <c r="BQ90" s="21">
        <f>EXP(-LN(2)/25)*BQ89+(1-EXP(-LN(2)/25))/(LN(2)/25)*Calculateur!BL90*Calculateur!BN90*VLOOKUP('Données projet'!$B$11,Paramètres!$A$1:$I$89,3,0)*0.475*44/12</f>
        <v>4.2326340657662209</v>
      </c>
      <c r="BR90" s="21">
        <f>EXP(-LN(2)/2)*BR89+(1-EXP(-LN(2)/2))/(LN(2)/2)*BL90*BO90*VLOOKUP('Données projet'!$B$11,Paramètres!$A$1:$I$89,3,0)*0.475*44/12</f>
        <v>3.1727676777981849E-8</v>
      </c>
      <c r="BS90" s="22">
        <f t="shared" si="63"/>
        <v>4.7720955332164401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7.8677884615384599</v>
      </c>
      <c r="N91" s="13">
        <f>IF('Données projet'!$A$36&gt;35,N90+M91-V90,IF(A91&lt;'Données projet'!$A$36,$K$205^A91,IF(A91='Données projet'!$A$36,'Données projet'!$B$36,N90+M91-V90)))</f>
        <v>309.1490384615384</v>
      </c>
      <c r="O91" s="13">
        <f>N91*VLOOKUP('Données projet'!$B$9,Paramètres!$A$1:$I$89,3,0)*VLOOKUP('Données projet'!$B$9,Paramètres!$A$1:$I$89,5,0)</f>
        <v>279.71804999999995</v>
      </c>
      <c r="P91" s="13">
        <f t="shared" si="87"/>
        <v>66.907421247747862</v>
      </c>
      <c r="Q91" s="20">
        <f t="shared" si="54"/>
        <v>603.70602908982733</v>
      </c>
      <c r="R91" s="59">
        <f t="shared" si="55"/>
        <v>897.03936242316058</v>
      </c>
      <c r="S91" s="59">
        <f ca="1">AVERAGE(OFFSET($R$3,0,0,'Données projet'!$E$9+1,1))-AVERAGE(OFFSET($H$3,0,0,'Données projet'!$E$9+1,1))</f>
        <v>309.07357540707869</v>
      </c>
      <c r="T91" s="59">
        <f t="shared" si="88"/>
        <v>155.9593924683299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122.69576746316494</v>
      </c>
      <c r="AO91" s="59">
        <f t="shared" si="90"/>
        <v>103.29025722669985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3.1553086807283877</v>
      </c>
      <c r="AW91" s="21">
        <f>EXP(-LN(2)/2)*AW90+(1-EXP(-LN(2)/2))/(LN(2)/2)*AQ91*AT91*VLOOKUP('Données projet'!$B$10,Paramètres!$A$1:$I$89,3,0)*0.475*44/12</f>
        <v>5.8033686773409295E-8</v>
      </c>
      <c r="AX91" s="21">
        <f t="shared" si="60"/>
        <v>3.1553087387620744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-2.8421709430404007E-13</v>
      </c>
      <c r="BE91" s="13">
        <f>BD91*VLOOKUP('Données projet'!$B$11,Paramètres!$A$1:$I$89,3,0)*VLOOKUP('Données projet'!$B$11,Paramètres!$A$1:$I$89,5,0)</f>
        <v>-1.69961822393816E-13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171.96009656745713</v>
      </c>
      <c r="BJ91" s="59">
        <f t="shared" si="92"/>
        <v>172.37574906747716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0.52888292600700915</v>
      </c>
      <c r="BQ91" s="21">
        <f>EXP(-LN(2)/25)*BQ90+(1-EXP(-LN(2)/25))/(LN(2)/25)*Calculateur!BL91*Calculateur!BN91*VLOOKUP('Données projet'!$B$11,Paramètres!$A$1:$I$89,3,0)*0.475*44/12</f>
        <v>4.1168924646532918</v>
      </c>
      <c r="BR91" s="21">
        <f>EXP(-LN(2)/2)*BR90+(1-EXP(-LN(2)/2))/(LN(2)/2)*BL91*BO91*VLOOKUP('Données projet'!$B$11,Paramètres!$A$1:$I$89,3,0)*0.475*44/12</f>
        <v>2.2434855401005917E-8</v>
      </c>
      <c r="BS91" s="22">
        <f t="shared" si="63"/>
        <v>4.6457754130951567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7.8677884615384599</v>
      </c>
      <c r="N92" s="13">
        <f>IF('Données projet'!$A$36&gt;35,N91+M92-V91,IF(A92&lt;'Données projet'!$A$36,$K$205^A92,IF(A92='Données projet'!$A$36,'Données projet'!$B$36,N91+M92-V91)))</f>
        <v>317.01682692307685</v>
      </c>
      <c r="O92" s="13">
        <f>N92*VLOOKUP('Données projet'!$B$9,Paramètres!$A$1:$I$89,3,0)*VLOOKUP('Données projet'!$B$9,Paramètres!$A$1:$I$89,5,0)</f>
        <v>286.83682499999992</v>
      </c>
      <c r="P92" s="13">
        <f t="shared" si="87"/>
        <v>68.409791752349292</v>
      </c>
      <c r="Q92" s="20">
        <f t="shared" si="54"/>
        <v>618.72119084367489</v>
      </c>
      <c r="R92" s="59">
        <f t="shared" si="55"/>
        <v>912.05452417700826</v>
      </c>
      <c r="S92" s="59">
        <f ca="1">AVERAGE(OFFSET($R$3,0,0,'Données projet'!$E$9+1,1))-AVERAGE(OFFSET($H$3,0,0,'Données projet'!$E$9+1,1))</f>
        <v>309.07357540707869</v>
      </c>
      <c r="T92" s="59">
        <f t="shared" si="88"/>
        <v>155.9593924683299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122.69576746316494</v>
      </c>
      <c r="AO92" s="59">
        <f t="shared" si="90"/>
        <v>103.29025722669985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3.069026598923398</v>
      </c>
      <c r="AW92" s="21">
        <f>EXP(-LN(2)/2)*AW91+(1-EXP(-LN(2)/2))/(LN(2)/2)*AQ92*AT92*VLOOKUP('Données projet'!$B$10,Paramètres!$A$1:$I$89,3,0)*0.475*44/12</f>
        <v>4.1036013454733766E-8</v>
      </c>
      <c r="AX92" s="21">
        <f t="shared" si="60"/>
        <v>3.0690266399594113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-2.8421709430404007E-13</v>
      </c>
      <c r="BE92" s="13">
        <f>BD92*VLOOKUP('Données projet'!$B$11,Paramètres!$A$1:$I$89,3,0)*VLOOKUP('Données projet'!$B$11,Paramètres!$A$1:$I$89,5,0)</f>
        <v>-1.69961822393816E-13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171.96009656745713</v>
      </c>
      <c r="BJ92" s="59">
        <f t="shared" si="92"/>
        <v>172.37574906747716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0.51851185441474379</v>
      </c>
      <c r="BQ92" s="21">
        <f>EXP(-LN(2)/25)*BQ91+(1-EXP(-LN(2)/25))/(LN(2)/25)*Calculateur!BL92*Calculateur!BN92*VLOOKUP('Données projet'!$B$11,Paramètres!$A$1:$I$89,3,0)*0.475*44/12</f>
        <v>4.0043158237093825</v>
      </c>
      <c r="BR92" s="21">
        <f>EXP(-LN(2)/2)*BR91+(1-EXP(-LN(2)/2))/(LN(2)/2)*BL92*BO92*VLOOKUP('Données projet'!$B$11,Paramètres!$A$1:$I$89,3,0)*0.475*44/12</f>
        <v>1.5863838388990925E-8</v>
      </c>
      <c r="BS92" s="22">
        <f t="shared" si="63"/>
        <v>4.5228276939879644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324.88461538461536</v>
      </c>
      <c r="L93" s="12">
        <f>VLOOKUP(A93,'Données projet'!$A$35:$I$55,9,0)</f>
        <v>7.8677884615384599</v>
      </c>
      <c r="M93" s="12">
        <f t="array" ref="M93">INDEX(L:L,MIN(IF(ISNUMBER(L93:L289),ROW(L93:L289),"")))</f>
        <v>7.8677884615384599</v>
      </c>
      <c r="N93" s="13">
        <f>IF('Données projet'!$A$36&gt;35,N92+M93-V92,IF(A93&lt;'Données projet'!$A$36,$K$205^A93,IF(A93='Données projet'!$A$36,'Données projet'!$B$36,N92+M93-V92)))</f>
        <v>324.8846153846153</v>
      </c>
      <c r="O93" s="13">
        <f>N93*VLOOKUP('Données projet'!$B$9,Paramètres!$A$1:$I$89,3,0)*VLOOKUP('Données projet'!$B$9,Paramètres!$A$1:$I$89,5,0)</f>
        <v>293.95559999999995</v>
      </c>
      <c r="P93" s="13">
        <f t="shared" si="87"/>
        <v>69.907827943094574</v>
      </c>
      <c r="Q93" s="20">
        <f t="shared" si="54"/>
        <v>633.72880366755624</v>
      </c>
      <c r="R93" s="59">
        <f t="shared" si="55"/>
        <v>927.06213700088961</v>
      </c>
      <c r="S93" s="59">
        <f ca="1">AVERAGE(OFFSET($R$3,0,0,'Données projet'!$E$9+1,1))-AVERAGE(OFFSET($H$3,0,0,'Données projet'!$E$9+1,1))</f>
        <v>309.07357540707869</v>
      </c>
      <c r="T93" s="59">
        <f t="shared" si="88"/>
        <v>155.9593924683299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47.307692307692307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122.69576746316494</v>
      </c>
      <c r="AO93" s="59">
        <f t="shared" si="90"/>
        <v>103.29025722669985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2.985103905182743</v>
      </c>
      <c r="AW93" s="21">
        <f>EXP(-LN(2)/2)*AW92+(1-EXP(-LN(2)/2))/(LN(2)/2)*AQ93*AT93*VLOOKUP('Données projet'!$B$10,Paramètres!$A$1:$I$89,3,0)*0.475*44/12</f>
        <v>2.9016843386704651E-8</v>
      </c>
      <c r="AX93" s="21">
        <f t="shared" si="60"/>
        <v>2.9851039341995866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-2.8421709430404007E-13</v>
      </c>
      <c r="BE93" s="13">
        <f>BD93*VLOOKUP('Données projet'!$B$11,Paramètres!$A$1:$I$89,3,0)*VLOOKUP('Données projet'!$B$11,Paramètres!$A$1:$I$89,5,0)</f>
        <v>-1.69961822393816E-13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171.96009656745713</v>
      </c>
      <c r="BJ93" s="59">
        <f t="shared" si="92"/>
        <v>172.37574906747716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0.50834415321067372</v>
      </c>
      <c r="BQ93" s="21">
        <f>EXP(-LN(2)/25)*BQ92+(1-EXP(-LN(2)/25))/(LN(2)/25)*Calculateur!BL93*Calculateur!BN93*VLOOKUP('Données projet'!$B$11,Paramètres!$A$1:$I$89,3,0)*0.475*44/12</f>
        <v>3.8948175969322323</v>
      </c>
      <c r="BR93" s="21">
        <f>EXP(-LN(2)/2)*BR92+(1-EXP(-LN(2)/2))/(LN(2)/2)*BL93*BO93*VLOOKUP('Données projet'!$B$11,Paramètres!$A$1:$I$89,3,0)*0.475*44/12</f>
        <v>1.1217427700502958E-8</v>
      </c>
      <c r="BS93" s="22">
        <f t="shared" si="63"/>
        <v>4.4031617613603338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7.5871794871794922</v>
      </c>
      <c r="N94" s="13">
        <f>IF('Données projet'!$A$36&gt;35,N93+M94-V93,IF(A94&lt;'Données projet'!$A$36,$K$205^A94,IF(A94='Données projet'!$A$36,'Données projet'!$B$36,N93+M94-V93)))</f>
        <v>285.16410256410245</v>
      </c>
      <c r="O94" s="13">
        <f>N94*VLOOKUP('Données projet'!$B$9,Paramètres!$A$1:$I$89,3,0)*VLOOKUP('Données projet'!$B$9,Paramètres!$A$1:$I$89,5,0)</f>
        <v>258.01647999999989</v>
      </c>
      <c r="P94" s="13">
        <f t="shared" si="87"/>
        <v>62.299383385500001</v>
      </c>
      <c r="Q94" s="20">
        <f t="shared" si="54"/>
        <v>557.88346206307892</v>
      </c>
      <c r="R94" s="59">
        <f t="shared" si="55"/>
        <v>851.21679539641218</v>
      </c>
      <c r="S94" s="59">
        <f ca="1">AVERAGE(OFFSET($R$3,0,0,'Données projet'!$E$9+1,1))-AVERAGE(OFFSET($H$3,0,0,'Données projet'!$E$9+1,1))</f>
        <v>309.07357540707869</v>
      </c>
      <c r="T94" s="59">
        <f t="shared" si="88"/>
        <v>155.9593924683299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122.69576746316494</v>
      </c>
      <c r="AO94" s="59">
        <f t="shared" si="90"/>
        <v>103.29025722669985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2.9034760819157293</v>
      </c>
      <c r="AW94" s="21">
        <f>EXP(-LN(2)/2)*AW93+(1-EXP(-LN(2)/2))/(LN(2)/2)*AQ94*AT94*VLOOKUP('Données projet'!$B$10,Paramètres!$A$1:$I$89,3,0)*0.475*44/12</f>
        <v>2.0518006727366886E-8</v>
      </c>
      <c r="AX94" s="21">
        <f t="shared" si="60"/>
        <v>2.9034761024337361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-2.8421709430404007E-13</v>
      </c>
      <c r="BE94" s="13">
        <f>BD94*VLOOKUP('Données projet'!$B$11,Paramètres!$A$1:$I$89,3,0)*VLOOKUP('Données projet'!$B$11,Paramètres!$A$1:$I$89,5,0)</f>
        <v>-1.69961822393816E-13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171.96009656745713</v>
      </c>
      <c r="BJ94" s="59">
        <f t="shared" si="92"/>
        <v>172.37574906747716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0.49837583442553007</v>
      </c>
      <c r="BQ94" s="21">
        <f>EXP(-LN(2)/25)*BQ93+(1-EXP(-LN(2)/25))/(LN(2)/25)*Calculateur!BL94*Calculateur!BN94*VLOOKUP('Données projet'!$B$11,Paramètres!$A$1:$I$89,3,0)*0.475*44/12</f>
        <v>3.7883136049245647</v>
      </c>
      <c r="BR94" s="21">
        <f>EXP(-LN(2)/2)*BR93+(1-EXP(-LN(2)/2))/(LN(2)/2)*BL94*BO94*VLOOKUP('Données projet'!$B$11,Paramètres!$A$1:$I$89,3,0)*0.475*44/12</f>
        <v>7.9319191944954623E-9</v>
      </c>
      <c r="BS94" s="22">
        <f t="shared" si="63"/>
        <v>4.2866894472820141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7.5871794871794922</v>
      </c>
      <c r="N95" s="13">
        <f>IF('Données projet'!$A$36&gt;35,N94+M95-V94,IF(A95&lt;'Données projet'!$A$36,$K$205^A95,IF(A95='Données projet'!$A$36,'Données projet'!$B$36,N94+M95-V94)))</f>
        <v>292.75128205128192</v>
      </c>
      <c r="O95" s="13">
        <f>N95*VLOOKUP('Données projet'!$B$9,Paramètres!$A$1:$I$89,3,0)*VLOOKUP('Données projet'!$B$9,Paramètres!$A$1:$I$89,5,0)</f>
        <v>264.88135999999986</v>
      </c>
      <c r="P95" s="13">
        <f t="shared" si="87"/>
        <v>63.761757576825389</v>
      </c>
      <c r="Q95" s="20">
        <f t="shared" si="54"/>
        <v>572.38676311297058</v>
      </c>
      <c r="R95" s="59">
        <f t="shared" si="55"/>
        <v>865.72009644630384</v>
      </c>
      <c r="S95" s="59">
        <f ca="1">AVERAGE(OFFSET($R$3,0,0,'Données projet'!$E$9+1,1))-AVERAGE(OFFSET($H$3,0,0,'Données projet'!$E$9+1,1))</f>
        <v>309.07357540707869</v>
      </c>
      <c r="T95" s="59">
        <f t="shared" si="88"/>
        <v>155.9593924683299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122.69576746316494</v>
      </c>
      <c r="AO95" s="59">
        <f t="shared" si="90"/>
        <v>103.29025722669985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2.8240803757685726</v>
      </c>
      <c r="AW95" s="21">
        <f>EXP(-LN(2)/2)*AW94+(1-EXP(-LN(2)/2))/(LN(2)/2)*AQ95*AT95*VLOOKUP('Données projet'!$B$10,Paramètres!$A$1:$I$89,3,0)*0.475*44/12</f>
        <v>1.4508421693352327E-8</v>
      </c>
      <c r="AX95" s="21">
        <f t="shared" si="60"/>
        <v>2.8240803902769942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-2.8421709430404007E-13</v>
      </c>
      <c r="BE95" s="13">
        <f>BD95*VLOOKUP('Données projet'!$B$11,Paramètres!$A$1:$I$89,3,0)*VLOOKUP('Données projet'!$B$11,Paramètres!$A$1:$I$89,5,0)</f>
        <v>-1.69961822393816E-13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171.96009656745713</v>
      </c>
      <c r="BJ95" s="59">
        <f t="shared" si="92"/>
        <v>172.37574906747716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0.48860298829168897</v>
      </c>
      <c r="BQ95" s="21">
        <f>EXP(-LN(2)/25)*BQ94+(1-EXP(-LN(2)/25))/(LN(2)/25)*Calculateur!BL95*Calculateur!BN95*VLOOKUP('Données projet'!$B$11,Paramètres!$A$1:$I$89,3,0)*0.475*44/12</f>
        <v>3.6847219701791483</v>
      </c>
      <c r="BR95" s="21">
        <f>EXP(-LN(2)/2)*BR94+(1-EXP(-LN(2)/2))/(LN(2)/2)*BL95*BO95*VLOOKUP('Données projet'!$B$11,Paramètres!$A$1:$I$89,3,0)*0.475*44/12</f>
        <v>5.6087138502514792E-9</v>
      </c>
      <c r="BS95" s="22">
        <f t="shared" si="63"/>
        <v>4.1733249640795504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7.5871794871794922</v>
      </c>
      <c r="N96" s="13">
        <f>IF('Données projet'!$A$36&gt;35,N95+M96-V95,IF(A96&lt;'Données projet'!$A$36,$K$205^A96,IF(A96='Données projet'!$A$36,'Données projet'!$B$36,N95+M96-V95)))</f>
        <v>300.33846153846139</v>
      </c>
      <c r="O96" s="13">
        <f>N96*VLOOKUP('Données projet'!$B$9,Paramètres!$A$1:$I$89,3,0)*VLOOKUP('Données projet'!$B$9,Paramètres!$A$1:$I$89,5,0)</f>
        <v>271.74623999999983</v>
      </c>
      <c r="P96" s="13">
        <f t="shared" si="87"/>
        <v>65.219726325816325</v>
      </c>
      <c r="Q96" s="20">
        <f t="shared" si="54"/>
        <v>586.88239135079641</v>
      </c>
      <c r="R96" s="59">
        <f t="shared" si="55"/>
        <v>880.21572468412978</v>
      </c>
      <c r="S96" s="59">
        <f ca="1">AVERAGE(OFFSET($R$3,0,0,'Données projet'!$E$9+1,1))-AVERAGE(OFFSET($H$3,0,0,'Données projet'!$E$9+1,1))</f>
        <v>309.07357540707869</v>
      </c>
      <c r="T96" s="59">
        <f t="shared" si="88"/>
        <v>155.9593924683299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122.69576746316494</v>
      </c>
      <c r="AO96" s="59">
        <f t="shared" si="90"/>
        <v>103.29025722669985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2.7468557493812487</v>
      </c>
      <c r="AW96" s="21">
        <f>EXP(-LN(2)/2)*AW95+(1-EXP(-LN(2)/2))/(LN(2)/2)*AQ96*AT96*VLOOKUP('Données projet'!$B$10,Paramètres!$A$1:$I$89,3,0)*0.475*44/12</f>
        <v>1.0259003363683445E-8</v>
      </c>
      <c r="AX96" s="21">
        <f t="shared" si="60"/>
        <v>2.7468557596402521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-2.8421709430404007E-13</v>
      </c>
      <c r="BE96" s="13">
        <f>BD96*VLOOKUP('Données projet'!$B$11,Paramètres!$A$1:$I$89,3,0)*VLOOKUP('Données projet'!$B$11,Paramètres!$A$1:$I$89,5,0)</f>
        <v>-1.69961822393816E-13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171.96009656745713</v>
      </c>
      <c r="BJ96" s="59">
        <f t="shared" si="92"/>
        <v>172.37574906747716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0.47902178170968496</v>
      </c>
      <c r="BQ96" s="21">
        <f>EXP(-LN(2)/25)*BQ95+(1-EXP(-LN(2)/25))/(LN(2)/25)*Calculateur!BL96*Calculateur!BN96*VLOOKUP('Données projet'!$B$11,Paramètres!$A$1:$I$89,3,0)*0.475*44/12</f>
        <v>3.5839630541334926</v>
      </c>
      <c r="BR96" s="21">
        <f>EXP(-LN(2)/2)*BR95+(1-EXP(-LN(2)/2))/(LN(2)/2)*BL96*BO96*VLOOKUP('Données projet'!$B$11,Paramètres!$A$1:$I$89,3,0)*0.475*44/12</f>
        <v>3.9659595972477311E-9</v>
      </c>
      <c r="BS96" s="22">
        <f t="shared" si="63"/>
        <v>4.0629848398091379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7.5871794871794922</v>
      </c>
      <c r="N97" s="13">
        <f>IF('Données projet'!$A$36&gt;35,N96+M97-V96,IF(A97&lt;'Données projet'!$A$36,$K$205^A97,IF(A97='Données projet'!$A$36,'Données projet'!$B$36,N96+M97-V96)))</f>
        <v>307.92564102564086</v>
      </c>
      <c r="O97" s="13">
        <f>N97*VLOOKUP('Données projet'!$B$9,Paramètres!$A$1:$I$89,3,0)*VLOOKUP('Données projet'!$B$9,Paramètres!$A$1:$I$89,5,0)</f>
        <v>278.6111199999998</v>
      </c>
      <c r="P97" s="13">
        <f t="shared" si="87"/>
        <v>66.673413721636678</v>
      </c>
      <c r="Q97" s="20">
        <f t="shared" si="54"/>
        <v>601.37056289851682</v>
      </c>
      <c r="R97" s="59">
        <f t="shared" si="55"/>
        <v>894.70389623185019</v>
      </c>
      <c r="S97" s="59">
        <f ca="1">AVERAGE(OFFSET($R$3,0,0,'Données projet'!$E$9+1,1))-AVERAGE(OFFSET($H$3,0,0,'Données projet'!$E$9+1,1))</f>
        <v>309.07357540707869</v>
      </c>
      <c r="T97" s="59">
        <f t="shared" si="88"/>
        <v>155.9593924683299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122.69576746316494</v>
      </c>
      <c r="AO97" s="59">
        <f t="shared" si="90"/>
        <v>103.29025722669985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2.6717428344635525</v>
      </c>
      <c r="AW97" s="21">
        <f>EXP(-LN(2)/2)*AW96+(1-EXP(-LN(2)/2))/(LN(2)/2)*AQ97*AT97*VLOOKUP('Données projet'!$B$10,Paramètres!$A$1:$I$89,3,0)*0.475*44/12</f>
        <v>7.2542108466761651E-9</v>
      </c>
      <c r="AX97" s="21">
        <f t="shared" si="60"/>
        <v>2.6717428417177636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-2.8421709430404007E-13</v>
      </c>
      <c r="BE97" s="13">
        <f>BD97*VLOOKUP('Données projet'!$B$11,Paramètres!$A$1:$I$89,3,0)*VLOOKUP('Données projet'!$B$11,Paramètres!$A$1:$I$89,5,0)</f>
        <v>-1.69961822393816E-13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171.96009656745713</v>
      </c>
      <c r="BJ97" s="59">
        <f t="shared" si="92"/>
        <v>172.37574906747716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0.46962845674479503</v>
      </c>
      <c r="BQ97" s="21">
        <f>EXP(-LN(2)/25)*BQ96+(1-EXP(-LN(2)/25))/(LN(2)/25)*Calculateur!BL97*Calculateur!BN97*VLOOKUP('Données projet'!$B$11,Paramètres!$A$1:$I$89,3,0)*0.475*44/12</f>
        <v>3.4859593959457866</v>
      </c>
      <c r="BR97" s="21">
        <f>EXP(-LN(2)/2)*BR96+(1-EXP(-LN(2)/2))/(LN(2)/2)*BL97*BO97*VLOOKUP('Données projet'!$B$11,Paramètres!$A$1:$I$89,3,0)*0.475*44/12</f>
        <v>2.8043569251257396E-9</v>
      </c>
      <c r="BS97" s="22">
        <f t="shared" si="63"/>
        <v>3.9555878554949384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7.5871794871794922</v>
      </c>
      <c r="N98" s="13">
        <f>IF('Données projet'!$A$36&gt;35,N97+M98-V97,IF(A98&lt;'Données projet'!$A$36,$K$205^A98,IF(A98='Données projet'!$A$36,'Données projet'!$B$36,N97+M98-V97)))</f>
        <v>315.51282051282033</v>
      </c>
      <c r="O98" s="13">
        <f>N98*VLOOKUP('Données projet'!$B$9,Paramètres!$A$1:$I$89,3,0)*VLOOKUP('Données projet'!$B$9,Paramètres!$A$1:$I$89,5,0)</f>
        <v>285.47599999999983</v>
      </c>
      <c r="P98" s="13">
        <f t="shared" si="87"/>
        <v>68.122937389828735</v>
      </c>
      <c r="Q98" s="20">
        <f t="shared" si="54"/>
        <v>615.85148262061796</v>
      </c>
      <c r="R98" s="59">
        <f t="shared" si="55"/>
        <v>909.18481595395133</v>
      </c>
      <c r="S98" s="59">
        <f ca="1">AVERAGE(OFFSET($R$3,0,0,'Données projet'!$E$9+1,1))-AVERAGE(OFFSET($H$3,0,0,'Données projet'!$E$9+1,1))</f>
        <v>309.07357540707869</v>
      </c>
      <c r="T98" s="59">
        <f t="shared" si="88"/>
        <v>155.9593924683299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122.69576746316494</v>
      </c>
      <c r="AO98" s="59">
        <f t="shared" si="90"/>
        <v>103.29025722669985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2.5986838861542974</v>
      </c>
      <c r="AW98" s="21">
        <f>EXP(-LN(2)/2)*AW97+(1-EXP(-LN(2)/2))/(LN(2)/2)*AQ98*AT98*VLOOKUP('Données projet'!$B$10,Paramètres!$A$1:$I$89,3,0)*0.475*44/12</f>
        <v>5.1295016818417232E-9</v>
      </c>
      <c r="AX98" s="21">
        <f t="shared" si="60"/>
        <v>2.5986838912837991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-2.8421709430404007E-13</v>
      </c>
      <c r="BE98" s="13">
        <f>BD98*VLOOKUP('Données projet'!$B$11,Paramètres!$A$1:$I$89,3,0)*VLOOKUP('Données projet'!$B$11,Paramètres!$A$1:$I$89,5,0)</f>
        <v>-1.69961822393816E-13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171.96009656745713</v>
      </c>
      <c r="BJ98" s="59">
        <f t="shared" si="92"/>
        <v>172.37574906747716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0.46041932915310413</v>
      </c>
      <c r="BQ98" s="21">
        <f>EXP(-LN(2)/25)*BQ97+(1-EXP(-LN(2)/25))/(LN(2)/25)*Calculateur!BL98*Calculateur!BN98*VLOOKUP('Données projet'!$B$11,Paramètres!$A$1:$I$89,3,0)*0.475*44/12</f>
        <v>3.3906356529450119</v>
      </c>
      <c r="BR98" s="21">
        <f>EXP(-LN(2)/2)*BR97+(1-EXP(-LN(2)/2))/(LN(2)/2)*BL98*BO98*VLOOKUP('Données projet'!$B$11,Paramètres!$A$1:$I$89,3,0)*0.475*44/12</f>
        <v>1.9829797986238656E-9</v>
      </c>
      <c r="BS98" s="22">
        <f t="shared" si="63"/>
        <v>3.8510549840810961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7.5871794871794922</v>
      </c>
      <c r="N99" s="13">
        <f>IF('Données projet'!$A$36&gt;35,N98+M99-V98,IF(A99&lt;'Données projet'!$A$36,$K$205^A99,IF(A99='Données projet'!$A$36,'Données projet'!$B$36,N98+M99-V98)))</f>
        <v>323.0999999999998</v>
      </c>
      <c r="O99" s="13">
        <f>N99*VLOOKUP('Données projet'!$B$9,Paramètres!$A$1:$I$89,3,0)*VLOOKUP('Données projet'!$B$9,Paramètres!$A$1:$I$89,5,0)</f>
        <v>292.3408799999998</v>
      </c>
      <c r="P99" s="13">
        <f t="shared" si="87"/>
        <v>69.568408976210563</v>
      </c>
      <c r="Q99" s="20">
        <f t="shared" ref="Q99:Q130" si="107">(O99+P99)*0.475*44/12</f>
        <v>630.32534496689959</v>
      </c>
      <c r="R99" s="59">
        <f t="shared" si="55"/>
        <v>923.65867830023285</v>
      </c>
      <c r="S99" s="59">
        <f ca="1">AVERAGE(OFFSET($R$3,0,0,'Données projet'!$E$9+1,1))-AVERAGE(OFFSET($H$3,0,0,'Données projet'!$E$9+1,1))</f>
        <v>309.07357540707869</v>
      </c>
      <c r="T99" s="59">
        <f t="shared" si="88"/>
        <v>155.9593924683299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122.69576746316494</v>
      </c>
      <c r="AO99" s="59">
        <f t="shared" si="90"/>
        <v>103.29025722669985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2.5276227386285619</v>
      </c>
      <c r="AW99" s="21">
        <f>EXP(-LN(2)/2)*AW98+(1-EXP(-LN(2)/2))/(LN(2)/2)*AQ99*AT99*VLOOKUP('Données projet'!$B$10,Paramètres!$A$1:$I$89,3,0)*0.475*44/12</f>
        <v>3.627105423338083E-9</v>
      </c>
      <c r="AX99" s="21">
        <f t="shared" si="60"/>
        <v>2.5276227422556672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-2.8421709430404007E-13</v>
      </c>
      <c r="BE99" s="13">
        <f>BD99*VLOOKUP('Données projet'!$B$11,Paramètres!$A$1:$I$89,3,0)*VLOOKUP('Données projet'!$B$11,Paramètres!$A$1:$I$89,5,0)</f>
        <v>-1.69961822393816E-13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171.96009656745713</v>
      </c>
      <c r="BJ99" s="59">
        <f t="shared" si="92"/>
        <v>172.37574906747716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0.45139078693647305</v>
      </c>
      <c r="BQ99" s="21">
        <f>EXP(-LN(2)/25)*BQ98+(1-EXP(-LN(2)/25))/(LN(2)/25)*Calculateur!BL99*Calculateur!BN99*VLOOKUP('Données projet'!$B$11,Paramètres!$A$1:$I$89,3,0)*0.475*44/12</f>
        <v>3.2979185427094508</v>
      </c>
      <c r="BR99" s="21">
        <f>EXP(-LN(2)/2)*BR98+(1-EXP(-LN(2)/2))/(LN(2)/2)*BL99*BO99*VLOOKUP('Données projet'!$B$11,Paramètres!$A$1:$I$89,3,0)*0.475*44/12</f>
        <v>1.4021784625628698E-9</v>
      </c>
      <c r="BS99" s="22">
        <f t="shared" si="63"/>
        <v>3.7493093310481025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7.5871794871794922</v>
      </c>
      <c r="N100" s="13">
        <f>IF('Données projet'!$A$36&gt;35,N99+M100-V99,IF(A100&lt;'Données projet'!$A$36,$K$205^A100,IF(A100='Données projet'!$A$36,'Données projet'!$B$36,N99+M100-V99)))</f>
        <v>330.68717948717926</v>
      </c>
      <c r="O100" s="13">
        <f>N100*VLOOKUP('Données projet'!$B$9,Paramètres!$A$1:$I$89,3,0)*VLOOKUP('Données projet'!$B$9,Paramètres!$A$1:$I$89,5,0)</f>
        <v>299.20575999999983</v>
      </c>
      <c r="P100" s="13">
        <f t="shared" si="87"/>
        <v>71.009934584041005</v>
      </c>
      <c r="Q100" s="20">
        <f t="shared" si="107"/>
        <v>644.79233473387114</v>
      </c>
      <c r="R100" s="59">
        <f t="shared" si="55"/>
        <v>938.12566806720451</v>
      </c>
      <c r="S100" s="59">
        <f ca="1">AVERAGE(OFFSET($R$3,0,0,'Données projet'!$E$9+1,1))-AVERAGE(OFFSET($H$3,0,0,'Données projet'!$E$9+1,1))</f>
        <v>309.07357540707869</v>
      </c>
      <c r="T100" s="59">
        <f t="shared" si="88"/>
        <v>155.9593924683299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122.69576746316494</v>
      </c>
      <c r="AO100" s="59">
        <f t="shared" si="90"/>
        <v>103.29025722669985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2.4585047619188609</v>
      </c>
      <c r="AW100" s="21">
        <f>EXP(-LN(2)/2)*AW99+(1-EXP(-LN(2)/2))/(LN(2)/2)*AQ100*AT100*VLOOKUP('Données projet'!$B$10,Paramètres!$A$1:$I$89,3,0)*0.475*44/12</f>
        <v>2.564750840920862E-9</v>
      </c>
      <c r="AX100" s="21">
        <f t="shared" si="60"/>
        <v>2.4585047644836115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-2.8421709430404007E-13</v>
      </c>
      <c r="BE100" s="13">
        <f>BD100*VLOOKUP('Données projet'!$B$11,Paramètres!$A$1:$I$89,3,0)*VLOOKUP('Données projet'!$B$11,Paramètres!$A$1:$I$89,5,0)</f>
        <v>-1.69961822393816E-13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171.96009656745713</v>
      </c>
      <c r="BJ100" s="59">
        <f t="shared" si="92"/>
        <v>172.37574906747716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0.44253928892584316</v>
      </c>
      <c r="BQ100" s="21">
        <f>EXP(-LN(2)/25)*BQ99+(1-EXP(-LN(2)/25))/(LN(2)/25)*Calculateur!BL100*Calculateur!BN100*VLOOKUP('Données projet'!$B$11,Paramètres!$A$1:$I$89,3,0)*0.475*44/12</f>
        <v>3.207736786729062</v>
      </c>
      <c r="BR100" s="21">
        <f>EXP(-LN(2)/2)*BR99+(1-EXP(-LN(2)/2))/(LN(2)/2)*BL100*BO100*VLOOKUP('Données projet'!$B$11,Paramètres!$A$1:$I$89,3,0)*0.475*44/12</f>
        <v>9.9148989931193279E-10</v>
      </c>
      <c r="BS100" s="22">
        <f t="shared" si="63"/>
        <v>3.6502760766463953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7.5871794871794922</v>
      </c>
      <c r="N101" s="13">
        <f>IF('Données projet'!$A$36&gt;35,N100+M101-V100,IF(A101&lt;'Données projet'!$A$36,$K$205^A101,IF(A101='Données projet'!$A$36,'Données projet'!$B$36,N100+M101-V100)))</f>
        <v>338.27435897435873</v>
      </c>
      <c r="O101" s="13">
        <f>N101*VLOOKUP('Données projet'!$B$9,Paramètres!$A$1:$I$89,3,0)*VLOOKUP('Données projet'!$B$9,Paramètres!$A$1:$I$89,5,0)</f>
        <v>306.0706399999998</v>
      </c>
      <c r="P101" s="13">
        <f t="shared" si="87"/>
        <v>72.44761516993232</v>
      </c>
      <c r="Q101" s="20">
        <f t="shared" si="107"/>
        <v>659.25262775429837</v>
      </c>
      <c r="R101" s="59">
        <f t="shared" si="55"/>
        <v>952.58596108763163</v>
      </c>
      <c r="S101" s="59">
        <f ca="1">AVERAGE(OFFSET($R$3,0,0,'Données projet'!$E$9+1,1))-AVERAGE(OFFSET($H$3,0,0,'Données projet'!$E$9+1,1))</f>
        <v>309.07357540707869</v>
      </c>
      <c r="T101" s="59">
        <f t="shared" si="88"/>
        <v>155.9593924683299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122.69576746316494</v>
      </c>
      <c r="AO101" s="59">
        <f t="shared" si="90"/>
        <v>103.29025722669985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2.3912768199170431</v>
      </c>
      <c r="AW101" s="21">
        <f>EXP(-LN(2)/2)*AW100+(1-EXP(-LN(2)/2))/(LN(2)/2)*AQ101*AT101*VLOOKUP('Données projet'!$B$10,Paramètres!$A$1:$I$89,3,0)*0.475*44/12</f>
        <v>1.8135527116690419E-9</v>
      </c>
      <c r="AX101" s="21">
        <f t="shared" si="60"/>
        <v>2.391276821730596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-2.8421709430404007E-13</v>
      </c>
      <c r="BE101" s="13">
        <f>BD101*VLOOKUP('Données projet'!$B$11,Paramètres!$A$1:$I$89,3,0)*VLOOKUP('Données projet'!$B$11,Paramètres!$A$1:$I$89,5,0)</f>
        <v>-1.69961822393816E-13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171.96009656745713</v>
      </c>
      <c r="BJ101" s="59">
        <f t="shared" si="92"/>
        <v>172.37574906747716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0.43386136339232101</v>
      </c>
      <c r="BQ101" s="21">
        <f>EXP(-LN(2)/25)*BQ100+(1-EXP(-LN(2)/25))/(LN(2)/25)*Calculateur!BL101*Calculateur!BN101*VLOOKUP('Données projet'!$B$11,Paramètres!$A$1:$I$89,3,0)*0.475*44/12</f>
        <v>3.1200210556084098</v>
      </c>
      <c r="BR101" s="21">
        <f>EXP(-LN(2)/2)*BR100+(1-EXP(-LN(2)/2))/(LN(2)/2)*BL101*BO101*VLOOKUP('Données projet'!$B$11,Paramètres!$A$1:$I$89,3,0)*0.475*44/12</f>
        <v>7.010892312814349E-10</v>
      </c>
      <c r="BS101" s="22">
        <f t="shared" si="63"/>
        <v>3.5538824197018202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7.5871794871794922</v>
      </c>
      <c r="N102" s="13">
        <f>IF('Données projet'!$A$36&gt;35,N101+M102-V101,IF(A102&lt;'Données projet'!$A$36,$K$205^A102,IF(A102='Données projet'!$A$36,'Données projet'!$B$36,N101+M102-V101)))</f>
        <v>345.8615384615382</v>
      </c>
      <c r="O102" s="13">
        <f>N102*VLOOKUP('Données projet'!$B$9,Paramètres!$A$1:$I$89,3,0)*VLOOKUP('Données projet'!$B$9,Paramètres!$A$1:$I$89,5,0)</f>
        <v>312.93551999999977</v>
      </c>
      <c r="P102" s="13">
        <f t="shared" si="87"/>
        <v>73.881546903242409</v>
      </c>
      <c r="Q102" s="20">
        <f t="shared" si="107"/>
        <v>673.70639152314664</v>
      </c>
      <c r="R102" s="59">
        <f t="shared" si="55"/>
        <v>967.03972485648001</v>
      </c>
      <c r="S102" s="59">
        <f ca="1">AVERAGE(OFFSET($R$3,0,0,'Données projet'!$E$9+1,1))-AVERAGE(OFFSET($H$3,0,0,'Données projet'!$E$9+1,1))</f>
        <v>309.07357540707869</v>
      </c>
      <c r="T102" s="59">
        <f t="shared" si="88"/>
        <v>155.9593924683299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122.69576746316494</v>
      </c>
      <c r="AO102" s="59">
        <f t="shared" si="90"/>
        <v>103.29025722669985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2.3258872295246289</v>
      </c>
      <c r="AW102" s="21">
        <f>EXP(-LN(2)/2)*AW101+(1-EXP(-LN(2)/2))/(LN(2)/2)*AQ102*AT102*VLOOKUP('Données projet'!$B$10,Paramètres!$A$1:$I$89,3,0)*0.475*44/12</f>
        <v>1.2823754204604312E-9</v>
      </c>
      <c r="AX102" s="21">
        <f t="shared" si="60"/>
        <v>2.3258872308070044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-2.8421709430404007E-13</v>
      </c>
      <c r="BE102" s="13">
        <f>BD102*VLOOKUP('Données projet'!$B$11,Paramètres!$A$1:$I$89,3,0)*VLOOKUP('Données projet'!$B$11,Paramètres!$A$1:$I$89,5,0)</f>
        <v>-1.69961822393816E-13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171.96009656745713</v>
      </c>
      <c r="BJ102" s="59">
        <f t="shared" si="92"/>
        <v>172.37574906747716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0.42535360668549926</v>
      </c>
      <c r="BQ102" s="21">
        <f>EXP(-LN(2)/25)*BQ101+(1-EXP(-LN(2)/25))/(LN(2)/25)*Calculateur!BL102*Calculateur!BN102*VLOOKUP('Données projet'!$B$11,Paramètres!$A$1:$I$89,3,0)*0.475*44/12</f>
        <v>3.0347039157680213</v>
      </c>
      <c r="BR102" s="21">
        <f>EXP(-LN(2)/2)*BR101+(1-EXP(-LN(2)/2))/(LN(2)/2)*BL102*BO102*VLOOKUP('Données projet'!$B$11,Paramètres!$A$1:$I$89,3,0)*0.475*44/12</f>
        <v>4.9574494965596639E-10</v>
      </c>
      <c r="BS102" s="22">
        <f t="shared" si="63"/>
        <v>3.4600575229492652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353.44871794871796</v>
      </c>
      <c r="L103" s="12">
        <f>VLOOKUP(A103,'Données projet'!$A$35:$I$55,9,0)</f>
        <v>7.5871794871794922</v>
      </c>
      <c r="M103" s="12">
        <f t="array" ref="M103">INDEX(L:L,MIN(IF(ISNUMBER(L103:L299),ROW(L103:L299),"")))</f>
        <v>7.5871794871794922</v>
      </c>
      <c r="N103" s="13">
        <f>IF('Données projet'!$A$36&gt;35,N102+M103-V102,IF(A103&lt;'Données projet'!$A$36,$K$205^A103,IF(A103='Données projet'!$A$36,'Données projet'!$B$36,N102+M103-V102)))</f>
        <v>353.44871794871767</v>
      </c>
      <c r="O103" s="13">
        <f>N103*VLOOKUP('Données projet'!$B$9,Paramètres!$A$1:$I$89,3,0)*VLOOKUP('Données projet'!$B$9,Paramètres!$A$1:$I$89,5,0)</f>
        <v>319.80039999999974</v>
      </c>
      <c r="P103" s="13">
        <f t="shared" si="87"/>
        <v>75.31182149304135</v>
      </c>
      <c r="Q103" s="20">
        <f t="shared" si="107"/>
        <v>688.15378576704654</v>
      </c>
      <c r="R103" s="59">
        <f t="shared" si="55"/>
        <v>981.48711910037991</v>
      </c>
      <c r="S103" s="59">
        <f ca="1">AVERAGE(OFFSET($R$3,0,0,'Données projet'!$E$9+1,1))-AVERAGE(OFFSET($H$3,0,0,'Données projet'!$E$9+1,1))</f>
        <v>309.07357540707869</v>
      </c>
      <c r="T103" s="59">
        <f t="shared" si="88"/>
        <v>155.9593924683299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63.801282051282051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122.69576746316494</v>
      </c>
      <c r="AO103" s="59">
        <f t="shared" si="90"/>
        <v>103.29025722669985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2.2622857209201843</v>
      </c>
      <c r="AW103" s="21">
        <f>EXP(-LN(2)/2)*AW102+(1-EXP(-LN(2)/2))/(LN(2)/2)*AQ103*AT103*VLOOKUP('Données projet'!$B$10,Paramètres!$A$1:$I$89,3,0)*0.475*44/12</f>
        <v>9.0677635583452106E-10</v>
      </c>
      <c r="AX103" s="21">
        <f t="shared" si="60"/>
        <v>2.2622857218269607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-2.8421709430404007E-13</v>
      </c>
      <c r="BE103" s="13">
        <f>BD103*VLOOKUP('Données projet'!$B$11,Paramètres!$A$1:$I$89,3,0)*VLOOKUP('Données projet'!$B$11,Paramètres!$A$1:$I$89,5,0)</f>
        <v>-1.69961822393816E-13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171.96009656745713</v>
      </c>
      <c r="BJ103" s="59">
        <f t="shared" si="92"/>
        <v>172.37574906747716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0.41701268189847912</v>
      </c>
      <c r="BQ103" s="21">
        <f>EXP(-LN(2)/25)*BQ102+(1-EXP(-LN(2)/25))/(LN(2)/25)*Calculateur!BL103*Calculateur!BN103*VLOOKUP('Données projet'!$B$11,Paramètres!$A$1:$I$89,3,0)*0.475*44/12</f>
        <v>2.9517197776032016</v>
      </c>
      <c r="BR103" s="21">
        <f>EXP(-LN(2)/2)*BR102+(1-EXP(-LN(2)/2))/(LN(2)/2)*BL103*BO103*VLOOKUP('Données projet'!$B$11,Paramètres!$A$1:$I$89,3,0)*0.475*44/12</f>
        <v>3.5054461564071745E-10</v>
      </c>
      <c r="BS103" s="22">
        <f t="shared" si="63"/>
        <v>3.3687324598522252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7.2711538461538394</v>
      </c>
      <c r="N104" s="13">
        <f>IF('Données projet'!$A$36&gt;35,N103+M104-V103,IF(A104&lt;'Données projet'!$A$36,$K$205^A104,IF(A104='Données projet'!$A$36,'Données projet'!$B$36,N103+M104-V103)))</f>
        <v>296.91858974358945</v>
      </c>
      <c r="O104" s="13">
        <f>N104*VLOOKUP('Données projet'!$B$9,Paramètres!$A$1:$I$89,3,0)*VLOOKUP('Données projet'!$B$9,Paramètres!$A$1:$I$89,5,0)</f>
        <v>268.65193999999974</v>
      </c>
      <c r="P104" s="13">
        <f t="shared" si="87"/>
        <v>64.563093644979261</v>
      </c>
      <c r="Q104" s="20">
        <f t="shared" si="107"/>
        <v>580.3495169316717</v>
      </c>
      <c r="R104" s="59">
        <f t="shared" si="55"/>
        <v>873.68285026500507</v>
      </c>
      <c r="S104" s="59">
        <f ca="1">AVERAGE(OFFSET($R$3,0,0,'Données projet'!$E$9+1,1))-AVERAGE(OFFSET($H$3,0,0,'Données projet'!$E$9+1,1))</f>
        <v>309.07357540707869</v>
      </c>
      <c r="T104" s="59">
        <f t="shared" si="88"/>
        <v>155.9593924683299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122.69576746316494</v>
      </c>
      <c r="AO104" s="59">
        <f t="shared" si="90"/>
        <v>103.29025722669985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2.2004233989131863</v>
      </c>
      <c r="AW104" s="21">
        <f>EXP(-LN(2)/2)*AW103+(1-EXP(-LN(2)/2))/(LN(2)/2)*AQ104*AT104*VLOOKUP('Données projet'!$B$10,Paramètres!$A$1:$I$89,3,0)*0.475*44/12</f>
        <v>6.4118771023021571E-10</v>
      </c>
      <c r="AX104" s="21">
        <f t="shared" si="60"/>
        <v>2.2004233995543738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-2.8421709430404007E-13</v>
      </c>
      <c r="BE104" s="13">
        <f>BD104*VLOOKUP('Données projet'!$B$11,Paramètres!$A$1:$I$89,3,0)*VLOOKUP('Données projet'!$B$11,Paramètres!$A$1:$I$89,5,0)</f>
        <v>-1.69961822393816E-13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171.96009656745713</v>
      </c>
      <c r="BJ104" s="59">
        <f t="shared" si="92"/>
        <v>172.37574906747716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0.40883531755907065</v>
      </c>
      <c r="BQ104" s="21">
        <f>EXP(-LN(2)/25)*BQ103+(1-EXP(-LN(2)/25))/(LN(2)/25)*Calculateur!BL104*Calculateur!BN104*VLOOKUP('Données projet'!$B$11,Paramètres!$A$1:$I$89,3,0)*0.475*44/12</f>
        <v>2.8710048450604453</v>
      </c>
      <c r="BR104" s="21">
        <f>EXP(-LN(2)/2)*BR103+(1-EXP(-LN(2)/2))/(LN(2)/2)*BL104*BO104*VLOOKUP('Données projet'!$B$11,Paramètres!$A$1:$I$89,3,0)*0.475*44/12</f>
        <v>2.478724748279832E-10</v>
      </c>
      <c r="BS104" s="22">
        <f t="shared" si="63"/>
        <v>3.2798401628673886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7.2711538461538394</v>
      </c>
      <c r="N105" s="13">
        <f>IF('Données projet'!$A$36&gt;35,N104+M105-V104,IF(A105&lt;'Données projet'!$A$36,$K$205^A105,IF(A105='Données projet'!$A$36,'Données projet'!$B$36,N104+M105-V104)))</f>
        <v>304.18974358974327</v>
      </c>
      <c r="O105" s="13">
        <f>N105*VLOOKUP('Données projet'!$B$9,Paramètres!$A$1:$I$89,3,0)*VLOOKUP('Données projet'!$B$9,Paramètres!$A$1:$I$89,5,0)</f>
        <v>275.23087999999973</v>
      </c>
      <c r="P105" s="13">
        <f t="shared" si="87"/>
        <v>65.958151259438324</v>
      </c>
      <c r="Q105" s="20">
        <f t="shared" si="107"/>
        <v>594.23756277685459</v>
      </c>
      <c r="R105" s="59">
        <f t="shared" si="55"/>
        <v>887.57089611018796</v>
      </c>
      <c r="S105" s="59">
        <f ca="1">AVERAGE(OFFSET($R$3,0,0,'Données projet'!$E$9+1,1))-AVERAGE(OFFSET($H$3,0,0,'Données projet'!$E$9+1,1))</f>
        <v>309.07357540707869</v>
      </c>
      <c r="T105" s="59">
        <f t="shared" si="88"/>
        <v>155.9593924683299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122.69576746316494</v>
      </c>
      <c r="AO105" s="59">
        <f t="shared" si="90"/>
        <v>103.29025722669985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2.1402527053546678</v>
      </c>
      <c r="AW105" s="21">
        <f>EXP(-LN(2)/2)*AW104+(1-EXP(-LN(2)/2))/(LN(2)/2)*AQ105*AT105*VLOOKUP('Données projet'!$B$10,Paramètres!$A$1:$I$89,3,0)*0.475*44/12</f>
        <v>4.5338817791726063E-10</v>
      </c>
      <c r="AX105" s="21">
        <f t="shared" si="60"/>
        <v>2.1402527058080558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-2.8421709430404007E-13</v>
      </c>
      <c r="BE105" s="13">
        <f>BD105*VLOOKUP('Données projet'!$B$11,Paramètres!$A$1:$I$89,3,0)*VLOOKUP('Données projet'!$B$11,Paramètres!$A$1:$I$89,5,0)</f>
        <v>-1.69961822393816E-13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171.96009656745713</v>
      </c>
      <c r="BJ105" s="59">
        <f t="shared" si="92"/>
        <v>172.37574906747716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0.40081830634665827</v>
      </c>
      <c r="BQ105" s="21">
        <f>EXP(-LN(2)/25)*BQ104+(1-EXP(-LN(2)/25))/(LN(2)/25)*Calculateur!BL105*Calculateur!BN105*VLOOKUP('Données projet'!$B$11,Paramètres!$A$1:$I$89,3,0)*0.475*44/12</f>
        <v>2.7924970665926843</v>
      </c>
      <c r="BR105" s="21">
        <f>EXP(-LN(2)/2)*BR104+(1-EXP(-LN(2)/2))/(LN(2)/2)*BL105*BO105*VLOOKUP('Données projet'!$B$11,Paramètres!$A$1:$I$89,3,0)*0.475*44/12</f>
        <v>1.7527230782035872E-10</v>
      </c>
      <c r="BS105" s="22">
        <f t="shared" si="63"/>
        <v>3.1933153731146149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7.2711538461538394</v>
      </c>
      <c r="N106" s="13">
        <f>IF('Données projet'!$A$36&gt;35,N105+M106-V105,IF(A106&lt;'Données projet'!$A$36,$K$205^A106,IF(A106='Données projet'!$A$36,'Données projet'!$B$36,N105+M106-V105)))</f>
        <v>311.4608974358971</v>
      </c>
      <c r="O106" s="13">
        <f>N106*VLOOKUP('Données projet'!$B$9,Paramètres!$A$1:$I$89,3,0)*VLOOKUP('Données projet'!$B$9,Paramètres!$A$1:$I$89,5,0)</f>
        <v>281.80981999999966</v>
      </c>
      <c r="P106" s="13">
        <f t="shared" si="87"/>
        <v>67.349332340203063</v>
      </c>
      <c r="Q106" s="20">
        <f t="shared" si="107"/>
        <v>608.11885699251968</v>
      </c>
      <c r="R106" s="59">
        <f t="shared" si="55"/>
        <v>901.45219032585305</v>
      </c>
      <c r="S106" s="59">
        <f ca="1">AVERAGE(OFFSET($R$3,0,0,'Données projet'!$E$9+1,1))-AVERAGE(OFFSET($H$3,0,0,'Données projet'!$E$9+1,1))</f>
        <v>309.07357540707869</v>
      </c>
      <c r="T106" s="59">
        <f t="shared" si="88"/>
        <v>155.9593924683299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122.69576746316494</v>
      </c>
      <c r="AO106" s="59">
        <f t="shared" si="90"/>
        <v>103.29025722669985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2.0817273825757461</v>
      </c>
      <c r="AW106" s="21">
        <f>EXP(-LN(2)/2)*AW105+(1-EXP(-LN(2)/2))/(LN(2)/2)*AQ106*AT106*VLOOKUP('Données projet'!$B$10,Paramètres!$A$1:$I$89,3,0)*0.475*44/12</f>
        <v>3.2059385511510791E-10</v>
      </c>
      <c r="AX106" s="21">
        <f t="shared" si="60"/>
        <v>2.0817273828963399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-2.8421709430404007E-13</v>
      </c>
      <c r="BE106" s="13">
        <f>BD106*VLOOKUP('Données projet'!$B$11,Paramètres!$A$1:$I$89,3,0)*VLOOKUP('Données projet'!$B$11,Paramètres!$A$1:$I$89,5,0)</f>
        <v>-1.69961822393816E-13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171.96009656745713</v>
      </c>
      <c r="BJ106" s="59">
        <f t="shared" si="92"/>
        <v>172.37574906747716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0.39295850383422726</v>
      </c>
      <c r="BQ106" s="21">
        <f>EXP(-LN(2)/25)*BQ105+(1-EXP(-LN(2)/25))/(LN(2)/25)*Calculateur!BL106*Calculateur!BN106*VLOOKUP('Données projet'!$B$11,Paramètres!$A$1:$I$89,3,0)*0.475*44/12</f>
        <v>2.716136087455669</v>
      </c>
      <c r="BR106" s="21">
        <f>EXP(-LN(2)/2)*BR105+(1-EXP(-LN(2)/2))/(LN(2)/2)*BL106*BO106*VLOOKUP('Données projet'!$B$11,Paramètres!$A$1:$I$89,3,0)*0.475*44/12</f>
        <v>1.239362374139916E-10</v>
      </c>
      <c r="BS106" s="22">
        <f t="shared" si="63"/>
        <v>3.1090945914138328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7.2711538461538394</v>
      </c>
      <c r="N107" s="13">
        <f>IF('Données projet'!$A$36&gt;35,N106+M107-V106,IF(A107&lt;'Données projet'!$A$36,$K$205^A107,IF(A107='Données projet'!$A$36,'Données projet'!$B$36,N106+M107-V106)))</f>
        <v>318.73205128205092</v>
      </c>
      <c r="O107" s="13">
        <f>N107*VLOOKUP('Données projet'!$B$9,Paramètres!$A$1:$I$89,3,0)*VLOOKUP('Données projet'!$B$9,Paramètres!$A$1:$I$89,5,0)</f>
        <v>288.38875999999971</v>
      </c>
      <c r="P107" s="13">
        <f t="shared" si="87"/>
        <v>68.736737801641027</v>
      </c>
      <c r="Q107" s="20">
        <f t="shared" si="107"/>
        <v>621.99357533785758</v>
      </c>
      <c r="R107" s="59">
        <f t="shared" si="55"/>
        <v>915.32690867119095</v>
      </c>
      <c r="S107" s="59">
        <f ca="1">AVERAGE(OFFSET($R$3,0,0,'Données projet'!$E$9+1,1))-AVERAGE(OFFSET($H$3,0,0,'Données projet'!$E$9+1,1))</f>
        <v>309.07357540707869</v>
      </c>
      <c r="T107" s="59">
        <f t="shared" si="88"/>
        <v>155.9593924683299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122.69576746316494</v>
      </c>
      <c r="AO107" s="59">
        <f t="shared" si="90"/>
        <v>103.29025722669985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2.0248024378259273</v>
      </c>
      <c r="AW107" s="21">
        <f>EXP(-LN(2)/2)*AW106+(1-EXP(-LN(2)/2))/(LN(2)/2)*AQ107*AT107*VLOOKUP('Données projet'!$B$10,Paramètres!$A$1:$I$89,3,0)*0.475*44/12</f>
        <v>2.2669408895863034E-10</v>
      </c>
      <c r="AX107" s="21">
        <f t="shared" si="60"/>
        <v>2.0248024380526215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-2.8421709430404007E-13</v>
      </c>
      <c r="BE107" s="13">
        <f>BD107*VLOOKUP('Données projet'!$B$11,Paramètres!$A$1:$I$89,3,0)*VLOOKUP('Données projet'!$B$11,Paramètres!$A$1:$I$89,5,0)</f>
        <v>-1.69961822393816E-13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171.96009656745713</v>
      </c>
      <c r="BJ107" s="59">
        <f t="shared" si="92"/>
        <v>172.37574906747716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0.38525282725505888</v>
      </c>
      <c r="BQ107" s="21">
        <f>EXP(-LN(2)/25)*BQ106+(1-EXP(-LN(2)/25))/(LN(2)/25)*Calculateur!BL107*Calculateur!BN107*VLOOKUP('Données projet'!$B$11,Paramètres!$A$1:$I$89,3,0)*0.475*44/12</f>
        <v>2.6418632033088048</v>
      </c>
      <c r="BR107" s="21">
        <f>EXP(-LN(2)/2)*BR106+(1-EXP(-LN(2)/2))/(LN(2)/2)*BL107*BO107*VLOOKUP('Données projet'!$B$11,Paramètres!$A$1:$I$89,3,0)*0.475*44/12</f>
        <v>8.7636153910179362E-11</v>
      </c>
      <c r="BS107" s="22">
        <f t="shared" si="63"/>
        <v>3.0271160306514999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7.2711538461538394</v>
      </c>
      <c r="N108" s="13">
        <f>IF('Données projet'!$A$36&gt;35,N107+M108-V107,IF(A108&lt;'Données projet'!$A$36,$K$205^A108,IF(A108='Données projet'!$A$36,'Données projet'!$B$36,N107+M108-V107)))</f>
        <v>326.00320512820474</v>
      </c>
      <c r="O108" s="13">
        <f>N108*VLOOKUP('Données projet'!$B$9,Paramètres!$A$1:$I$89,3,0)*VLOOKUP('Données projet'!$B$9,Paramètres!$A$1:$I$89,5,0)</f>
        <v>294.96769999999964</v>
      </c>
      <c r="P108" s="13">
        <f t="shared" si="87"/>
        <v>70.120463691076594</v>
      </c>
      <c r="Q108" s="20">
        <f t="shared" si="107"/>
        <v>635.86188509529109</v>
      </c>
      <c r="R108" s="59">
        <f t="shared" si="55"/>
        <v>929.19521842862446</v>
      </c>
      <c r="S108" s="59">
        <f ca="1">AVERAGE(OFFSET($R$3,0,0,'Données projet'!$E$9+1,1))-AVERAGE(OFFSET($H$3,0,0,'Données projet'!$E$9+1,1))</f>
        <v>309.07357540707869</v>
      </c>
      <c r="T108" s="59">
        <f t="shared" si="88"/>
        <v>155.9593924683299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122.69576746316494</v>
      </c>
      <c r="AO108" s="59">
        <f t="shared" si="90"/>
        <v>103.29025722669985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1.9694341086838449</v>
      </c>
      <c r="AW108" s="21">
        <f>EXP(-LN(2)/2)*AW107+(1-EXP(-LN(2)/2))/(LN(2)/2)*AQ108*AT108*VLOOKUP('Données projet'!$B$10,Paramètres!$A$1:$I$89,3,0)*0.475*44/12</f>
        <v>1.6029692755755398E-10</v>
      </c>
      <c r="AX108" s="21">
        <f t="shared" si="60"/>
        <v>1.9694341088441418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-2.8421709430404007E-13</v>
      </c>
      <c r="BE108" s="13">
        <f>BD108*VLOOKUP('Données projet'!$B$11,Paramètres!$A$1:$I$89,3,0)*VLOOKUP('Données projet'!$B$11,Paramètres!$A$1:$I$89,5,0)</f>
        <v>-1.69961822393816E-13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171.96009656745713</v>
      </c>
      <c r="BJ108" s="59">
        <f t="shared" si="92"/>
        <v>172.37574906747716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0.37769825429360937</v>
      </c>
      <c r="BQ108" s="21">
        <f>EXP(-LN(2)/25)*BQ107+(1-EXP(-LN(2)/25))/(LN(2)/25)*Calculateur!BL108*Calculateur!BN108*VLOOKUP('Données projet'!$B$11,Paramètres!$A$1:$I$89,3,0)*0.475*44/12</f>
        <v>2.5696213150847775</v>
      </c>
      <c r="BR108" s="21">
        <f>EXP(-LN(2)/2)*BR107+(1-EXP(-LN(2)/2))/(LN(2)/2)*BL108*BO108*VLOOKUP('Données projet'!$B$11,Paramètres!$A$1:$I$89,3,0)*0.475*44/12</f>
        <v>6.1968118706995799E-11</v>
      </c>
      <c r="BS108" s="22">
        <f t="shared" si="63"/>
        <v>2.9473195694403551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7.2711538461538394</v>
      </c>
      <c r="N109" s="13">
        <f>IF('Données projet'!$A$36&gt;35,N108+M109-V108,IF(A109&lt;'Données projet'!$A$36,$K$205^A109,IF(A109='Données projet'!$A$36,'Données projet'!$B$36,N108+M109-V108)))</f>
        <v>333.27435897435856</v>
      </c>
      <c r="O109" s="13">
        <f>N109*VLOOKUP('Données projet'!$B$9,Paramètres!$A$1:$I$89,3,0)*VLOOKUP('Données projet'!$B$9,Paramètres!$A$1:$I$89,5,0)</f>
        <v>301.54663999999963</v>
      </c>
      <c r="P109" s="13">
        <f t="shared" si="87"/>
        <v>71.500601526763546</v>
      </c>
      <c r="Q109" s="20">
        <f t="shared" si="107"/>
        <v>649.72394565911247</v>
      </c>
      <c r="R109" s="59">
        <f t="shared" si="55"/>
        <v>943.05727899244584</v>
      </c>
      <c r="S109" s="59">
        <f ca="1">AVERAGE(OFFSET($R$3,0,0,'Données projet'!$E$9+1,1))-AVERAGE(OFFSET($H$3,0,0,'Données projet'!$E$9+1,1))</f>
        <v>309.07357540707869</v>
      </c>
      <c r="T109" s="59">
        <f t="shared" si="88"/>
        <v>155.9593924683299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122.69576746316494</v>
      </c>
      <c r="AO109" s="59">
        <f t="shared" si="90"/>
        <v>103.29025722669985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1.9155798294138466</v>
      </c>
      <c r="AW109" s="21">
        <f>EXP(-LN(2)/2)*AW108+(1-EXP(-LN(2)/2))/(LN(2)/2)*AQ109*AT109*VLOOKUP('Données projet'!$B$10,Paramètres!$A$1:$I$89,3,0)*0.475*44/12</f>
        <v>1.1334704447931518E-10</v>
      </c>
      <c r="AX109" s="21">
        <f t="shared" si="60"/>
        <v>1.9155798295271937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-2.8421709430404007E-13</v>
      </c>
      <c r="BE109" s="13">
        <f>BD109*VLOOKUP('Données projet'!$B$11,Paramètres!$A$1:$I$89,3,0)*VLOOKUP('Données projet'!$B$11,Paramètres!$A$1:$I$89,5,0)</f>
        <v>-1.69961822393816E-13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171.96009656745713</v>
      </c>
      <c r="BJ109" s="59">
        <f t="shared" si="92"/>
        <v>172.37574906747716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0.37029182190009935</v>
      </c>
      <c r="BQ109" s="21">
        <f>EXP(-LN(2)/25)*BQ108+(1-EXP(-LN(2)/25))/(LN(2)/25)*Calculateur!BL109*Calculateur!BN109*VLOOKUP('Données projet'!$B$11,Paramètres!$A$1:$I$89,3,0)*0.475*44/12</f>
        <v>2.4993548850932723</v>
      </c>
      <c r="BR109" s="21">
        <f>EXP(-LN(2)/2)*BR108+(1-EXP(-LN(2)/2))/(LN(2)/2)*BL109*BO109*VLOOKUP('Données projet'!$B$11,Paramètres!$A$1:$I$89,3,0)*0.475*44/12</f>
        <v>4.3818076955089681E-11</v>
      </c>
      <c r="BS109" s="22">
        <f t="shared" si="63"/>
        <v>2.86964670703719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7.2711538461538394</v>
      </c>
      <c r="N110" s="13">
        <f>IF('Données projet'!$A$36&gt;35,N109+M110-V109,IF(A110&lt;'Données projet'!$A$36,$K$205^A110,IF(A110='Données projet'!$A$36,'Données projet'!$B$36,N109+M110-V109)))</f>
        <v>340.54551282051239</v>
      </c>
      <c r="O110" s="13">
        <f>N110*VLOOKUP('Données projet'!$B$9,Paramètres!$A$1:$I$89,3,0)*VLOOKUP('Données projet'!$B$9,Paramètres!$A$1:$I$89,5,0)</f>
        <v>308.12557999999962</v>
      </c>
      <c r="P110" s="13">
        <f t="shared" si="87"/>
        <v>72.877238605529826</v>
      </c>
      <c r="Q110" s="20">
        <f t="shared" si="107"/>
        <v>663.57990907129715</v>
      </c>
      <c r="R110" s="59">
        <f t="shared" si="55"/>
        <v>956.91324240463041</v>
      </c>
      <c r="S110" s="59">
        <f ca="1">AVERAGE(OFFSET($R$3,0,0,'Données projet'!$E$9+1,1))-AVERAGE(OFFSET($H$3,0,0,'Données projet'!$E$9+1,1))</f>
        <v>309.07357540707869</v>
      </c>
      <c r="T110" s="59">
        <f t="shared" si="88"/>
        <v>155.9593924683299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122.69576746316494</v>
      </c>
      <c r="AO110" s="59">
        <f t="shared" si="90"/>
        <v>103.29025722669985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1.8631981982425598</v>
      </c>
      <c r="AW110" s="21">
        <f>EXP(-LN(2)/2)*AW109+(1-EXP(-LN(2)/2))/(LN(2)/2)*AQ110*AT110*VLOOKUP('Données projet'!$B$10,Paramètres!$A$1:$I$89,3,0)*0.475*44/12</f>
        <v>8.0148463778777002E-11</v>
      </c>
      <c r="AX110" s="21">
        <f t="shared" si="60"/>
        <v>1.8631981983227084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-2.8421709430404007E-13</v>
      </c>
      <c r="BE110" s="13">
        <f>BD110*VLOOKUP('Données projet'!$B$11,Paramètres!$A$1:$I$89,3,0)*VLOOKUP('Données projet'!$B$11,Paramètres!$A$1:$I$89,5,0)</f>
        <v>-1.69961822393816E-13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171.96009656745713</v>
      </c>
      <c r="BJ110" s="59">
        <f t="shared" si="92"/>
        <v>172.37574906747716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0.36303062512834838</v>
      </c>
      <c r="BQ110" s="21">
        <f>EXP(-LN(2)/25)*BQ109+(1-EXP(-LN(2)/25))/(LN(2)/25)*Calculateur!BL110*Calculateur!BN110*VLOOKUP('Données projet'!$B$11,Paramètres!$A$1:$I$89,3,0)*0.475*44/12</f>
        <v>2.4310098943250358</v>
      </c>
      <c r="BR110" s="21">
        <f>EXP(-LN(2)/2)*BR109+(1-EXP(-LN(2)/2))/(LN(2)/2)*BL110*BO110*VLOOKUP('Données projet'!$B$11,Paramètres!$A$1:$I$89,3,0)*0.475*44/12</f>
        <v>3.09840593534979E-11</v>
      </c>
      <c r="BS110" s="22">
        <f t="shared" si="63"/>
        <v>2.7940405194843683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7.2711538461538394</v>
      </c>
      <c r="N111" s="13">
        <f>IF('Données projet'!$A$36&gt;35,N110+M111-V110,IF(A111&lt;'Données projet'!$A$36,$K$205^A111,IF(A111='Données projet'!$A$36,'Données projet'!$B$36,N110+M111-V110)))</f>
        <v>347.81666666666621</v>
      </c>
      <c r="O111" s="13">
        <f>N111*VLOOKUP('Données projet'!$B$9,Paramètres!$A$1:$I$89,3,0)*VLOOKUP('Données projet'!$B$9,Paramètres!$A$1:$I$89,5,0)</f>
        <v>314.70451999999955</v>
      </c>
      <c r="P111" s="13">
        <f t="shared" si="87"/>
        <v>74.250458283407895</v>
      </c>
      <c r="Q111" s="20">
        <f t="shared" si="107"/>
        <v>677.42992051026795</v>
      </c>
      <c r="R111" s="59">
        <f t="shared" si="55"/>
        <v>970.76325384360121</v>
      </c>
      <c r="S111" s="59">
        <f ca="1">AVERAGE(OFFSET($R$3,0,0,'Données projet'!$E$9+1,1))-AVERAGE(OFFSET($H$3,0,0,'Données projet'!$E$9+1,1))</f>
        <v>309.07357540707869</v>
      </c>
      <c r="T111" s="59">
        <f t="shared" si="88"/>
        <v>155.9593924683299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122.69576746316494</v>
      </c>
      <c r="AO111" s="59">
        <f t="shared" si="90"/>
        <v>103.29025722669985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1.8122489455302822</v>
      </c>
      <c r="AW111" s="21">
        <f>EXP(-LN(2)/2)*AW110+(1-EXP(-LN(2)/2))/(LN(2)/2)*AQ111*AT111*VLOOKUP('Données projet'!$B$10,Paramètres!$A$1:$I$89,3,0)*0.475*44/12</f>
        <v>5.6673522239657605E-11</v>
      </c>
      <c r="AX111" s="21">
        <f t="shared" si="60"/>
        <v>1.8122489455869557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-2.8421709430404007E-13</v>
      </c>
      <c r="BE111" s="13">
        <f>BD111*VLOOKUP('Données projet'!$B$11,Paramètres!$A$1:$I$89,3,0)*VLOOKUP('Données projet'!$B$11,Paramètres!$A$1:$I$89,5,0)</f>
        <v>-1.69961822393816E-13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171.96009656745713</v>
      </c>
      <c r="BJ111" s="59">
        <f t="shared" si="92"/>
        <v>172.37574906747716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0.35591181599639871</v>
      </c>
      <c r="BQ111" s="21">
        <f>EXP(-LN(2)/25)*BQ110+(1-EXP(-LN(2)/25))/(LN(2)/25)*Calculateur!BL111*Calculateur!BN111*VLOOKUP('Données projet'!$B$11,Paramètres!$A$1:$I$89,3,0)*0.475*44/12</f>
        <v>2.3645338009234633</v>
      </c>
      <c r="BR111" s="21">
        <f>EXP(-LN(2)/2)*BR110+(1-EXP(-LN(2)/2))/(LN(2)/2)*BL111*BO111*VLOOKUP('Données projet'!$B$11,Paramètres!$A$1:$I$89,3,0)*0.475*44/12</f>
        <v>2.1909038477544841E-11</v>
      </c>
      <c r="BS111" s="22">
        <f t="shared" si="63"/>
        <v>2.7204456169417712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7.2711538461538394</v>
      </c>
      <c r="N112" s="13">
        <f>IF('Données projet'!$A$36&gt;35,N111+M112-V111,IF(A112&lt;'Données projet'!$A$36,$K$205^A112,IF(A112='Données projet'!$A$36,'Données projet'!$B$36,N111+M112-V111)))</f>
        <v>355.08782051282003</v>
      </c>
      <c r="O112" s="13">
        <f>N112*VLOOKUP('Données projet'!$B$9,Paramètres!$A$1:$I$89,3,0)*VLOOKUP('Données projet'!$B$9,Paramètres!$A$1:$I$89,5,0)</f>
        <v>321.28345999999959</v>
      </c>
      <c r="P112" s="13">
        <f t="shared" si="87"/>
        <v>75.620340232134694</v>
      </c>
      <c r="Q112" s="20">
        <f t="shared" si="107"/>
        <v>691.27411873763378</v>
      </c>
      <c r="R112" s="59">
        <f t="shared" si="55"/>
        <v>984.60745207096716</v>
      </c>
      <c r="S112" s="59">
        <f ca="1">AVERAGE(OFFSET($R$3,0,0,'Données projet'!$E$9+1,1))-AVERAGE(OFFSET($H$3,0,0,'Données projet'!$E$9+1,1))</f>
        <v>309.07357540707869</v>
      </c>
      <c r="T112" s="59">
        <f t="shared" si="88"/>
        <v>155.9593924683299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122.69576746316494</v>
      </c>
      <c r="AO112" s="59">
        <f t="shared" si="90"/>
        <v>103.29025722669985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1.7626929028127265</v>
      </c>
      <c r="AW112" s="21">
        <f>EXP(-LN(2)/2)*AW111+(1-EXP(-LN(2)/2))/(LN(2)/2)*AQ112*AT112*VLOOKUP('Données projet'!$B$10,Paramètres!$A$1:$I$89,3,0)*0.475*44/12</f>
        <v>4.0074231889388508E-11</v>
      </c>
      <c r="AX112" s="21">
        <f t="shared" si="60"/>
        <v>1.7626929028528007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-2.8421709430404007E-13</v>
      </c>
      <c r="BE112" s="13">
        <f>BD112*VLOOKUP('Données projet'!$B$11,Paramètres!$A$1:$I$89,3,0)*VLOOKUP('Données projet'!$B$11,Paramètres!$A$1:$I$89,5,0)</f>
        <v>-1.69961822393816E-13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171.96009656745713</v>
      </c>
      <c r="BJ112" s="59">
        <f t="shared" si="92"/>
        <v>172.37574906747716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0.34893260236948176</v>
      </c>
      <c r="BQ112" s="21">
        <f>EXP(-LN(2)/25)*BQ111+(1-EXP(-LN(2)/25))/(LN(2)/25)*Calculateur!BL112*Calculateur!BN112*VLOOKUP('Données projet'!$B$11,Paramètres!$A$1:$I$89,3,0)*0.475*44/12</f>
        <v>2.2998754997917827</v>
      </c>
      <c r="BR112" s="21">
        <f>EXP(-LN(2)/2)*BR111+(1-EXP(-LN(2)/2))/(LN(2)/2)*BL112*BO112*VLOOKUP('Données projet'!$B$11,Paramètres!$A$1:$I$89,3,0)*0.475*44/12</f>
        <v>1.549202967674895E-11</v>
      </c>
      <c r="BS112" s="22">
        <f t="shared" si="63"/>
        <v>2.6488081021767567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362.35897435897431</v>
      </c>
      <c r="L113" s="12">
        <f>VLOOKUP(A113,'Données projet'!$A$35:$I$55,9,0)</f>
        <v>7.2711538461538394</v>
      </c>
      <c r="M113" s="12">
        <f t="array" ref="M113">INDEX(L:L,MIN(IF(ISNUMBER(L113:L309),ROW(L113:L309),"")))</f>
        <v>7.2711538461538394</v>
      </c>
      <c r="N113" s="13">
        <f>IF('Données projet'!$A$36&gt;35,N112+M113-V112,IF(A113&lt;'Données projet'!$A$36,$K$205^A113,IF(A113='Données projet'!$A$36,'Données projet'!$B$36,N112+M113-V112)))</f>
        <v>362.35897435897385</v>
      </c>
      <c r="O113" s="13">
        <f>N113*VLOOKUP('Données projet'!$B$9,Paramètres!$A$1:$I$89,3,0)*VLOOKUP('Données projet'!$B$9,Paramètres!$A$1:$I$89,5,0)</f>
        <v>327.86239999999952</v>
      </c>
      <c r="P113" s="13">
        <f t="shared" si="87"/>
        <v>76.98696067405001</v>
      </c>
      <c r="Q113" s="20">
        <f t="shared" si="107"/>
        <v>705.11263650730291</v>
      </c>
      <c r="R113" s="59">
        <f t="shared" si="55"/>
        <v>998.44596984063628</v>
      </c>
      <c r="S113" s="59">
        <f ca="1">AVERAGE(OFFSET($R$3,0,0,'Données projet'!$E$9+1,1))-AVERAGE(OFFSET($H$3,0,0,'Données projet'!$E$9+1,1))</f>
        <v>309.07357540707869</v>
      </c>
      <c r="T113" s="59">
        <f t="shared" si="88"/>
        <v>155.9593924683299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50.051282051282051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122.69576746316494</v>
      </c>
      <c r="AO113" s="59">
        <f t="shared" si="90"/>
        <v>103.29025722669985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1.7144919726893215</v>
      </c>
      <c r="AW113" s="21">
        <f>EXP(-LN(2)/2)*AW112+(1-EXP(-LN(2)/2))/(LN(2)/2)*AQ113*AT113*VLOOKUP('Données projet'!$B$10,Paramètres!$A$1:$I$89,3,0)*0.475*44/12</f>
        <v>2.8336761119828806E-11</v>
      </c>
      <c r="AX113" s="21">
        <f t="shared" si="60"/>
        <v>1.7144919727176582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-2.8421709430404007E-13</v>
      </c>
      <c r="BE113" s="13">
        <f>BD113*VLOOKUP('Données projet'!$B$11,Paramètres!$A$1:$I$89,3,0)*VLOOKUP('Données projet'!$B$11,Paramètres!$A$1:$I$89,5,0)</f>
        <v>-1.69961822393816E-13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171.96009656745713</v>
      </c>
      <c r="BJ113" s="59">
        <f t="shared" si="92"/>
        <v>172.37574906747716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0.34209024686488865</v>
      </c>
      <c r="BQ113" s="21">
        <f>EXP(-LN(2)/25)*BQ112+(1-EXP(-LN(2)/25))/(LN(2)/25)*Calculateur!BL113*Calculateur!BN113*VLOOKUP('Données projet'!$B$11,Paramètres!$A$1:$I$89,3,0)*0.475*44/12</f>
        <v>2.2369852833047803</v>
      </c>
      <c r="BR113" s="21">
        <f>EXP(-LN(2)/2)*BR112+(1-EXP(-LN(2)/2))/(LN(2)/2)*BL113*BO113*VLOOKUP('Données projet'!$B$11,Paramètres!$A$1:$I$89,3,0)*0.475*44/12</f>
        <v>1.095451923877242E-11</v>
      </c>
      <c r="BS113" s="22">
        <f t="shared" si="63"/>
        <v>2.5790755301806234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7.1749999999999998</v>
      </c>
      <c r="N114" s="13">
        <f>IF('Données projet'!$A$36&gt;35,N113+M114-V113,IF(A114&lt;'Données projet'!$A$36,$K$205^A114,IF(A114='Données projet'!$A$36,'Données projet'!$B$36,N113+M114-V113)))</f>
        <v>319.48269230769182</v>
      </c>
      <c r="O114" s="13">
        <f>N114*VLOOKUP('Données projet'!$B$9,Paramètres!$A$1:$I$89,3,0)*VLOOKUP('Données projet'!$B$9,Paramètres!$A$1:$I$89,5,0)</f>
        <v>289.06793999999957</v>
      </c>
      <c r="P114" s="13">
        <f t="shared" si="87"/>
        <v>68.879756132176865</v>
      </c>
      <c r="Q114" s="20">
        <f t="shared" si="107"/>
        <v>623.42557076354058</v>
      </c>
      <c r="R114" s="59">
        <f t="shared" si="55"/>
        <v>916.75890409687395</v>
      </c>
      <c r="S114" s="59">
        <f ca="1">AVERAGE(OFFSET($R$3,0,0,'Données projet'!$E$9+1,1))-AVERAGE(OFFSET($H$3,0,0,'Données projet'!$E$9+1,1))</f>
        <v>309.07357540707869</v>
      </c>
      <c r="T114" s="59">
        <f t="shared" si="88"/>
        <v>155.9593924683299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122.69576746316494</v>
      </c>
      <c r="AO114" s="59">
        <f t="shared" si="90"/>
        <v>103.29025722669985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1.6676090995349178</v>
      </c>
      <c r="AW114" s="21">
        <f>EXP(-LN(2)/2)*AW113+(1-EXP(-LN(2)/2))/(LN(2)/2)*AQ114*AT114*VLOOKUP('Données projet'!$B$10,Paramètres!$A$1:$I$89,3,0)*0.475*44/12</f>
        <v>2.0037115944694257E-11</v>
      </c>
      <c r="AX114" s="21">
        <f t="shared" si="60"/>
        <v>1.6676090995549548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-2.8421709430404007E-13</v>
      </c>
      <c r="BE114" s="13">
        <f>BD114*VLOOKUP('Données projet'!$B$11,Paramètres!$A$1:$I$89,3,0)*VLOOKUP('Données projet'!$B$11,Paramètres!$A$1:$I$89,5,0)</f>
        <v>-1.69961822393816E-13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171.96009656745713</v>
      </c>
      <c r="BJ114" s="59">
        <f t="shared" si="92"/>
        <v>172.37574906747716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0.33538206577831586</v>
      </c>
      <c r="BQ114" s="21">
        <f>EXP(-LN(2)/25)*BQ113+(1-EXP(-LN(2)/25))/(LN(2)/25)*Calculateur!BL114*Calculateur!BN114*VLOOKUP('Données projet'!$B$11,Paramètres!$A$1:$I$89,3,0)*0.475*44/12</f>
        <v>2.1758148030948679</v>
      </c>
      <c r="BR114" s="21">
        <f>EXP(-LN(2)/2)*BR113+(1-EXP(-LN(2)/2))/(LN(2)/2)*BL114*BO114*VLOOKUP('Données projet'!$B$11,Paramètres!$A$1:$I$89,3,0)*0.475*44/12</f>
        <v>7.7460148383744749E-12</v>
      </c>
      <c r="BS114" s="22">
        <f t="shared" si="63"/>
        <v>2.5111968688809294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7.1749999999999998</v>
      </c>
      <c r="N115" s="13">
        <f>IF('Données projet'!$A$36&gt;35,N114+M115-V114,IF(A115&lt;'Données projet'!$A$36,$K$205^A115,IF(A115='Données projet'!$A$36,'Données projet'!$B$36,N114+M115-V114)))</f>
        <v>326.65769230769183</v>
      </c>
      <c r="O115" s="13">
        <f>N115*VLOOKUP('Données projet'!$B$9,Paramètres!$A$1:$I$89,3,0)*VLOOKUP('Données projet'!$B$9,Paramètres!$A$1:$I$89,5,0)</f>
        <v>295.55987999999957</v>
      </c>
      <c r="P115" s="13">
        <f t="shared" si="87"/>
        <v>70.244837533317892</v>
      </c>
      <c r="Q115" s="20">
        <f t="shared" si="107"/>
        <v>637.10988303719455</v>
      </c>
      <c r="R115" s="59">
        <f t="shared" si="55"/>
        <v>930.44321637052781</v>
      </c>
      <c r="S115" s="59">
        <f ca="1">AVERAGE(OFFSET($R$3,0,0,'Données projet'!$E$9+1,1))-AVERAGE(OFFSET($H$3,0,0,'Données projet'!$E$9+1,1))</f>
        <v>309.07357540707869</v>
      </c>
      <c r="T115" s="59">
        <f t="shared" si="88"/>
        <v>155.9593924683299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122.69576746316494</v>
      </c>
      <c r="AO115" s="59">
        <f t="shared" si="90"/>
        <v>103.29025722669985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1.6220082410123842</v>
      </c>
      <c r="AW115" s="21">
        <f>EXP(-LN(2)/2)*AW114+(1-EXP(-LN(2)/2))/(LN(2)/2)*AQ115*AT115*VLOOKUP('Données projet'!$B$10,Paramètres!$A$1:$I$89,3,0)*0.475*44/12</f>
        <v>1.4168380559914406E-11</v>
      </c>
      <c r="AX115" s="21">
        <f t="shared" si="60"/>
        <v>1.6220082410265526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-2.8421709430404007E-13</v>
      </c>
      <c r="BE115" s="13">
        <f>BD115*VLOOKUP('Données projet'!$B$11,Paramètres!$A$1:$I$89,3,0)*VLOOKUP('Données projet'!$B$11,Paramètres!$A$1:$I$89,5,0)</f>
        <v>-1.69961822393816E-13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171.96009656745713</v>
      </c>
      <c r="BJ115" s="59">
        <f t="shared" si="92"/>
        <v>172.37574906747716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0.32880542803126434</v>
      </c>
      <c r="BQ115" s="21">
        <f>EXP(-LN(2)/25)*BQ114+(1-EXP(-LN(2)/25))/(LN(2)/25)*Calculateur!BL115*Calculateur!BN115*VLOOKUP('Données projet'!$B$11,Paramètres!$A$1:$I$89,3,0)*0.475*44/12</f>
        <v>2.1163170328831109</v>
      </c>
      <c r="BR115" s="21">
        <f>EXP(-LN(2)/2)*BR114+(1-EXP(-LN(2)/2))/(LN(2)/2)*BL115*BO115*VLOOKUP('Données projet'!$B$11,Paramètres!$A$1:$I$89,3,0)*0.475*44/12</f>
        <v>5.4772596193862101E-12</v>
      </c>
      <c r="BS115" s="22">
        <f t="shared" si="63"/>
        <v>2.4451224609198525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7.1749999999999998</v>
      </c>
      <c r="N116" s="13">
        <f>IF('Données projet'!$A$36&gt;35,N115+M116-V115,IF(A116&lt;'Données projet'!$A$36,$K$205^A116,IF(A116='Données projet'!$A$36,'Données projet'!$B$36,N115+M116-V115)))</f>
        <v>333.83269230769184</v>
      </c>
      <c r="O116" s="13">
        <f>N116*VLOOKUP('Données projet'!$B$9,Paramètres!$A$1:$I$89,3,0)*VLOOKUP('Données projet'!$B$9,Paramètres!$A$1:$I$89,5,0)</f>
        <v>302.05181999999957</v>
      </c>
      <c r="P116" s="13">
        <f t="shared" si="87"/>
        <v>71.606432974509374</v>
      </c>
      <c r="Q116" s="20">
        <f t="shared" si="107"/>
        <v>650.78812393060309</v>
      </c>
      <c r="R116" s="59">
        <f t="shared" si="55"/>
        <v>944.12145726393646</v>
      </c>
      <c r="S116" s="59">
        <f ca="1">AVERAGE(OFFSET($R$3,0,0,'Données projet'!$E$9+1,1))-AVERAGE(OFFSET($H$3,0,0,'Données projet'!$E$9+1,1))</f>
        <v>309.07357540707869</v>
      </c>
      <c r="T116" s="59">
        <f t="shared" si="88"/>
        <v>155.9593924683299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122.69576746316494</v>
      </c>
      <c r="AO116" s="59">
        <f t="shared" si="90"/>
        <v>103.29025722669985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1.5776543403641943</v>
      </c>
      <c r="AW116" s="21">
        <f>EXP(-LN(2)/2)*AW115+(1-EXP(-LN(2)/2))/(LN(2)/2)*AQ116*AT116*VLOOKUP('Données projet'!$B$10,Paramètres!$A$1:$I$89,3,0)*0.475*44/12</f>
        <v>1.001855797234713E-11</v>
      </c>
      <c r="AX116" s="21">
        <f t="shared" si="60"/>
        <v>1.5776543403742129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-2.8421709430404007E-13</v>
      </c>
      <c r="BE116" s="13">
        <f>BD116*VLOOKUP('Données projet'!$B$11,Paramètres!$A$1:$I$89,3,0)*VLOOKUP('Données projet'!$B$11,Paramètres!$A$1:$I$89,5,0)</f>
        <v>-1.69961822393816E-13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171.96009656745713</v>
      </c>
      <c r="BJ116" s="59">
        <f t="shared" si="92"/>
        <v>172.37574906747716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0.32235775413907952</v>
      </c>
      <c r="BQ116" s="21">
        <f>EXP(-LN(2)/25)*BQ115+(1-EXP(-LN(2)/25))/(LN(2)/25)*Calculateur!BL116*Calculateur!BN116*VLOOKUP('Données projet'!$B$11,Paramètres!$A$1:$I$89,3,0)*0.475*44/12</f>
        <v>2.0584462323266464</v>
      </c>
      <c r="BR116" s="21">
        <f>EXP(-LN(2)/2)*BR115+(1-EXP(-LN(2)/2))/(LN(2)/2)*BL116*BO116*VLOOKUP('Données projet'!$B$11,Paramètres!$A$1:$I$89,3,0)*0.475*44/12</f>
        <v>3.8730074191872375E-12</v>
      </c>
      <c r="BS116" s="22">
        <f t="shared" si="63"/>
        <v>2.3808039864695987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7.1749999999999998</v>
      </c>
      <c r="N117" s="13">
        <f>IF('Données projet'!$A$36&gt;35,N116+M117-V116,IF(A117&lt;'Données projet'!$A$36,$K$205^A117,IF(A117='Données projet'!$A$36,'Données projet'!$B$36,N116+M117-V116)))</f>
        <v>341.00769230769185</v>
      </c>
      <c r="O117" s="13">
        <f>N117*VLOOKUP('Données projet'!$B$9,Paramètres!$A$1:$I$89,3,0)*VLOOKUP('Données projet'!$B$9,Paramètres!$A$1:$I$89,5,0)</f>
        <v>308.54375999999962</v>
      </c>
      <c r="P117" s="13">
        <f t="shared" si="87"/>
        <v>72.964626008291646</v>
      </c>
      <c r="Q117" s="20">
        <f t="shared" si="107"/>
        <v>664.46043896444064</v>
      </c>
      <c r="R117" s="59">
        <f t="shared" si="55"/>
        <v>957.79377229777401</v>
      </c>
      <c r="S117" s="59">
        <f ca="1">AVERAGE(OFFSET($R$3,0,0,'Données projet'!$E$9+1,1))-AVERAGE(OFFSET($H$3,0,0,'Données projet'!$E$9+1,1))</f>
        <v>309.07357540707869</v>
      </c>
      <c r="T117" s="59">
        <f t="shared" si="88"/>
        <v>155.9593924683299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122.69576746316494</v>
      </c>
      <c r="AO117" s="59">
        <f t="shared" si="90"/>
        <v>103.29025722669985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1.5345132994616995</v>
      </c>
      <c r="AW117" s="21">
        <f>EXP(-LN(2)/2)*AW116+(1-EXP(-LN(2)/2))/(LN(2)/2)*AQ117*AT117*VLOOKUP('Données projet'!$B$10,Paramètres!$A$1:$I$89,3,0)*0.475*44/12</f>
        <v>7.0841902799572038E-12</v>
      </c>
      <c r="AX117" s="21">
        <f t="shared" si="60"/>
        <v>1.5345132994687836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-2.8421709430404007E-13</v>
      </c>
      <c r="BE117" s="13">
        <f>BD117*VLOOKUP('Données projet'!$B$11,Paramètres!$A$1:$I$89,3,0)*VLOOKUP('Données projet'!$B$11,Paramètres!$A$1:$I$89,5,0)</f>
        <v>-1.69961822393816E-13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171.96009656745713</v>
      </c>
      <c r="BJ117" s="59">
        <f t="shared" si="92"/>
        <v>172.37574906747716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0.31603651519922771</v>
      </c>
      <c r="BQ117" s="21">
        <f>EXP(-LN(2)/25)*BQ116+(1-EXP(-LN(2)/25))/(LN(2)/25)*Calculateur!BL117*Calculateur!BN117*VLOOKUP('Données projet'!$B$11,Paramètres!$A$1:$I$89,3,0)*0.475*44/12</f>
        <v>2.0021579118546917</v>
      </c>
      <c r="BR117" s="21">
        <f>EXP(-LN(2)/2)*BR116+(1-EXP(-LN(2)/2))/(LN(2)/2)*BL117*BO117*VLOOKUP('Données projet'!$B$11,Paramètres!$A$1:$I$89,3,0)*0.475*44/12</f>
        <v>2.7386298096931051E-12</v>
      </c>
      <c r="BS117" s="22">
        <f t="shared" si="63"/>
        <v>2.3181944270566581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7.1749999999999998</v>
      </c>
      <c r="N118" s="13">
        <f>IF('Données projet'!$A$36&gt;35,N117+M118-V117,IF(A118&lt;'Données projet'!$A$36,$K$205^A118,IF(A118='Données projet'!$A$36,'Données projet'!$B$36,N117+M118-V117)))</f>
        <v>348.18269230769187</v>
      </c>
      <c r="O118" s="13">
        <f>N118*VLOOKUP('Données projet'!$B$9,Paramètres!$A$1:$I$89,3,0)*VLOOKUP('Données projet'!$B$9,Paramètres!$A$1:$I$89,5,0)</f>
        <v>315.03569999999957</v>
      </c>
      <c r="P118" s="13">
        <f t="shared" si="87"/>
        <v>74.319496470315627</v>
      </c>
      <c r="Q118" s="20">
        <f t="shared" si="107"/>
        <v>678.12696718579889</v>
      </c>
      <c r="R118" s="59">
        <f t="shared" si="55"/>
        <v>971.46030051913226</v>
      </c>
      <c r="S118" s="59">
        <f ca="1">AVERAGE(OFFSET($R$3,0,0,'Données projet'!$E$9+1,1))-AVERAGE(OFFSET($H$3,0,0,'Données projet'!$E$9+1,1))</f>
        <v>309.07357540707869</v>
      </c>
      <c r="T118" s="59">
        <f t="shared" si="88"/>
        <v>155.9593924683299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122.69576746316494</v>
      </c>
      <c r="AO118" s="59">
        <f t="shared" si="90"/>
        <v>103.29025722669985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1.492551952591372</v>
      </c>
      <c r="AW118" s="21">
        <f>EXP(-LN(2)/2)*AW117+(1-EXP(-LN(2)/2))/(LN(2)/2)*AQ118*AT118*VLOOKUP('Données projet'!$B$10,Paramètres!$A$1:$I$89,3,0)*0.475*44/12</f>
        <v>5.0092789861735659E-12</v>
      </c>
      <c r="AX118" s="21">
        <f t="shared" si="60"/>
        <v>1.4925519525963813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-2.8421709430404007E-13</v>
      </c>
      <c r="BE118" s="13">
        <f>BD118*VLOOKUP('Données projet'!$B$11,Paramètres!$A$1:$I$89,3,0)*VLOOKUP('Données projet'!$B$11,Paramètres!$A$1:$I$89,5,0)</f>
        <v>-1.69961822393816E-13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171.96009656745713</v>
      </c>
      <c r="BJ118" s="59">
        <f t="shared" si="92"/>
        <v>172.37574906747716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0.30983923189941132</v>
      </c>
      <c r="BQ118" s="21">
        <f>EXP(-LN(2)/25)*BQ117+(1-EXP(-LN(2)/25))/(LN(2)/25)*Calculateur!BL118*Calculateur!BN118*VLOOKUP('Données projet'!$B$11,Paramètres!$A$1:$I$89,3,0)*0.475*44/12</f>
        <v>1.9474087984661166</v>
      </c>
      <c r="BR118" s="21">
        <f>EXP(-LN(2)/2)*BR117+(1-EXP(-LN(2)/2))/(LN(2)/2)*BL118*BO118*VLOOKUP('Données projet'!$B$11,Paramètres!$A$1:$I$89,3,0)*0.475*44/12</f>
        <v>1.9365037095936187E-12</v>
      </c>
      <c r="BS118" s="22">
        <f t="shared" si="63"/>
        <v>2.2572480303674647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7.1749999999999998</v>
      </c>
      <c r="N119" s="13">
        <f>IF('Données projet'!$A$36&gt;35,N118+M119-V118,IF(A119&lt;'Données projet'!$A$36,$K$205^A119,IF(A119='Données projet'!$A$36,'Données projet'!$B$36,N118+M119-V118)))</f>
        <v>355.35769230769188</v>
      </c>
      <c r="O119" s="13">
        <f>N119*VLOOKUP('Données projet'!$B$9,Paramètres!$A$1:$I$89,3,0)*VLOOKUP('Données projet'!$B$9,Paramètres!$A$1:$I$89,5,0)</f>
        <v>321.52763999999962</v>
      </c>
      <c r="P119" s="13">
        <f t="shared" si="87"/>
        <v>75.67112071782168</v>
      </c>
      <c r="Q119" s="20">
        <f t="shared" si="107"/>
        <v>691.78784158353881</v>
      </c>
      <c r="R119" s="59">
        <f t="shared" si="55"/>
        <v>985.12117491687218</v>
      </c>
      <c r="S119" s="59">
        <f ca="1">AVERAGE(OFFSET($R$3,0,0,'Données projet'!$E$9+1,1))-AVERAGE(OFFSET($H$3,0,0,'Données projet'!$E$9+1,1))</f>
        <v>309.07357540707869</v>
      </c>
      <c r="T119" s="59">
        <f t="shared" si="88"/>
        <v>155.9593924683299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122.69576746316494</v>
      </c>
      <c r="AO119" s="59">
        <f t="shared" si="90"/>
        <v>103.29025722669985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1.4517380409578651</v>
      </c>
      <c r="AW119" s="21">
        <f>EXP(-LN(2)/2)*AW118+(1-EXP(-LN(2)/2))/(LN(2)/2)*AQ119*AT119*VLOOKUP('Données projet'!$B$10,Paramètres!$A$1:$I$89,3,0)*0.475*44/12</f>
        <v>3.5420951399786023E-12</v>
      </c>
      <c r="AX119" s="21">
        <f t="shared" si="60"/>
        <v>1.4517380409614071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-2.8421709430404007E-13</v>
      </c>
      <c r="BE119" s="13">
        <f>BD119*VLOOKUP('Données projet'!$B$11,Paramètres!$A$1:$I$89,3,0)*VLOOKUP('Données projet'!$B$11,Paramètres!$A$1:$I$89,5,0)</f>
        <v>-1.69961822393816E-13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171.96009656745713</v>
      </c>
      <c r="BJ119" s="59">
        <f t="shared" si="92"/>
        <v>172.37574906747716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0.30376347354513478</v>
      </c>
      <c r="BQ119" s="21">
        <f>EXP(-LN(2)/25)*BQ118+(1-EXP(-LN(2)/25))/(LN(2)/25)*Calculateur!BL119*Calculateur!BN119*VLOOKUP('Données projet'!$B$11,Paramètres!$A$1:$I$89,3,0)*0.475*44/12</f>
        <v>1.8941568024622828</v>
      </c>
      <c r="BR119" s="21">
        <f>EXP(-LN(2)/2)*BR118+(1-EXP(-LN(2)/2))/(LN(2)/2)*BL119*BO119*VLOOKUP('Données projet'!$B$11,Paramètres!$A$1:$I$89,3,0)*0.475*44/12</f>
        <v>1.3693149048465525E-12</v>
      </c>
      <c r="BS119" s="22">
        <f t="shared" si="63"/>
        <v>2.1979202760087868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7.1749999999999998</v>
      </c>
      <c r="N120" s="13">
        <f>IF('Données projet'!$A$36&gt;35,N119+M120-V119,IF(A120&lt;'Données projet'!$A$36,$K$205^A120,IF(A120='Données projet'!$A$36,'Données projet'!$B$36,N119+M120-V119)))</f>
        <v>362.53269230769189</v>
      </c>
      <c r="O120" s="13">
        <f>N120*VLOOKUP('Données projet'!$B$9,Paramètres!$A$1:$I$89,3,0)*VLOOKUP('Données projet'!$B$9,Paramètres!$A$1:$I$89,5,0)</f>
        <v>328.01957999999956</v>
      </c>
      <c r="P120" s="13">
        <f t="shared" si="87"/>
        <v>77.019571848313717</v>
      </c>
      <c r="Q120" s="20">
        <f t="shared" si="107"/>
        <v>705.44318946914564</v>
      </c>
      <c r="R120" s="59">
        <f t="shared" si="55"/>
        <v>998.77652280247889</v>
      </c>
      <c r="S120" s="59">
        <f ca="1">AVERAGE(OFFSET($R$3,0,0,'Données projet'!$E$9+1,1))-AVERAGE(OFFSET($H$3,0,0,'Données projet'!$E$9+1,1))</f>
        <v>309.07357540707869</v>
      </c>
      <c r="T120" s="59">
        <f t="shared" si="88"/>
        <v>155.9593924683299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122.69576746316494</v>
      </c>
      <c r="AO120" s="59">
        <f t="shared" si="90"/>
        <v>103.29025722669985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1.4120401878842868</v>
      </c>
      <c r="AW120" s="21">
        <f>EXP(-LN(2)/2)*AW119+(1-EXP(-LN(2)/2))/(LN(2)/2)*AQ120*AT120*VLOOKUP('Données projet'!$B$10,Paramètres!$A$1:$I$89,3,0)*0.475*44/12</f>
        <v>2.5046394930867833E-12</v>
      </c>
      <c r="AX120" s="21">
        <f t="shared" si="60"/>
        <v>1.4120401878867914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-2.8421709430404007E-13</v>
      </c>
      <c r="BE120" s="13">
        <f>BD120*VLOOKUP('Données projet'!$B$11,Paramètres!$A$1:$I$89,3,0)*VLOOKUP('Données projet'!$B$11,Paramètres!$A$1:$I$89,5,0)</f>
        <v>-1.69961822393816E-13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171.96009656745713</v>
      </c>
      <c r="BJ120" s="59">
        <f t="shared" si="92"/>
        <v>172.37574906747716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0.29780685710633892</v>
      </c>
      <c r="BQ120" s="21">
        <f>EXP(-LN(2)/25)*BQ119+(1-EXP(-LN(2)/25))/(LN(2)/25)*Calculateur!BL120*Calculateur!BN120*VLOOKUP('Données projet'!$B$11,Paramètres!$A$1:$I$89,3,0)*0.475*44/12</f>
        <v>1.8423609850895746</v>
      </c>
      <c r="BR120" s="21">
        <f>EXP(-LN(2)/2)*BR119+(1-EXP(-LN(2)/2))/(LN(2)/2)*BL120*BO120*VLOOKUP('Données projet'!$B$11,Paramètres!$A$1:$I$89,3,0)*0.475*44/12</f>
        <v>9.6825185479680936E-13</v>
      </c>
      <c r="BS120" s="22">
        <f t="shared" si="63"/>
        <v>2.1401678421968815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7.1749999999999998</v>
      </c>
      <c r="N121" s="13">
        <f>IF('Données projet'!$A$36&gt;35,N120+M121-V120,IF(A121&lt;'Données projet'!$A$36,$K$205^A121,IF(A121='Données projet'!$A$36,'Données projet'!$B$36,N120+M121-V120)))</f>
        <v>369.7076923076919</v>
      </c>
      <c r="O121" s="13">
        <f>N121*VLOOKUP('Données projet'!$B$9,Paramètres!$A$1:$I$89,3,0)*VLOOKUP('Données projet'!$B$9,Paramètres!$A$1:$I$89,5,0)</f>
        <v>334.51151999999962</v>
      </c>
      <c r="P121" s="13">
        <f t="shared" si="87"/>
        <v>78.364919900433733</v>
      </c>
      <c r="Q121" s="20">
        <f t="shared" si="107"/>
        <v>719.09313282658798</v>
      </c>
      <c r="R121" s="59">
        <f t="shared" si="55"/>
        <v>1012.4264661599213</v>
      </c>
      <c r="S121" s="59">
        <f ca="1">AVERAGE(OFFSET($R$3,0,0,'Données projet'!$E$9+1,1))-AVERAGE(OFFSET($H$3,0,0,'Données projet'!$E$9+1,1))</f>
        <v>309.07357540707869</v>
      </c>
      <c r="T121" s="59">
        <f t="shared" si="88"/>
        <v>155.9593924683299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122.69576746316494</v>
      </c>
      <c r="AO121" s="59">
        <f t="shared" si="90"/>
        <v>103.29025722669985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1.3734278746906248</v>
      </c>
      <c r="AW121" s="21">
        <f>EXP(-LN(2)/2)*AW120+(1-EXP(-LN(2)/2))/(LN(2)/2)*AQ121*AT121*VLOOKUP('Données projet'!$B$10,Paramètres!$A$1:$I$89,3,0)*0.475*44/12</f>
        <v>1.7710475699893016E-12</v>
      </c>
      <c r="AX121" s="21">
        <f t="shared" si="60"/>
        <v>1.3734278746923958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-2.8421709430404007E-13</v>
      </c>
      <c r="BE121" s="13">
        <f>BD121*VLOOKUP('Données projet'!$B$11,Paramètres!$A$1:$I$89,3,0)*VLOOKUP('Données projet'!$B$11,Paramètres!$A$1:$I$89,5,0)</f>
        <v>-1.69961822393816E-13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171.96009656745713</v>
      </c>
      <c r="BJ121" s="59">
        <f t="shared" si="92"/>
        <v>172.37574906747716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0.29196704628273057</v>
      </c>
      <c r="BQ121" s="21">
        <f>EXP(-LN(2)/25)*BQ120+(1-EXP(-LN(2)/25))/(LN(2)/25)*Calculateur!BL121*Calculateur!BN121*VLOOKUP('Données projet'!$B$11,Paramètres!$A$1:$I$89,3,0)*0.475*44/12</f>
        <v>1.7919815270667467</v>
      </c>
      <c r="BR121" s="21">
        <f>EXP(-LN(2)/2)*BR120+(1-EXP(-LN(2)/2))/(LN(2)/2)*BL121*BO121*VLOOKUP('Données projet'!$B$11,Paramètres!$A$1:$I$89,3,0)*0.475*44/12</f>
        <v>6.8465745242327627E-13</v>
      </c>
      <c r="BS121" s="22">
        <f t="shared" si="63"/>
        <v>2.0839485733501619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7.1749999999999998</v>
      </c>
      <c r="N122" s="13">
        <f>IF('Données projet'!$A$36&gt;35,N121+M122-V121,IF(A122&lt;'Données projet'!$A$36,$K$205^A122,IF(A122='Données projet'!$A$36,'Données projet'!$B$36,N121+M122-V121)))</f>
        <v>376.88269230769191</v>
      </c>
      <c r="O122" s="13">
        <f>N122*VLOOKUP('Données projet'!$B$9,Paramètres!$A$1:$I$89,3,0)*VLOOKUP('Données projet'!$B$9,Paramètres!$A$1:$I$89,5,0)</f>
        <v>341.00345999999962</v>
      </c>
      <c r="P122" s="13">
        <f t="shared" si="87"/>
        <v>79.707232038800896</v>
      </c>
      <c r="Q122" s="20">
        <f t="shared" si="107"/>
        <v>732.73778863424411</v>
      </c>
      <c r="R122" s="59">
        <f t="shared" si="55"/>
        <v>1026.0711219675775</v>
      </c>
      <c r="S122" s="59">
        <f ca="1">AVERAGE(OFFSET($R$3,0,0,'Données projet'!$E$9+1,1))-AVERAGE(OFFSET($H$3,0,0,'Données projet'!$E$9+1,1))</f>
        <v>309.07357540707869</v>
      </c>
      <c r="T122" s="59">
        <f t="shared" si="88"/>
        <v>155.9593924683299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122.69576746316494</v>
      </c>
      <c r="AO122" s="59">
        <f t="shared" si="90"/>
        <v>103.29025722669985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1.3358714172317767</v>
      </c>
      <c r="AW122" s="21">
        <f>EXP(-LN(2)/2)*AW121+(1-EXP(-LN(2)/2))/(LN(2)/2)*AQ122*AT122*VLOOKUP('Données projet'!$B$10,Paramètres!$A$1:$I$89,3,0)*0.475*44/12</f>
        <v>1.2523197465433919E-12</v>
      </c>
      <c r="AX122" s="21">
        <f t="shared" si="60"/>
        <v>1.335871417233029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-2.8421709430404007E-13</v>
      </c>
      <c r="BE122" s="13">
        <f>BD122*VLOOKUP('Données projet'!$B$11,Paramètres!$A$1:$I$89,3,0)*VLOOKUP('Données projet'!$B$11,Paramètres!$A$1:$I$89,5,0)</f>
        <v>-1.69961822393816E-13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171.96009656745713</v>
      </c>
      <c r="BJ122" s="59">
        <f t="shared" si="92"/>
        <v>172.37574906747716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0.28624175058744028</v>
      </c>
      <c r="BQ122" s="21">
        <f>EXP(-LN(2)/25)*BQ121+(1-EXP(-LN(2)/25))/(LN(2)/25)*Calculateur!BL122*Calculateur!BN122*VLOOKUP('Données projet'!$B$11,Paramètres!$A$1:$I$89,3,0)*0.475*44/12</f>
        <v>1.7429796979728938</v>
      </c>
      <c r="BR122" s="21">
        <f>EXP(-LN(2)/2)*BR121+(1-EXP(-LN(2)/2))/(LN(2)/2)*BL122*BO122*VLOOKUP('Données projet'!$B$11,Paramètres!$A$1:$I$89,3,0)*0.475*44/12</f>
        <v>4.8412592739840468E-13</v>
      </c>
      <c r="BS122" s="22">
        <f t="shared" si="63"/>
        <v>2.029221448560818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384.05769230769226</v>
      </c>
      <c r="L123" s="12">
        <f>VLOOKUP(A123,'Données projet'!$A$35:$I$55,9,0)</f>
        <v>7.1749999999999998</v>
      </c>
      <c r="M123" s="12">
        <f t="array" ref="M123">INDEX(L:L,MIN(IF(ISNUMBER(L123:L319),ROW(L123:L319),"")))</f>
        <v>7.1749999999999998</v>
      </c>
      <c r="N123" s="13">
        <f>IF('Données projet'!$A$36&gt;35,N122+M123-V122,IF(A123&lt;'Données projet'!$A$36,$K$205^A123,IF(A123='Données projet'!$A$36,'Données projet'!$B$36,N122+M123-V122)))</f>
        <v>384.05769230769192</v>
      </c>
      <c r="O123" s="13">
        <f>N123*VLOOKUP('Données projet'!$B$9,Paramètres!$A$1:$I$89,3,0)*VLOOKUP('Données projet'!$B$9,Paramètres!$A$1:$I$89,5,0)</f>
        <v>347.49539999999962</v>
      </c>
      <c r="P123" s="13">
        <f t="shared" si="87"/>
        <v>81.046572724377867</v>
      </c>
      <c r="Q123" s="20">
        <f t="shared" si="107"/>
        <v>746.3772691616241</v>
      </c>
      <c r="R123" s="59">
        <f t="shared" si="55"/>
        <v>1039.7106024949574</v>
      </c>
      <c r="S123" s="59">
        <f ca="1">AVERAGE(OFFSET($R$3,0,0,'Données projet'!$E$9+1,1))-AVERAGE(OFFSET($H$3,0,0,'Données projet'!$E$9+1,1))</f>
        <v>309.07357540707869</v>
      </c>
      <c r="T123" s="59">
        <f t="shared" si="88"/>
        <v>155.9593924683299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44.929487179487182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122.69576746316494</v>
      </c>
      <c r="AO123" s="59">
        <f t="shared" si="90"/>
        <v>103.29025722669985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1.2993419430771491</v>
      </c>
      <c r="AW123" s="21">
        <f>EXP(-LN(2)/2)*AW122+(1-EXP(-LN(2)/2))/(LN(2)/2)*AQ123*AT123*VLOOKUP('Données projet'!$B$10,Paramètres!$A$1:$I$89,3,0)*0.475*44/12</f>
        <v>8.8552378499465088E-13</v>
      </c>
      <c r="AX123" s="21">
        <f t="shared" si="60"/>
        <v>1.2993419430780346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-2.8421709430404007E-13</v>
      </c>
      <c r="BE123" s="13">
        <f>BD123*VLOOKUP('Données projet'!$B$11,Paramètres!$A$1:$I$89,3,0)*VLOOKUP('Données projet'!$B$11,Paramètres!$A$1:$I$89,5,0)</f>
        <v>-1.69961822393816E-13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171.96009656745713</v>
      </c>
      <c r="BJ123" s="59">
        <f t="shared" si="92"/>
        <v>172.37574906747716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0.28062872444864906</v>
      </c>
      <c r="BQ123" s="21">
        <f>EXP(-LN(2)/25)*BQ122+(1-EXP(-LN(2)/25))/(LN(2)/25)*Calculateur!BL123*Calculateur!BN123*VLOOKUP('Données projet'!$B$11,Paramètres!$A$1:$I$89,3,0)*0.475*44/12</f>
        <v>1.6953178264725064</v>
      </c>
      <c r="BR123" s="21">
        <f>EXP(-LN(2)/2)*BR122+(1-EXP(-LN(2)/2))/(LN(2)/2)*BL123*BO123*VLOOKUP('Données projet'!$B$11,Paramètres!$A$1:$I$89,3,0)*0.475*44/12</f>
        <v>3.4232872621163813E-13</v>
      </c>
      <c r="BS123" s="22">
        <f t="shared" si="63"/>
        <v>1.9759465509214977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7.1730769230769287</v>
      </c>
      <c r="N124" s="13">
        <f>IF('Données projet'!$A$36&gt;35,N123+M124-V123,IF(A124&lt;'Données projet'!$A$36,$K$205^A124,IF(A124='Données projet'!$A$36,'Données projet'!$B$36,N123+M124-V123)))</f>
        <v>346.30128205128165</v>
      </c>
      <c r="O124" s="13">
        <f>N124*VLOOKUP('Données projet'!$B$9,Paramètres!$A$1:$I$89,3,0)*VLOOKUP('Données projet'!$B$9,Paramètres!$A$1:$I$89,5,0)</f>
        <v>313.33339999999964</v>
      </c>
      <c r="P124" s="13">
        <f t="shared" si="87"/>
        <v>73.964542836466293</v>
      </c>
      <c r="Q124" s="20">
        <f t="shared" si="107"/>
        <v>674.5439171068449</v>
      </c>
      <c r="R124" s="59">
        <f t="shared" si="55"/>
        <v>967.87725044017816</v>
      </c>
      <c r="S124" s="59">
        <f ca="1">AVERAGE(OFFSET($R$3,0,0,'Données projet'!$E$9+1,1))-AVERAGE(OFFSET($H$3,0,0,'Données projet'!$E$9+1,1))</f>
        <v>309.07357540707869</v>
      </c>
      <c r="T124" s="59">
        <f t="shared" si="88"/>
        <v>155.9593924683299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122.69576746316494</v>
      </c>
      <c r="AO124" s="59">
        <f t="shared" si="90"/>
        <v>103.29025722669985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1.2638113693142814</v>
      </c>
      <c r="AW124" s="21">
        <f>EXP(-LN(2)/2)*AW123+(1-EXP(-LN(2)/2))/(LN(2)/2)*AQ124*AT124*VLOOKUP('Données projet'!$B$10,Paramètres!$A$1:$I$89,3,0)*0.475*44/12</f>
        <v>6.2615987327169604E-13</v>
      </c>
      <c r="AX124" s="21">
        <f t="shared" si="60"/>
        <v>1.2638113693149076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-2.8421709430404007E-13</v>
      </c>
      <c r="BE124" s="13">
        <f>BD124*VLOOKUP('Données projet'!$B$11,Paramètres!$A$1:$I$89,3,0)*VLOOKUP('Données projet'!$B$11,Paramètres!$A$1:$I$89,5,0)</f>
        <v>-1.69961822393816E-13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171.96009656745713</v>
      </c>
      <c r="BJ124" s="59">
        <f t="shared" si="92"/>
        <v>172.37574906747716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0.27512576632883168</v>
      </c>
      <c r="BQ124" s="21">
        <f>EXP(-LN(2)/25)*BQ123+(1-EXP(-LN(2)/25))/(LN(2)/25)*Calculateur!BL124*Calculateur!BN124*VLOOKUP('Données projet'!$B$11,Paramètres!$A$1:$I$89,3,0)*0.475*44/12</f>
        <v>1.6489592713547259</v>
      </c>
      <c r="BR124" s="21">
        <f>EXP(-LN(2)/2)*BR123+(1-EXP(-LN(2)/2))/(LN(2)/2)*BL124*BO124*VLOOKUP('Données projet'!$B$11,Paramètres!$A$1:$I$89,3,0)*0.475*44/12</f>
        <v>2.4206296369920234E-13</v>
      </c>
      <c r="BS124" s="22">
        <f t="shared" si="63"/>
        <v>1.9240850376837995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7.1730769230769287</v>
      </c>
      <c r="N125" s="13">
        <f>IF('Données projet'!$A$36&gt;35,N124+M125-V124,IF(A125&lt;'Données projet'!$A$36,$K$205^A125,IF(A125='Données projet'!$A$36,'Données projet'!$B$36,N124+M125-V124)))</f>
        <v>353.47435897435855</v>
      </c>
      <c r="O125" s="13">
        <f>N125*VLOOKUP('Données projet'!$B$9,Paramètres!$A$1:$I$89,3,0)*VLOOKUP('Données projet'!$B$9,Paramètres!$A$1:$I$89,5,0)</f>
        <v>319.8235999999996</v>
      </c>
      <c r="P125" s="13">
        <f t="shared" si="87"/>
        <v>75.316649034447607</v>
      </c>
      <c r="Q125" s="20">
        <f t="shared" si="107"/>
        <v>688.20260040166215</v>
      </c>
      <c r="R125" s="59">
        <f t="shared" si="55"/>
        <v>981.53593373499552</v>
      </c>
      <c r="S125" s="59">
        <f ca="1">AVERAGE(OFFSET($R$3,0,0,'Données projet'!$E$9+1,1))-AVERAGE(OFFSET($H$3,0,0,'Données projet'!$E$9+1,1))</f>
        <v>309.07357540707869</v>
      </c>
      <c r="T125" s="59">
        <f t="shared" si="88"/>
        <v>155.9593924683299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122.69576746316494</v>
      </c>
      <c r="AO125" s="59">
        <f t="shared" si="90"/>
        <v>103.29025722669985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1.2292523809594309</v>
      </c>
      <c r="AW125" s="21">
        <f>EXP(-LN(2)/2)*AW124+(1-EXP(-LN(2)/2))/(LN(2)/2)*AQ125*AT125*VLOOKUP('Données projet'!$B$10,Paramètres!$A$1:$I$89,3,0)*0.475*44/12</f>
        <v>4.4276189249732554E-13</v>
      </c>
      <c r="AX125" s="21">
        <f t="shared" si="60"/>
        <v>1.2292523809598737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-2.8421709430404007E-13</v>
      </c>
      <c r="BE125" s="13">
        <f>BD125*VLOOKUP('Données projet'!$B$11,Paramètres!$A$1:$I$89,3,0)*VLOOKUP('Données projet'!$B$11,Paramètres!$A$1:$I$89,5,0)</f>
        <v>-1.69961822393816E-13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171.96009656745713</v>
      </c>
      <c r="BJ125" s="59">
        <f t="shared" si="92"/>
        <v>172.37574906747716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0.2697307178612709</v>
      </c>
      <c r="BQ125" s="21">
        <f>EXP(-LN(2)/25)*BQ124+(1-EXP(-LN(2)/25))/(LN(2)/25)*Calculateur!BL125*Calculateur!BN125*VLOOKUP('Données projet'!$B$11,Paramètres!$A$1:$I$89,3,0)*0.475*44/12</f>
        <v>1.6038683933645315</v>
      </c>
      <c r="BR125" s="21">
        <f>EXP(-LN(2)/2)*BR124+(1-EXP(-LN(2)/2))/(LN(2)/2)*BL125*BO125*VLOOKUP('Données projet'!$B$11,Paramètres!$A$1:$I$89,3,0)*0.475*44/12</f>
        <v>1.7116436310581907E-13</v>
      </c>
      <c r="BS125" s="22">
        <f t="shared" si="63"/>
        <v>1.8735991112259736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7.1730769230769287</v>
      </c>
      <c r="N126" s="13">
        <f>IF('Données projet'!$A$36&gt;35,N125+M126-V125,IF(A126&lt;'Données projet'!$A$36,$K$205^A126,IF(A126='Données projet'!$A$36,'Données projet'!$B$36,N125+M126-V125)))</f>
        <v>360.64743589743546</v>
      </c>
      <c r="O126" s="13">
        <f>N126*VLOOKUP('Données projet'!$B$9,Paramètres!$A$1:$I$89,3,0)*VLOOKUP('Données projet'!$B$9,Paramètres!$A$1:$I$89,5,0)</f>
        <v>326.31379999999962</v>
      </c>
      <c r="P126" s="13">
        <f t="shared" si="87"/>
        <v>76.665564943323318</v>
      </c>
      <c r="Q126" s="20">
        <f t="shared" si="107"/>
        <v>701.85572727628733</v>
      </c>
      <c r="R126" s="59">
        <f t="shared" si="55"/>
        <v>995.18906060962058</v>
      </c>
      <c r="S126" s="59">
        <f ca="1">AVERAGE(OFFSET($R$3,0,0,'Données projet'!$E$9+1,1))-AVERAGE(OFFSET($H$3,0,0,'Données projet'!$E$9+1,1))</f>
        <v>309.07357540707869</v>
      </c>
      <c r="T126" s="59">
        <f t="shared" si="88"/>
        <v>155.9593924683299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122.69576746316494</v>
      </c>
      <c r="AO126" s="59">
        <f t="shared" si="90"/>
        <v>103.29025722669985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1.195638409958522</v>
      </c>
      <c r="AW126" s="21">
        <f>EXP(-LN(2)/2)*AW125+(1-EXP(-LN(2)/2))/(LN(2)/2)*AQ126*AT126*VLOOKUP('Données projet'!$B$10,Paramètres!$A$1:$I$89,3,0)*0.475*44/12</f>
        <v>3.1307993663584807E-13</v>
      </c>
      <c r="AX126" s="21">
        <f t="shared" si="60"/>
        <v>1.1956384099588351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-2.8421709430404007E-13</v>
      </c>
      <c r="BE126" s="13">
        <f>BD126*VLOOKUP('Données projet'!$B$11,Paramètres!$A$1:$I$89,3,0)*VLOOKUP('Données projet'!$B$11,Paramètres!$A$1:$I$89,5,0)</f>
        <v>-1.69961822393816E-13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171.96009656745713</v>
      </c>
      <c r="BJ126" s="59">
        <f t="shared" si="92"/>
        <v>172.37574906747716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0.2644414630035043</v>
      </c>
      <c r="BQ126" s="21">
        <f>EXP(-LN(2)/25)*BQ125+(1-EXP(-LN(2)/25))/(LN(2)/25)*Calculateur!BL126*Calculateur!BN126*VLOOKUP('Données projet'!$B$11,Paramètres!$A$1:$I$89,3,0)*0.475*44/12</f>
        <v>1.5600105278042051</v>
      </c>
      <c r="BR126" s="21">
        <f>EXP(-LN(2)/2)*BR125+(1-EXP(-LN(2)/2))/(LN(2)/2)*BL126*BO126*VLOOKUP('Données projet'!$B$11,Paramètres!$A$1:$I$89,3,0)*0.475*44/12</f>
        <v>1.2103148184960117E-13</v>
      </c>
      <c r="BS126" s="22">
        <f t="shared" si="63"/>
        <v>1.8244519908078305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7.1730769230769287</v>
      </c>
      <c r="N127" s="13">
        <f>IF('Données projet'!$A$36&gt;35,N126+M127-V126,IF(A127&lt;'Données projet'!$A$36,$K$205^A127,IF(A127='Données projet'!$A$36,'Données projet'!$B$36,N126+M127-V126)))</f>
        <v>367.82051282051236</v>
      </c>
      <c r="O127" s="13">
        <f>N127*VLOOKUP('Données projet'!$B$9,Paramètres!$A$1:$I$89,3,0)*VLOOKUP('Données projet'!$B$9,Paramètres!$A$1:$I$89,5,0)</f>
        <v>332.80399999999958</v>
      </c>
      <c r="P127" s="13">
        <f t="shared" si="87"/>
        <v>78.011361329585995</v>
      </c>
      <c r="Q127" s="20">
        <f t="shared" si="107"/>
        <v>715.50342098236149</v>
      </c>
      <c r="R127" s="59">
        <f t="shared" si="55"/>
        <v>1008.8367543156949</v>
      </c>
      <c r="S127" s="59">
        <f ca="1">AVERAGE(OFFSET($R$3,0,0,'Données projet'!$E$9+1,1))-AVERAGE(OFFSET($H$3,0,0,'Données projet'!$E$9+1,1))</f>
        <v>309.07357540707869</v>
      </c>
      <c r="T127" s="59">
        <f t="shared" si="88"/>
        <v>155.9593924683299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122.69576746316494</v>
      </c>
      <c r="AO127" s="59">
        <f t="shared" si="90"/>
        <v>103.29025722669985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1.1629436147623149</v>
      </c>
      <c r="AW127" s="21">
        <f>EXP(-LN(2)/2)*AW126+(1-EXP(-LN(2)/2))/(LN(2)/2)*AQ127*AT127*VLOOKUP('Données projet'!$B$10,Paramètres!$A$1:$I$89,3,0)*0.475*44/12</f>
        <v>2.213809462486628E-13</v>
      </c>
      <c r="AX127" s="21">
        <f t="shared" si="60"/>
        <v>1.1629436147625363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-2.8421709430404007E-13</v>
      </c>
      <c r="BE127" s="13">
        <f>BD127*VLOOKUP('Données projet'!$B$11,Paramètres!$A$1:$I$89,3,0)*VLOOKUP('Données projet'!$B$11,Paramètres!$A$1:$I$89,5,0)</f>
        <v>-1.69961822393816E-13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171.96009656745713</v>
      </c>
      <c r="BJ127" s="59">
        <f t="shared" si="92"/>
        <v>172.37574906747716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0.25925592720737162</v>
      </c>
      <c r="BQ127" s="21">
        <f>EXP(-LN(2)/25)*BQ126+(1-EXP(-LN(2)/25))/(LN(2)/25)*Calculateur!BL127*Calculateur!BN127*VLOOKUP('Données projet'!$B$11,Paramètres!$A$1:$I$89,3,0)*0.475*44/12</f>
        <v>1.5173519578840109</v>
      </c>
      <c r="BR127" s="21">
        <f>EXP(-LN(2)/2)*BR126+(1-EXP(-LN(2)/2))/(LN(2)/2)*BL127*BO127*VLOOKUP('Données projet'!$B$11,Paramètres!$A$1:$I$89,3,0)*0.475*44/12</f>
        <v>8.5582181552909534E-14</v>
      </c>
      <c r="BS127" s="22">
        <f t="shared" si="63"/>
        <v>1.7766078850914679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7.1730769230769287</v>
      </c>
      <c r="N128" s="13">
        <f>IF('Données projet'!$A$36&gt;35,N127+M128-V127,IF(A128&lt;'Données projet'!$A$36,$K$205^A128,IF(A128='Données projet'!$A$36,'Données projet'!$B$36,N127+M128-V127)))</f>
        <v>374.99358974358927</v>
      </c>
      <c r="O128" s="13">
        <f>N128*VLOOKUP('Données projet'!$B$9,Paramètres!$A$1:$I$89,3,0)*VLOOKUP('Données projet'!$B$9,Paramètres!$A$1:$I$89,5,0)</f>
        <v>339.29419999999953</v>
      </c>
      <c r="P128" s="13">
        <f t="shared" si="87"/>
        <v>79.354106041732479</v>
      </c>
      <c r="Q128" s="20">
        <f t="shared" si="107"/>
        <v>729.14579968934993</v>
      </c>
      <c r="R128" s="59">
        <f t="shared" si="55"/>
        <v>1022.4791330226833</v>
      </c>
      <c r="S128" s="59">
        <f ca="1">AVERAGE(OFFSET($R$3,0,0,'Données projet'!$E$9+1,1))-AVERAGE(OFFSET($H$3,0,0,'Données projet'!$E$9+1,1))</f>
        <v>309.07357540707869</v>
      </c>
      <c r="T128" s="59">
        <f t="shared" si="88"/>
        <v>155.9593924683299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122.69576746316494</v>
      </c>
      <c r="AO128" s="59">
        <f t="shared" si="90"/>
        <v>103.29025722669985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1.1311428604600926</v>
      </c>
      <c r="AW128" s="21">
        <f>EXP(-LN(2)/2)*AW127+(1-EXP(-LN(2)/2))/(LN(2)/2)*AQ128*AT128*VLOOKUP('Données projet'!$B$10,Paramètres!$A$1:$I$89,3,0)*0.475*44/12</f>
        <v>1.5653996831792406E-13</v>
      </c>
      <c r="AX128" s="21">
        <f t="shared" si="60"/>
        <v>1.1311428604602491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-2.8421709430404007E-13</v>
      </c>
      <c r="BE128" s="13">
        <f>BD128*VLOOKUP('Données projet'!$B$11,Paramètres!$A$1:$I$89,3,0)*VLOOKUP('Données projet'!$B$11,Paramètres!$A$1:$I$89,5,0)</f>
        <v>-1.69961822393816E-13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171.96009656745713</v>
      </c>
      <c r="BJ128" s="59">
        <f t="shared" si="92"/>
        <v>172.37574906747716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0.25417207660533658</v>
      </c>
      <c r="BQ128" s="21">
        <f>EXP(-LN(2)/25)*BQ127+(1-EXP(-LN(2)/25))/(LN(2)/25)*Calculateur!BL128*Calculateur!BN128*VLOOKUP('Données projet'!$B$11,Paramètres!$A$1:$I$89,3,0)*0.475*44/12</f>
        <v>1.475859888801601</v>
      </c>
      <c r="BR128" s="21">
        <f>EXP(-LN(2)/2)*BR127+(1-EXP(-LN(2)/2))/(LN(2)/2)*BL128*BO128*VLOOKUP('Données projet'!$B$11,Paramètres!$A$1:$I$89,3,0)*0.475*44/12</f>
        <v>6.0515740924800585E-14</v>
      </c>
      <c r="BS128" s="22">
        <f t="shared" si="63"/>
        <v>1.7300319654069982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7.1730769230769287</v>
      </c>
      <c r="N129" s="13">
        <f>IF('Données projet'!$A$36&gt;35,N128+M129-V128,IF(A129&lt;'Données projet'!$A$36,$K$205^A129,IF(A129='Données projet'!$A$36,'Données projet'!$B$36,N128+M129-V128)))</f>
        <v>382.16666666666617</v>
      </c>
      <c r="O129" s="13">
        <f>N129*VLOOKUP('Données projet'!$B$9,Paramètres!$A$1:$I$89,3,0)*VLOOKUP('Données projet'!$B$9,Paramètres!$A$1:$I$89,5,0)</f>
        <v>345.78439999999955</v>
      </c>
      <c r="P129" s="13">
        <f t="shared" si="87"/>
        <v>80.69386418406053</v>
      </c>
      <c r="Q129" s="20">
        <f t="shared" si="107"/>
        <v>742.782976787238</v>
      </c>
      <c r="R129" s="59">
        <f t="shared" si="55"/>
        <v>1036.1163101205714</v>
      </c>
      <c r="S129" s="59">
        <f ca="1">AVERAGE(OFFSET($R$3,0,0,'Données projet'!$E$9+1,1))-AVERAGE(OFFSET($H$3,0,0,'Données projet'!$E$9+1,1))</f>
        <v>309.07357540707869</v>
      </c>
      <c r="T129" s="59">
        <f t="shared" si="88"/>
        <v>155.9593924683299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122.69576746316494</v>
      </c>
      <c r="AO129" s="59">
        <f t="shared" si="90"/>
        <v>103.29025722669985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1.1002116994565936</v>
      </c>
      <c r="AW129" s="21">
        <f>EXP(-LN(2)/2)*AW128+(1-EXP(-LN(2)/2))/(LN(2)/2)*AQ129*AT129*VLOOKUP('Données projet'!$B$10,Paramètres!$A$1:$I$89,3,0)*0.475*44/12</f>
        <v>1.1069047312433142E-13</v>
      </c>
      <c r="AX129" s="21">
        <f t="shared" si="60"/>
        <v>1.1002116994567044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-2.8421709430404007E-13</v>
      </c>
      <c r="BE129" s="13">
        <f>BD129*VLOOKUP('Données projet'!$B$11,Paramètres!$A$1:$I$89,3,0)*VLOOKUP('Données projet'!$B$11,Paramètres!$A$1:$I$89,5,0)</f>
        <v>-1.69961822393816E-13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171.96009656745713</v>
      </c>
      <c r="BJ129" s="59">
        <f t="shared" si="92"/>
        <v>172.37574906747716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0.24918791721276476</v>
      </c>
      <c r="BQ129" s="21">
        <f>EXP(-LN(2)/25)*BQ128+(1-EXP(-LN(2)/25))/(LN(2)/25)*Calculateur!BL129*Calculateur!BN129*VLOOKUP('Données projet'!$B$11,Paramètres!$A$1:$I$89,3,0)*0.475*44/12</f>
        <v>1.4355024225302229</v>
      </c>
      <c r="BR129" s="21">
        <f>EXP(-LN(2)/2)*BR128+(1-EXP(-LN(2)/2))/(LN(2)/2)*BL129*BO129*VLOOKUP('Données projet'!$B$11,Paramètres!$A$1:$I$89,3,0)*0.475*44/12</f>
        <v>4.2791090776454767E-14</v>
      </c>
      <c r="BS129" s="22">
        <f t="shared" si="63"/>
        <v>1.6846903397430304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7.1730769230769287</v>
      </c>
      <c r="N130" s="13">
        <f>IF('Données projet'!$A$36&gt;35,N129+M130-V129,IF(A130&lt;'Données projet'!$A$36,$K$205^A130,IF(A130='Données projet'!$A$36,'Données projet'!$B$36,N129+M130-V129)))</f>
        <v>389.33974358974308</v>
      </c>
      <c r="O130" s="13">
        <f>N130*VLOOKUP('Données projet'!$B$9,Paramètres!$A$1:$I$89,3,0)*VLOOKUP('Données projet'!$B$9,Paramètres!$A$1:$I$89,5,0)</f>
        <v>352.27459999999957</v>
      </c>
      <c r="P130" s="13">
        <f t="shared" si="87"/>
        <v>82.030698277048387</v>
      </c>
      <c r="Q130" s="20">
        <f t="shared" si="107"/>
        <v>756.41506116585845</v>
      </c>
      <c r="R130" s="59">
        <f t="shared" si="55"/>
        <v>1049.7483944991918</v>
      </c>
      <c r="S130" s="59">
        <f ca="1">AVERAGE(OFFSET($R$3,0,0,'Données projet'!$E$9+1,1))-AVERAGE(OFFSET($H$3,0,0,'Données projet'!$E$9+1,1))</f>
        <v>309.07357540707869</v>
      </c>
      <c r="T130" s="59">
        <f t="shared" si="88"/>
        <v>155.9593924683299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122.69576746316494</v>
      </c>
      <c r="AO130" s="59">
        <f t="shared" si="90"/>
        <v>103.29025722669985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1.0701263526773344</v>
      </c>
      <c r="AW130" s="21">
        <f>EXP(-LN(2)/2)*AW129+(1-EXP(-LN(2)/2))/(LN(2)/2)*AQ130*AT130*VLOOKUP('Données projet'!$B$10,Paramètres!$A$1:$I$89,3,0)*0.475*44/12</f>
        <v>7.8269984158962042E-14</v>
      </c>
      <c r="AX130" s="21">
        <f t="shared" si="60"/>
        <v>1.0701263526774125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-2.8421709430404007E-13</v>
      </c>
      <c r="BE130" s="13">
        <f>BD130*VLOOKUP('Données projet'!$B$11,Paramètres!$A$1:$I$89,3,0)*VLOOKUP('Données projet'!$B$11,Paramètres!$A$1:$I$89,5,0)</f>
        <v>-1.69961822393816E-13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171.96009656745713</v>
      </c>
      <c r="BJ130" s="59">
        <f t="shared" si="92"/>
        <v>172.37574906747716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0.24430149414584421</v>
      </c>
      <c r="BQ130" s="21">
        <f>EXP(-LN(2)/25)*BQ129+(1-EXP(-LN(2)/25))/(LN(2)/25)*Calculateur!BL130*Calculateur!BN130*VLOOKUP('Données projet'!$B$11,Paramètres!$A$1:$I$89,3,0)*0.475*44/12</f>
        <v>1.3962485332963424</v>
      </c>
      <c r="BR130" s="21">
        <f>EXP(-LN(2)/2)*BR129+(1-EXP(-LN(2)/2))/(LN(2)/2)*BL130*BO130*VLOOKUP('Données projet'!$B$11,Paramètres!$A$1:$I$89,3,0)*0.475*44/12</f>
        <v>3.0257870462400293E-14</v>
      </c>
      <c r="BS130" s="22">
        <f t="shared" si="63"/>
        <v>1.6405500274422167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7.1730769230769287</v>
      </c>
      <c r="N131" s="13">
        <f>IF('Données projet'!$A$36&gt;35,N130+M131-V130,IF(A131&lt;'Données projet'!$A$36,$K$205^A131,IF(A131='Données projet'!$A$36,'Données projet'!$B$36,N130+M131-V130)))</f>
        <v>396.51282051281999</v>
      </c>
      <c r="O131" s="13">
        <f>N131*VLOOKUP('Données projet'!$B$9,Paramètres!$A$1:$I$89,3,0)*VLOOKUP('Données projet'!$B$9,Paramètres!$A$1:$I$89,5,0)</f>
        <v>358.76479999999952</v>
      </c>
      <c r="P131" s="13">
        <f t="shared" si="87"/>
        <v>83.364668405580957</v>
      </c>
      <c r="Q131" s="20">
        <f t="shared" ref="Q131:Q153" si="108">(O131+P131)*0.475*44/12</f>
        <v>770.04215747305261</v>
      </c>
      <c r="R131" s="59">
        <f t="shared" ref="R131:R194" si="109">Q131+(I131+J131)*44/12</f>
        <v>1063.3754908063859</v>
      </c>
      <c r="S131" s="59">
        <f ca="1">AVERAGE(OFFSET($R$3,0,0,'Données projet'!$E$9+1,1))-AVERAGE(OFFSET($H$3,0,0,'Données projet'!$E$9+1,1))</f>
        <v>309.07357540707869</v>
      </c>
      <c r="T131" s="59">
        <f t="shared" si="88"/>
        <v>155.9593924683299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122.69576746316494</v>
      </c>
      <c r="AO131" s="59">
        <f t="shared" si="90"/>
        <v>103.29025722669985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1.0408636912878735</v>
      </c>
      <c r="AW131" s="21">
        <f>EXP(-LN(2)/2)*AW130+(1-EXP(-LN(2)/2))/(LN(2)/2)*AQ131*AT131*VLOOKUP('Données projet'!$B$10,Paramètres!$A$1:$I$89,3,0)*0.475*44/12</f>
        <v>5.5345236562165718E-14</v>
      </c>
      <c r="AX131" s="21">
        <f t="shared" si="60"/>
        <v>1.0408636912879288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-2.8421709430404007E-13</v>
      </c>
      <c r="BE131" s="13">
        <f>BD131*VLOOKUP('Données projet'!$B$11,Paramètres!$A$1:$I$89,3,0)*VLOOKUP('Données projet'!$B$11,Paramètres!$A$1:$I$89,5,0)</f>
        <v>-1.69961822393816E-13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171.96009656745713</v>
      </c>
      <c r="BJ131" s="59">
        <f t="shared" si="92"/>
        <v>172.37574906747716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0.2395108908548422</v>
      </c>
      <c r="BQ131" s="21">
        <f>EXP(-LN(2)/25)*BQ130+(1-EXP(-LN(2)/25))/(LN(2)/25)*Calculateur!BL131*Calculateur!BN131*VLOOKUP('Données projet'!$B$11,Paramètres!$A$1:$I$89,3,0)*0.475*44/12</f>
        <v>1.3580680437278347</v>
      </c>
      <c r="BR131" s="21">
        <f>EXP(-LN(2)/2)*BR130+(1-EXP(-LN(2)/2))/(LN(2)/2)*BL131*BO131*VLOOKUP('Données projet'!$B$11,Paramètres!$A$1:$I$89,3,0)*0.475*44/12</f>
        <v>2.1395545388227383E-14</v>
      </c>
      <c r="BS131" s="22">
        <f t="shared" si="63"/>
        <v>1.5975789345826983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7.1730769230769287</v>
      </c>
      <c r="N132" s="13">
        <f>IF('Données projet'!$A$36&gt;35,N131+M132-V131,IF(A132&lt;'Données projet'!$A$36,$K$205^A132,IF(A132='Données projet'!$A$36,'Données projet'!$B$36,N131+M132-V131)))</f>
        <v>403.68589743589689</v>
      </c>
      <c r="O132" s="13">
        <f>N132*VLOOKUP('Données projet'!$B$9,Paramètres!$A$1:$I$89,3,0)*VLOOKUP('Données projet'!$B$9,Paramètres!$A$1:$I$89,5,0)</f>
        <v>365.25499999999948</v>
      </c>
      <c r="P132" s="13">
        <f t="shared" si="87"/>
        <v>84.695832356146539</v>
      </c>
      <c r="Q132" s="20">
        <f t="shared" si="108"/>
        <v>783.66436635362095</v>
      </c>
      <c r="R132" s="59">
        <f t="shared" si="109"/>
        <v>1076.9976996869543</v>
      </c>
      <c r="S132" s="59">
        <f ca="1">AVERAGE(OFFSET($R$3,0,0,'Données projet'!$E$9+1,1))-AVERAGE(OFFSET($H$3,0,0,'Données projet'!$E$9+1,1))</f>
        <v>309.07357540707869</v>
      </c>
      <c r="T132" s="59">
        <f t="shared" si="88"/>
        <v>155.9593924683299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122.69576746316494</v>
      </c>
      <c r="AO132" s="59">
        <f t="shared" si="90"/>
        <v>103.29025722669985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1.0124012189129641</v>
      </c>
      <c r="AW132" s="21">
        <f>EXP(-LN(2)/2)*AW131+(1-EXP(-LN(2)/2))/(LN(2)/2)*AQ132*AT132*VLOOKUP('Données projet'!$B$10,Paramètres!$A$1:$I$89,3,0)*0.475*44/12</f>
        <v>3.9134992079481027E-14</v>
      </c>
      <c r="AX132" s="21">
        <f t="shared" ref="AX132:AX153" si="114">SUM(AU132:AW132)</f>
        <v>1.0124012189130032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-2.8421709430404007E-13</v>
      </c>
      <c r="BE132" s="13">
        <f>BD132*VLOOKUP('Données projet'!$B$11,Paramètres!$A$1:$I$89,3,0)*VLOOKUP('Données projet'!$B$11,Paramètres!$A$1:$I$89,5,0)</f>
        <v>-1.69961822393816E-13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171.96009656745713</v>
      </c>
      <c r="BJ132" s="59">
        <f t="shared" si="92"/>
        <v>172.37574906747716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0.23481422837239727</v>
      </c>
      <c r="BQ132" s="21">
        <f>EXP(-LN(2)/25)*BQ131+(1-EXP(-LN(2)/25))/(LN(2)/25)*Calculateur!BL132*Calculateur!BN132*VLOOKUP('Données projet'!$B$11,Paramètres!$A$1:$I$89,3,0)*0.475*44/12</f>
        <v>1.3209316016544026</v>
      </c>
      <c r="BR132" s="21">
        <f>EXP(-LN(2)/2)*BR131+(1-EXP(-LN(2)/2))/(LN(2)/2)*BL132*BO132*VLOOKUP('Données projet'!$B$11,Paramètres!$A$1:$I$89,3,0)*0.475*44/12</f>
        <v>1.5128935231200146E-14</v>
      </c>
      <c r="BS132" s="22">
        <f t="shared" ref="BS132:BS153" si="117">SUM(BP132:BR132)</f>
        <v>1.555745830026815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410.85897435897436</v>
      </c>
      <c r="L133" s="12">
        <f>VLOOKUP(A133,'Données projet'!$A$35:$I$55,9,0)</f>
        <v>7.1730769230769287</v>
      </c>
      <c r="M133" s="12">
        <f t="array" ref="M133">INDEX(L:L,MIN(IF(ISNUMBER(L133:L329),ROW(L133:L329),"")))</f>
        <v>7.1730769230769287</v>
      </c>
      <c r="N133" s="13">
        <f>IF('Données projet'!$A$36&gt;35,N132+M133-V132,IF(A133&lt;'Données projet'!$A$36,$K$205^A133,IF(A133='Données projet'!$A$36,'Données projet'!$B$36,N132+M133-V132)))</f>
        <v>410.8589743589738</v>
      </c>
      <c r="O133" s="13">
        <f>N133*VLOOKUP('Données projet'!$B$9,Paramètres!$A$1:$I$89,3,0)*VLOOKUP('Données projet'!$B$9,Paramètres!$A$1:$I$89,5,0)</f>
        <v>371.7451999999995</v>
      </c>
      <c r="P133" s="13">
        <f t="shared" ref="P133:P196" si="141">EXP(-1.0587+0.8836*LN(O133)+0.284)</f>
        <v>86.024245744005782</v>
      </c>
      <c r="Q133" s="20">
        <f t="shared" si="108"/>
        <v>797.28178467080909</v>
      </c>
      <c r="R133" s="59">
        <f t="shared" si="109"/>
        <v>1090.6151180041425</v>
      </c>
      <c r="S133" s="59">
        <f ca="1">AVERAGE(OFFSET($R$3,0,0,'Données projet'!$E$9+1,1))-AVERAGE(OFFSET($H$3,0,0,'Données projet'!$E$9+1,1))</f>
        <v>309.07357540707869</v>
      </c>
      <c r="T133" s="59">
        <f t="shared" ref="T133:T196" si="142">$T$3</f>
        <v>155.9593924683299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51.378205128205131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122.69576746316494</v>
      </c>
      <c r="AO133" s="59">
        <f t="shared" ref="AO133:AO196" si="144">$AO$3</f>
        <v>103.29025722669985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0.9847170543419228</v>
      </c>
      <c r="AW133" s="21">
        <f>EXP(-LN(2)/2)*AW132+(1-EXP(-LN(2)/2))/(LN(2)/2)*AQ133*AT133*VLOOKUP('Données projet'!$B$10,Paramètres!$A$1:$I$89,3,0)*0.475*44/12</f>
        <v>2.7672618281082862E-14</v>
      </c>
      <c r="AX133" s="21">
        <f t="shared" si="114"/>
        <v>0.98471705434195045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-2.8421709430404007E-13</v>
      </c>
      <c r="BE133" s="13">
        <f>BD133*VLOOKUP('Données projet'!$B$11,Paramètres!$A$1:$I$89,3,0)*VLOOKUP('Données projet'!$B$11,Paramètres!$A$1:$I$89,5,0)</f>
        <v>-1.69961822393816E-13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171.96009656745713</v>
      </c>
      <c r="BJ133" s="59">
        <f t="shared" ref="BJ133:BJ196" si="146">$BJ$3</f>
        <v>172.37574906747716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0.23020966457655181</v>
      </c>
      <c r="BQ133" s="21">
        <f>EXP(-LN(2)/25)*BQ132+(1-EXP(-LN(2)/25))/(LN(2)/25)*Calculateur!BL133*Calculateur!BN133*VLOOKUP('Données projet'!$B$11,Paramètres!$A$1:$I$89,3,0)*0.475*44/12</f>
        <v>1.284810657542389</v>
      </c>
      <c r="BR133" s="21">
        <f>EXP(-LN(2)/2)*BR132+(1-EXP(-LN(2)/2))/(LN(2)/2)*BL133*BO133*VLOOKUP('Données projet'!$B$11,Paramètres!$A$1:$I$89,3,0)*0.475*44/12</f>
        <v>1.0697772694113692E-14</v>
      </c>
      <c r="BS133" s="22">
        <f t="shared" si="117"/>
        <v>1.5150203221189515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7.2230769230769223</v>
      </c>
      <c r="N134" s="13">
        <f>IF('Données projet'!$A$36&gt;35,N133+M134-V133,IF(A134&lt;'Données projet'!$A$36,$K$205^A134,IF(A134='Données projet'!$A$36,'Données projet'!$B$36,N133+M134-V133)))</f>
        <v>366.70384615384557</v>
      </c>
      <c r="O134" s="13">
        <f>N134*VLOOKUP('Données projet'!$B$9,Paramètres!$A$1:$I$89,3,0)*VLOOKUP('Données projet'!$B$9,Paramètres!$A$1:$I$89,5,0)</f>
        <v>331.79363999999947</v>
      </c>
      <c r="P134" s="13">
        <f t="shared" si="141"/>
        <v>77.802057109037236</v>
      </c>
      <c r="Q134" s="20">
        <f t="shared" si="108"/>
        <v>713.37917246490554</v>
      </c>
      <c r="R134" s="59">
        <f t="shared" si="109"/>
        <v>1006.7125057982389</v>
      </c>
      <c r="S134" s="59">
        <f ca="1">AVERAGE(OFFSET($R$3,0,0,'Données projet'!$E$9+1,1))-AVERAGE(OFFSET($H$3,0,0,'Données projet'!$E$9+1,1))</f>
        <v>309.07357540707869</v>
      </c>
      <c r="T134" s="59">
        <f t="shared" si="142"/>
        <v>155.9593924683299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122.69576746316494</v>
      </c>
      <c r="AO134" s="59">
        <f t="shared" si="144"/>
        <v>103.29025722669985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0.95778991470692365</v>
      </c>
      <c r="AW134" s="21">
        <f>EXP(-LN(2)/2)*AW133+(1-EXP(-LN(2)/2))/(LN(2)/2)*AQ134*AT134*VLOOKUP('Données projet'!$B$10,Paramètres!$A$1:$I$89,3,0)*0.475*44/12</f>
        <v>1.9567496039740517E-14</v>
      </c>
      <c r="AX134" s="21">
        <f t="shared" si="114"/>
        <v>0.95778991470694319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-2.8421709430404007E-13</v>
      </c>
      <c r="BE134" s="13">
        <f>BD134*VLOOKUP('Données projet'!$B$11,Paramètres!$A$1:$I$89,3,0)*VLOOKUP('Données projet'!$B$11,Paramètres!$A$1:$I$89,5,0)</f>
        <v>-1.69961822393816E-13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171.96009656745713</v>
      </c>
      <c r="BJ134" s="59">
        <f t="shared" si="146"/>
        <v>172.37574906747716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0.2256953934682363</v>
      </c>
      <c r="BQ134" s="21">
        <f>EXP(-LN(2)/25)*BQ133+(1-EXP(-LN(2)/25))/(LN(2)/25)*Calculateur!BL134*Calculateur!BN134*VLOOKUP('Données projet'!$B$11,Paramètres!$A$1:$I$89,3,0)*0.475*44/12</f>
        <v>1.2496774425466364</v>
      </c>
      <c r="BR134" s="21">
        <f>EXP(-LN(2)/2)*BR133+(1-EXP(-LN(2)/2))/(LN(2)/2)*BL134*BO134*VLOOKUP('Données projet'!$B$11,Paramètres!$A$1:$I$89,3,0)*0.475*44/12</f>
        <v>7.5644676156000731E-15</v>
      </c>
      <c r="BS134" s="22">
        <f t="shared" si="117"/>
        <v>1.4753728360148801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7.2230769230769223</v>
      </c>
      <c r="N135" s="13">
        <f>IF('Données projet'!$A$36&gt;35,N134+M135-V134,IF(A135&lt;'Données projet'!$A$36,$K$205^A135,IF(A135='Données projet'!$A$36,'Données projet'!$B$36,N134+M135-V134)))</f>
        <v>373.92692307692249</v>
      </c>
      <c r="O135" s="13">
        <f>N135*VLOOKUP('Données projet'!$B$9,Paramètres!$A$1:$I$89,3,0)*VLOOKUP('Données projet'!$B$9,Paramètres!$A$1:$I$89,5,0)</f>
        <v>338.32907999999946</v>
      </c>
      <c r="P135" s="13">
        <f t="shared" si="141"/>
        <v>79.154624848228366</v>
      </c>
      <c r="Q135" s="20">
        <f t="shared" si="108"/>
        <v>727.11745261066346</v>
      </c>
      <c r="R135" s="59">
        <f t="shared" si="109"/>
        <v>1020.4507859439968</v>
      </c>
      <c r="S135" s="59">
        <f ca="1">AVERAGE(OFFSET($R$3,0,0,'Données projet'!$E$9+1,1))-AVERAGE(OFFSET($H$3,0,0,'Données projet'!$E$9+1,1))</f>
        <v>309.07357540707869</v>
      </c>
      <c r="T135" s="59">
        <f t="shared" si="142"/>
        <v>155.9593924683299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122.69576746316494</v>
      </c>
      <c r="AO135" s="59">
        <f t="shared" si="144"/>
        <v>103.29025722669985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0.93159909912128025</v>
      </c>
      <c r="AW135" s="21">
        <f>EXP(-LN(2)/2)*AW134+(1-EXP(-LN(2)/2))/(LN(2)/2)*AQ135*AT135*VLOOKUP('Données projet'!$B$10,Paramètres!$A$1:$I$89,3,0)*0.475*44/12</f>
        <v>1.3836309140541434E-14</v>
      </c>
      <c r="AX135" s="21">
        <f t="shared" si="114"/>
        <v>0.93159909912129413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-2.8421709430404007E-13</v>
      </c>
      <c r="BE135" s="13">
        <f>BD135*VLOOKUP('Données projet'!$B$11,Paramètres!$A$1:$I$89,3,0)*VLOOKUP('Données projet'!$B$11,Paramètres!$A$1:$I$89,5,0)</f>
        <v>-1.69961822393816E-13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171.96009656745713</v>
      </c>
      <c r="BJ135" s="59">
        <f t="shared" si="146"/>
        <v>172.37574906747716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0.22126964446292136</v>
      </c>
      <c r="BQ135" s="21">
        <f>EXP(-LN(2)/25)*BQ134+(1-EXP(-LN(2)/25))/(LN(2)/25)*Calculateur!BL135*Calculateur!BN135*VLOOKUP('Données projet'!$B$11,Paramètres!$A$1:$I$89,3,0)*0.475*44/12</f>
        <v>1.2155049471625181</v>
      </c>
      <c r="BR135" s="21">
        <f>EXP(-LN(2)/2)*BR134+(1-EXP(-LN(2)/2))/(LN(2)/2)*BL135*BO135*VLOOKUP('Données projet'!$B$11,Paramètres!$A$1:$I$89,3,0)*0.475*44/12</f>
        <v>5.3488863470568458E-15</v>
      </c>
      <c r="BS135" s="22">
        <f t="shared" si="117"/>
        <v>1.4367745916254449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7.2230769230769223</v>
      </c>
      <c r="N136" s="13">
        <f>IF('Données projet'!$A$36&gt;35,N135+M136-V135,IF(A136&lt;'Données projet'!$A$36,$K$205^A136,IF(A136='Données projet'!$A$36,'Données projet'!$B$36,N135+M136-V135)))</f>
        <v>381.14999999999941</v>
      </c>
      <c r="O136" s="13">
        <f>N136*VLOOKUP('Données projet'!$B$9,Paramètres!$A$1:$I$89,3,0)*VLOOKUP('Données projet'!$B$9,Paramètres!$A$1:$I$89,5,0)</f>
        <v>344.86451999999946</v>
      </c>
      <c r="P136" s="13">
        <f t="shared" si="141"/>
        <v>80.504154586493371</v>
      </c>
      <c r="Q136" s="20">
        <f t="shared" si="108"/>
        <v>740.85044157147502</v>
      </c>
      <c r="R136" s="59">
        <f t="shared" si="109"/>
        <v>1034.1837749048084</v>
      </c>
      <c r="S136" s="59">
        <f ca="1">AVERAGE(OFFSET($R$3,0,0,'Données projet'!$E$9+1,1))-AVERAGE(OFFSET($H$3,0,0,'Données projet'!$E$9+1,1))</f>
        <v>309.07357540707869</v>
      </c>
      <c r="T136" s="59">
        <f t="shared" si="142"/>
        <v>155.9593924683299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122.69576746316494</v>
      </c>
      <c r="AO136" s="59">
        <f t="shared" si="144"/>
        <v>103.29025722669985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0.90612447276514141</v>
      </c>
      <c r="AW136" s="21">
        <f>EXP(-LN(2)/2)*AW135+(1-EXP(-LN(2)/2))/(LN(2)/2)*AQ136*AT136*VLOOKUP('Données projet'!$B$10,Paramètres!$A$1:$I$89,3,0)*0.475*44/12</f>
        <v>9.78374801987026E-15</v>
      </c>
      <c r="AX136" s="21">
        <f t="shared" si="114"/>
        <v>0.90612447276515118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-2.8421709430404007E-13</v>
      </c>
      <c r="BE136" s="13">
        <f>BD136*VLOOKUP('Données projet'!$B$11,Paramètres!$A$1:$I$89,3,0)*VLOOKUP('Données projet'!$B$11,Paramètres!$A$1:$I$89,5,0)</f>
        <v>-1.69961822393816E-13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171.96009656745713</v>
      </c>
      <c r="BJ136" s="59">
        <f t="shared" si="146"/>
        <v>172.37574906747716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0.21693068169616028</v>
      </c>
      <c r="BQ136" s="21">
        <f>EXP(-LN(2)/25)*BQ135+(1-EXP(-LN(2)/25))/(LN(2)/25)*Calculateur!BL136*Calculateur!BN136*VLOOKUP('Données projet'!$B$11,Paramètres!$A$1:$I$89,3,0)*0.475*44/12</f>
        <v>1.1822669004617319</v>
      </c>
      <c r="BR136" s="21">
        <f>EXP(-LN(2)/2)*BR135+(1-EXP(-LN(2)/2))/(LN(2)/2)*BL136*BO136*VLOOKUP('Données projet'!$B$11,Paramètres!$A$1:$I$89,3,0)*0.475*44/12</f>
        <v>3.7822338078000366E-15</v>
      </c>
      <c r="BS136" s="22">
        <f t="shared" si="117"/>
        <v>1.3991975821578959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7.2230769230769223</v>
      </c>
      <c r="N137" s="13">
        <f>IF('Données projet'!$A$36&gt;35,N136+M137-V136,IF(A137&lt;'Données projet'!$A$36,$K$205^A137,IF(A137='Données projet'!$A$36,'Données projet'!$B$36,N136+M137-V136)))</f>
        <v>388.37307692307633</v>
      </c>
      <c r="O137" s="13">
        <f>N137*VLOOKUP('Données projet'!$B$9,Paramètres!$A$1:$I$89,3,0)*VLOOKUP('Données projet'!$B$9,Paramètres!$A$1:$I$89,5,0)</f>
        <v>351.39995999999945</v>
      </c>
      <c r="P137" s="13">
        <f t="shared" si="141"/>
        <v>81.85071053455772</v>
      </c>
      <c r="Q137" s="20">
        <f t="shared" si="108"/>
        <v>754.57825118102039</v>
      </c>
      <c r="R137" s="59">
        <f t="shared" si="109"/>
        <v>1047.9115845143538</v>
      </c>
      <c r="S137" s="59">
        <f ca="1">AVERAGE(OFFSET($R$3,0,0,'Données projet'!$E$9+1,1))-AVERAGE(OFFSET($H$3,0,0,'Données projet'!$E$9+1,1))</f>
        <v>309.07357540707869</v>
      </c>
      <c r="T137" s="59">
        <f t="shared" si="142"/>
        <v>155.9593924683299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122.69576746316494</v>
      </c>
      <c r="AO137" s="59">
        <f t="shared" si="144"/>
        <v>103.29025722669985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0.88134645140636358</v>
      </c>
      <c r="AW137" s="21">
        <f>EXP(-LN(2)/2)*AW136+(1-EXP(-LN(2)/2))/(LN(2)/2)*AQ137*AT137*VLOOKUP('Données projet'!$B$10,Paramètres!$A$1:$I$89,3,0)*0.475*44/12</f>
        <v>6.9181545702707179E-15</v>
      </c>
      <c r="AX137" s="21">
        <f t="shared" si="114"/>
        <v>0.88134645140637047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-2.8421709430404007E-13</v>
      </c>
      <c r="BE137" s="13">
        <f>BD137*VLOOKUP('Données projet'!$B$11,Paramètres!$A$1:$I$89,3,0)*VLOOKUP('Données projet'!$B$11,Paramètres!$A$1:$I$89,5,0)</f>
        <v>-1.69961822393816E-13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171.96009656745713</v>
      </c>
      <c r="BJ137" s="59">
        <f t="shared" si="146"/>
        <v>172.37574906747716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0.21267680334274944</v>
      </c>
      <c r="BQ137" s="21">
        <f>EXP(-LN(2)/25)*BQ136+(1-EXP(-LN(2)/25))/(LN(2)/25)*Calculateur!BL137*Calculateur!BN137*VLOOKUP('Données projet'!$B$11,Paramètres!$A$1:$I$89,3,0)*0.475*44/12</f>
        <v>1.1499377498958916</v>
      </c>
      <c r="BR137" s="21">
        <f>EXP(-LN(2)/2)*BR136+(1-EXP(-LN(2)/2))/(LN(2)/2)*BL137*BO137*VLOOKUP('Données projet'!$B$11,Paramètres!$A$1:$I$89,3,0)*0.475*44/12</f>
        <v>2.6744431735284229E-15</v>
      </c>
      <c r="BS137" s="22">
        <f t="shared" si="117"/>
        <v>1.3626145532386438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7.2230769230769223</v>
      </c>
      <c r="N138" s="13">
        <f>IF('Données projet'!$A$36&gt;35,N137+M138-V137,IF(A138&lt;'Données projet'!$A$36,$K$205^A138,IF(A138='Données projet'!$A$36,'Données projet'!$B$36,N137+M138-V137)))</f>
        <v>395.59615384615324</v>
      </c>
      <c r="O138" s="13">
        <f>N138*VLOOKUP('Données projet'!$B$9,Paramètres!$A$1:$I$89,3,0)*VLOOKUP('Données projet'!$B$9,Paramètres!$A$1:$I$89,5,0)</f>
        <v>357.93539999999945</v>
      </c>
      <c r="P138" s="13">
        <f t="shared" si="141"/>
        <v>83.194354378018602</v>
      </c>
      <c r="Q138" s="20">
        <f t="shared" si="108"/>
        <v>768.30098887504801</v>
      </c>
      <c r="R138" s="59">
        <f t="shared" si="109"/>
        <v>1061.6343222083813</v>
      </c>
      <c r="S138" s="59">
        <f ca="1">AVERAGE(OFFSET($R$3,0,0,'Données projet'!$E$9+1,1))-AVERAGE(OFFSET($H$3,0,0,'Données projet'!$E$9+1,1))</f>
        <v>309.07357540707869</v>
      </c>
      <c r="T138" s="59">
        <f t="shared" si="142"/>
        <v>155.9593924683299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122.69576746316494</v>
      </c>
      <c r="AO138" s="59">
        <f t="shared" si="144"/>
        <v>103.29025722669985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0.85724598634466109</v>
      </c>
      <c r="AW138" s="21">
        <f>EXP(-LN(2)/2)*AW137+(1-EXP(-LN(2)/2))/(LN(2)/2)*AQ138*AT138*VLOOKUP('Données projet'!$B$10,Paramètres!$A$1:$I$89,3,0)*0.475*44/12</f>
        <v>4.8918740099351308E-15</v>
      </c>
      <c r="AX138" s="21">
        <f t="shared" si="114"/>
        <v>0.85724598634466598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-2.8421709430404007E-13</v>
      </c>
      <c r="BE138" s="13">
        <f>BD138*VLOOKUP('Données projet'!$B$11,Paramètres!$A$1:$I$89,3,0)*VLOOKUP('Données projet'!$B$11,Paramètres!$A$1:$I$89,5,0)</f>
        <v>-1.69961822393816E-13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171.96009656745713</v>
      </c>
      <c r="BJ138" s="59">
        <f t="shared" si="146"/>
        <v>172.37574906747716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0.20850634094923937</v>
      </c>
      <c r="BQ138" s="21">
        <f>EXP(-LN(2)/25)*BQ137+(1-EXP(-LN(2)/25))/(LN(2)/25)*Calculateur!BL138*Calculateur!BN138*VLOOKUP('Données projet'!$B$11,Paramètres!$A$1:$I$89,3,0)*0.475*44/12</f>
        <v>1.1184926416523904</v>
      </c>
      <c r="BR138" s="21">
        <f>EXP(-LN(2)/2)*BR137+(1-EXP(-LN(2)/2))/(LN(2)/2)*BL138*BO138*VLOOKUP('Données projet'!$B$11,Paramètres!$A$1:$I$89,3,0)*0.475*44/12</f>
        <v>1.8911169039000183E-15</v>
      </c>
      <c r="BS138" s="22">
        <f t="shared" si="117"/>
        <v>1.3269989826016317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7.2230769230769223</v>
      </c>
      <c r="N139" s="13">
        <f>IF('Données projet'!$A$36&gt;35,N138+M139-V138,IF(A139&lt;'Données projet'!$A$36,$K$205^A139,IF(A139='Données projet'!$A$36,'Données projet'!$B$36,N138+M139-V138)))</f>
        <v>402.81923076923016</v>
      </c>
      <c r="O139" s="13">
        <f>N139*VLOOKUP('Données projet'!$B$9,Paramètres!$A$1:$I$89,3,0)*VLOOKUP('Données projet'!$B$9,Paramètres!$A$1:$I$89,5,0)</f>
        <v>364.47083999999944</v>
      </c>
      <c r="P139" s="13">
        <f t="shared" si="141"/>
        <v>84.535145420907739</v>
      </c>
      <c r="Q139" s="20">
        <f t="shared" si="108"/>
        <v>782.01875794141324</v>
      </c>
      <c r="R139" s="59">
        <f t="shared" si="109"/>
        <v>1075.3520912747465</v>
      </c>
      <c r="S139" s="59">
        <f ca="1">AVERAGE(OFFSET($R$3,0,0,'Données projet'!$E$9+1,1))-AVERAGE(OFFSET($H$3,0,0,'Données projet'!$E$9+1,1))</f>
        <v>309.07357540707869</v>
      </c>
      <c r="T139" s="59">
        <f t="shared" si="142"/>
        <v>155.9593924683299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122.69576746316494</v>
      </c>
      <c r="AO139" s="59">
        <f t="shared" si="144"/>
        <v>103.29025722669985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0.83380454976745921</v>
      </c>
      <c r="AW139" s="21">
        <f>EXP(-LN(2)/2)*AW138+(1-EXP(-LN(2)/2))/(LN(2)/2)*AQ139*AT139*VLOOKUP('Données projet'!$B$10,Paramètres!$A$1:$I$89,3,0)*0.475*44/12</f>
        <v>3.4590772851353597E-15</v>
      </c>
      <c r="AX139" s="21">
        <f t="shared" si="114"/>
        <v>0.83380454976746265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-2.8421709430404007E-13</v>
      </c>
      <c r="BE139" s="13">
        <f>BD139*VLOOKUP('Données projet'!$B$11,Paramètres!$A$1:$I$89,3,0)*VLOOKUP('Données projet'!$B$11,Paramètres!$A$1:$I$89,5,0)</f>
        <v>-1.69961822393816E-13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171.96009656745713</v>
      </c>
      <c r="BJ139" s="59">
        <f t="shared" si="146"/>
        <v>172.37574906747716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0.20441765877953513</v>
      </c>
      <c r="BQ139" s="21">
        <f>EXP(-LN(2)/25)*BQ138+(1-EXP(-LN(2)/25))/(LN(2)/25)*Calculateur!BL139*Calculateur!BN139*VLOOKUP('Données projet'!$B$11,Paramètres!$A$1:$I$89,3,0)*0.475*44/12</f>
        <v>1.0879074015474341</v>
      </c>
      <c r="BR139" s="21">
        <f>EXP(-LN(2)/2)*BR138+(1-EXP(-LN(2)/2))/(LN(2)/2)*BL139*BO139*VLOOKUP('Données projet'!$B$11,Paramètres!$A$1:$I$89,3,0)*0.475*44/12</f>
        <v>1.3372215867642115E-15</v>
      </c>
      <c r="BS139" s="22">
        <f t="shared" si="117"/>
        <v>1.2923250603269707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7.2230769230769223</v>
      </c>
      <c r="N140" s="13">
        <f>IF('Données projet'!$A$36&gt;35,N139+M140-V139,IF(A140&lt;'Données projet'!$A$36,$K$205^A140,IF(A140='Données projet'!$A$36,'Données projet'!$B$36,N139+M140-V139)))</f>
        <v>410.04230769230708</v>
      </c>
      <c r="O140" s="13">
        <f>N140*VLOOKUP('Données projet'!$B$9,Paramètres!$A$1:$I$89,3,0)*VLOOKUP('Données projet'!$B$9,Paramètres!$A$1:$I$89,5,0)</f>
        <v>371.00627999999944</v>
      </c>
      <c r="P140" s="13">
        <f t="shared" si="141"/>
        <v>85.873140718665468</v>
      </c>
      <c r="Q140" s="20">
        <f t="shared" si="108"/>
        <v>795.73165775167456</v>
      </c>
      <c r="R140" s="59">
        <f t="shared" si="109"/>
        <v>1089.0649910850079</v>
      </c>
      <c r="S140" s="59">
        <f ca="1">AVERAGE(OFFSET($R$3,0,0,'Données projet'!$E$9+1,1))-AVERAGE(OFFSET($H$3,0,0,'Données projet'!$E$9+1,1))</f>
        <v>309.07357540707869</v>
      </c>
      <c r="T140" s="59">
        <f t="shared" si="142"/>
        <v>155.9593924683299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122.69576746316494</v>
      </c>
      <c r="AO140" s="59">
        <f t="shared" si="144"/>
        <v>103.29025722669985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0.81100412050619242</v>
      </c>
      <c r="AW140" s="21">
        <f>EXP(-LN(2)/2)*AW139+(1-EXP(-LN(2)/2))/(LN(2)/2)*AQ140*AT140*VLOOKUP('Données projet'!$B$10,Paramètres!$A$1:$I$89,3,0)*0.475*44/12</f>
        <v>2.4459370049675658E-15</v>
      </c>
      <c r="AX140" s="21">
        <f t="shared" si="114"/>
        <v>0.81100412050619486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-2.8421709430404007E-13</v>
      </c>
      <c r="BE140" s="13">
        <f>BD140*VLOOKUP('Données projet'!$B$11,Paramètres!$A$1:$I$89,3,0)*VLOOKUP('Données projet'!$B$11,Paramètres!$A$1:$I$89,5,0)</f>
        <v>-1.69961822393816E-13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171.96009656745713</v>
      </c>
      <c r="BJ140" s="59">
        <f t="shared" si="146"/>
        <v>172.37574906747716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0.20040915317332894</v>
      </c>
      <c r="BQ140" s="21">
        <f>EXP(-LN(2)/25)*BQ139+(1-EXP(-LN(2)/25))/(LN(2)/25)*Calculateur!BL140*Calculateur!BN140*VLOOKUP('Données projet'!$B$11,Paramètres!$A$1:$I$89,3,0)*0.475*44/12</f>
        <v>1.0581585164415557</v>
      </c>
      <c r="BR140" s="21">
        <f>EXP(-LN(2)/2)*BR139+(1-EXP(-LN(2)/2))/(LN(2)/2)*BL140*BO140*VLOOKUP('Données projet'!$B$11,Paramètres!$A$1:$I$89,3,0)*0.475*44/12</f>
        <v>9.4555845195000914E-16</v>
      </c>
      <c r="BS140" s="22">
        <f t="shared" si="117"/>
        <v>1.2585676696148855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7.2230769230769223</v>
      </c>
      <c r="N141" s="13">
        <f>IF('Données projet'!$A$36&gt;35,N140+M141-V140,IF(A141&lt;'Données projet'!$A$36,$K$205^A141,IF(A141='Données projet'!$A$36,'Données projet'!$B$36,N140+M141-V140)))</f>
        <v>417.26538461538399</v>
      </c>
      <c r="O141" s="13">
        <f>N141*VLOOKUP('Données projet'!$B$9,Paramètres!$A$1:$I$89,3,0)*VLOOKUP('Données projet'!$B$9,Paramètres!$A$1:$I$89,5,0)</f>
        <v>377.54171999999943</v>
      </c>
      <c r="P141" s="13">
        <f t="shared" si="141"/>
        <v>87.208395201480016</v>
      </c>
      <c r="Q141" s="20">
        <f t="shared" si="108"/>
        <v>809.43978397591002</v>
      </c>
      <c r="R141" s="59">
        <f t="shared" si="109"/>
        <v>1102.7731173092434</v>
      </c>
      <c r="S141" s="59">
        <f ca="1">AVERAGE(OFFSET($R$3,0,0,'Données projet'!$E$9+1,1))-AVERAGE(OFFSET($H$3,0,0,'Données projet'!$E$9+1,1))</f>
        <v>309.07357540707869</v>
      </c>
      <c r="T141" s="59">
        <f t="shared" si="142"/>
        <v>155.9593924683299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122.69576746316494</v>
      </c>
      <c r="AO141" s="59">
        <f t="shared" si="144"/>
        <v>103.29025722669985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0.78882717018209747</v>
      </c>
      <c r="AW141" s="21">
        <f>EXP(-LN(2)/2)*AW140+(1-EXP(-LN(2)/2))/(LN(2)/2)*AQ141*AT141*VLOOKUP('Données projet'!$B$10,Paramètres!$A$1:$I$89,3,0)*0.475*44/12</f>
        <v>1.7295386425676801E-15</v>
      </c>
      <c r="AX141" s="21">
        <f t="shared" si="114"/>
        <v>0.78882717018209925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-2.8421709430404007E-13</v>
      </c>
      <c r="BE141" s="13">
        <f>BD141*VLOOKUP('Données projet'!$B$11,Paramètres!$A$1:$I$89,3,0)*VLOOKUP('Données projet'!$B$11,Paramètres!$A$1:$I$89,5,0)</f>
        <v>-1.69961822393816E-13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171.96009656745713</v>
      </c>
      <c r="BJ141" s="59">
        <f t="shared" si="146"/>
        <v>172.37574906747716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0.19647925191711343</v>
      </c>
      <c r="BQ141" s="21">
        <f>EXP(-LN(2)/25)*BQ140+(1-EXP(-LN(2)/25))/(LN(2)/25)*Calculateur!BL141*Calculateur!BN141*VLOOKUP('Données projet'!$B$11,Paramètres!$A$1:$I$89,3,0)*0.475*44/12</f>
        <v>1.0292231161633234</v>
      </c>
      <c r="BR141" s="21">
        <f>EXP(-LN(2)/2)*BR140+(1-EXP(-LN(2)/2))/(LN(2)/2)*BL141*BO141*VLOOKUP('Données projet'!$B$11,Paramètres!$A$1:$I$89,3,0)*0.475*44/12</f>
        <v>6.6861079338210573E-16</v>
      </c>
      <c r="BS141" s="22">
        <f t="shared" si="117"/>
        <v>1.2257023680804375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7.2230769230769223</v>
      </c>
      <c r="N142" s="13">
        <f>IF('Données projet'!$A$36&gt;35,N141+M142-V141,IF(A142&lt;'Données projet'!$A$36,$K$205^A142,IF(A142='Données projet'!$A$36,'Données projet'!$B$36,N141+M142-V141)))</f>
        <v>424.48846153846091</v>
      </c>
      <c r="O142" s="13">
        <f>N142*VLOOKUP('Données projet'!$B$9,Paramètres!$A$1:$I$89,3,0)*VLOOKUP('Données projet'!$B$9,Paramètres!$A$1:$I$89,5,0)</f>
        <v>384.07715999999942</v>
      </c>
      <c r="P142" s="13">
        <f t="shared" si="141"/>
        <v>88.540961788845209</v>
      </c>
      <c r="Q142" s="20">
        <f t="shared" si="108"/>
        <v>823.14322878223766</v>
      </c>
      <c r="R142" s="59">
        <f t="shared" si="109"/>
        <v>1116.4765621155709</v>
      </c>
      <c r="S142" s="59">
        <f ca="1">AVERAGE(OFFSET($R$3,0,0,'Données projet'!$E$9+1,1))-AVERAGE(OFFSET($H$3,0,0,'Données projet'!$E$9+1,1))</f>
        <v>309.07357540707869</v>
      </c>
      <c r="T142" s="59">
        <f t="shared" si="142"/>
        <v>155.9593924683299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122.69576746316494</v>
      </c>
      <c r="AO142" s="59">
        <f t="shared" si="144"/>
        <v>103.29025722669985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0.76725664973085006</v>
      </c>
      <c r="AW142" s="21">
        <f>EXP(-LN(2)/2)*AW141+(1-EXP(-LN(2)/2))/(LN(2)/2)*AQ142*AT142*VLOOKUP('Données projet'!$B$10,Paramètres!$A$1:$I$89,3,0)*0.475*44/12</f>
        <v>1.2229685024837831E-15</v>
      </c>
      <c r="AX142" s="21">
        <f t="shared" si="114"/>
        <v>0.76725664973085128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-2.8421709430404007E-13</v>
      </c>
      <c r="BE142" s="13">
        <f>BD142*VLOOKUP('Données projet'!$B$11,Paramètres!$A$1:$I$89,3,0)*VLOOKUP('Données projet'!$B$11,Paramètres!$A$1:$I$89,5,0)</f>
        <v>-1.69961822393816E-13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171.96009656745713</v>
      </c>
      <c r="BJ142" s="59">
        <f t="shared" si="146"/>
        <v>172.37574906747716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0.19262641362752925</v>
      </c>
      <c r="BQ142" s="21">
        <f>EXP(-LN(2)/25)*BQ141+(1-EXP(-LN(2)/25))/(LN(2)/25)*Calculateur!BL142*Calculateur!BN142*VLOOKUP('Données projet'!$B$11,Paramètres!$A$1:$I$89,3,0)*0.475*44/12</f>
        <v>1.0010789559273459</v>
      </c>
      <c r="BR142" s="21">
        <f>EXP(-LN(2)/2)*BR141+(1-EXP(-LN(2)/2))/(LN(2)/2)*BL142*BO142*VLOOKUP('Données projet'!$B$11,Paramètres!$A$1:$I$89,3,0)*0.475*44/12</f>
        <v>4.7277922597500457E-16</v>
      </c>
      <c r="BS142" s="22">
        <f t="shared" si="117"/>
        <v>1.1937053695548756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431.71153846153845</v>
      </c>
      <c r="L143" s="12">
        <f>VLOOKUP(A143,'Données projet'!$A$35:$I$55,9,0)</f>
        <v>7.2230769230769223</v>
      </c>
      <c r="M143" s="12">
        <f t="array" ref="M143">INDEX(L:L,MIN(IF(ISNUMBER(L143:L339),ROW(L143:L339),"")))</f>
        <v>7.2230769230769223</v>
      </c>
      <c r="N143" s="13">
        <f>IF('Données projet'!$A$36&gt;35,N142+M143-V142,IF(A143&lt;'Données projet'!$A$36,$K$205^A143,IF(A143='Données projet'!$A$36,'Données projet'!$B$36,N142+M143-V142)))</f>
        <v>431.71153846153783</v>
      </c>
      <c r="O143" s="13">
        <f>N143*VLOOKUP('Données projet'!$B$9,Paramètres!$A$1:$I$89,3,0)*VLOOKUP('Données projet'!$B$9,Paramètres!$A$1:$I$89,5,0)</f>
        <v>390.61259999999942</v>
      </c>
      <c r="P143" s="13">
        <f t="shared" si="141"/>
        <v>89.870891496098764</v>
      </c>
      <c r="Q143" s="20">
        <f t="shared" si="108"/>
        <v>836.84208102237096</v>
      </c>
      <c r="R143" s="59">
        <f t="shared" si="109"/>
        <v>1130.1754143557043</v>
      </c>
      <c r="S143" s="59">
        <f ca="1">AVERAGE(OFFSET($R$3,0,0,'Données projet'!$E$9+1,1))-AVERAGE(OFFSET($H$3,0,0,'Données projet'!$E$9+1,1))</f>
        <v>309.07357540707869</v>
      </c>
      <c r="T143" s="59">
        <f t="shared" si="142"/>
        <v>155.9593924683299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50.467948717948715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122.69576746316494</v>
      </c>
      <c r="AO143" s="59">
        <f t="shared" si="144"/>
        <v>103.29025722669985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0.74627597629568632</v>
      </c>
      <c r="AW143" s="21">
        <f>EXP(-LN(2)/2)*AW142+(1-EXP(-LN(2)/2))/(LN(2)/2)*AQ143*AT143*VLOOKUP('Données projet'!$B$10,Paramètres!$A$1:$I$89,3,0)*0.475*44/12</f>
        <v>8.6476932128384013E-16</v>
      </c>
      <c r="AX143" s="21">
        <f t="shared" si="114"/>
        <v>0.7462759762956872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-2.8421709430404007E-13</v>
      </c>
      <c r="BE143" s="13">
        <f>BD143*VLOOKUP('Données projet'!$B$11,Paramètres!$A$1:$I$89,3,0)*VLOOKUP('Données projet'!$B$11,Paramètres!$A$1:$I$89,5,0)</f>
        <v>-1.69961822393816E-13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171.96009656745713</v>
      </c>
      <c r="BJ143" s="59">
        <f t="shared" si="146"/>
        <v>172.37574906747716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0.18884912714680449</v>
      </c>
      <c r="BQ143" s="21">
        <f>EXP(-LN(2)/25)*BQ142+(1-EXP(-LN(2)/25))/(LN(2)/25)*Calculateur!BL143*Calculateur!BN143*VLOOKUP('Données projet'!$B$11,Paramètres!$A$1:$I$89,3,0)*0.475*44/12</f>
        <v>0.97370439923305829</v>
      </c>
      <c r="BR143" s="21">
        <f>EXP(-LN(2)/2)*BR142+(1-EXP(-LN(2)/2))/(LN(2)/2)*BL143*BO143*VLOOKUP('Données projet'!$B$11,Paramètres!$A$1:$I$89,3,0)*0.475*44/12</f>
        <v>3.3430539669105287E-16</v>
      </c>
      <c r="BS143" s="22">
        <f t="shared" si="117"/>
        <v>1.1625535263798632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7.2314102564102543</v>
      </c>
      <c r="N144" s="13">
        <f>IF('Données projet'!$A$36&gt;35,N143+M144-V143,IF(A144&lt;'Données projet'!$A$36,$K$205^A144,IF(A144='Données projet'!$A$36,'Données projet'!$B$36,N143+M144-V143)))</f>
        <v>388.47499999999934</v>
      </c>
      <c r="O144" s="13">
        <f>N144*VLOOKUP('Données projet'!$B$9,Paramètres!$A$1:$I$89,3,0)*VLOOKUP('Données projet'!$B$9,Paramètres!$A$1:$I$89,5,0)</f>
        <v>351.49217999999939</v>
      </c>
      <c r="P144" s="13">
        <f t="shared" si="141"/>
        <v>81.869690479070712</v>
      </c>
      <c r="Q144" s="20">
        <f t="shared" si="108"/>
        <v>754.77192441771376</v>
      </c>
      <c r="R144" s="59">
        <f t="shared" si="109"/>
        <v>1048.105257751047</v>
      </c>
      <c r="S144" s="59">
        <f ca="1">AVERAGE(OFFSET($R$3,0,0,'Données projet'!$E$9+1,1))-AVERAGE(OFFSET($H$3,0,0,'Données projet'!$E$9+1,1))</f>
        <v>309.07357540707869</v>
      </c>
      <c r="T144" s="59">
        <f t="shared" si="142"/>
        <v>155.9593924683299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122.69576746316494</v>
      </c>
      <c r="AO144" s="59">
        <f t="shared" si="144"/>
        <v>103.29025722669985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0.72586902047893287</v>
      </c>
      <c r="AW144" s="21">
        <f>EXP(-LN(2)/2)*AW143+(1-EXP(-LN(2)/2))/(LN(2)/2)*AQ144*AT144*VLOOKUP('Données projet'!$B$10,Paramètres!$A$1:$I$89,3,0)*0.475*44/12</f>
        <v>6.1148425124189165E-16</v>
      </c>
      <c r="AX144" s="21">
        <f t="shared" si="114"/>
        <v>0.72586902047893354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-2.8421709430404007E-13</v>
      </c>
      <c r="BE144" s="13">
        <f>BD144*VLOOKUP('Données projet'!$B$11,Paramètres!$A$1:$I$89,3,0)*VLOOKUP('Données projet'!$B$11,Paramètres!$A$1:$I$89,5,0)</f>
        <v>-1.69961822393816E-13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171.96009656745713</v>
      </c>
      <c r="BJ144" s="59">
        <f t="shared" si="146"/>
        <v>172.37574906747716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0.18514591095004948</v>
      </c>
      <c r="BQ144" s="21">
        <f>EXP(-LN(2)/25)*BQ143+(1-EXP(-LN(2)/25))/(LN(2)/25)*Calculateur!BL144*Calculateur!BN144*VLOOKUP('Données projet'!$B$11,Paramètres!$A$1:$I$89,3,0)*0.475*44/12</f>
        <v>0.9470784012311414</v>
      </c>
      <c r="BR144" s="21">
        <f>EXP(-LN(2)/2)*BR143+(1-EXP(-LN(2)/2))/(LN(2)/2)*BL144*BO144*VLOOKUP('Données projet'!$B$11,Paramètres!$A$1:$I$89,3,0)*0.475*44/12</f>
        <v>2.3638961298750229E-16</v>
      </c>
      <c r="BS144" s="22">
        <f t="shared" si="117"/>
        <v>1.132224312181191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7.2314102564102543</v>
      </c>
      <c r="N145" s="13">
        <f>IF('Données projet'!$A$36&gt;35,N144+M145-V144,IF(A145&lt;'Données projet'!$A$36,$K$205^A145,IF(A145='Données projet'!$A$36,'Données projet'!$B$36,N144+M145-V144)))</f>
        <v>395.70641025640958</v>
      </c>
      <c r="O145" s="13">
        <f>N145*VLOOKUP('Données projet'!$B$9,Paramètres!$A$1:$I$89,3,0)*VLOOKUP('Données projet'!$B$9,Paramètres!$A$1:$I$89,5,0)</f>
        <v>358.03515999999939</v>
      </c>
      <c r="P145" s="13">
        <f t="shared" si="141"/>
        <v>83.214842129951279</v>
      </c>
      <c r="Q145" s="20">
        <f t="shared" si="108"/>
        <v>768.51042037633067</v>
      </c>
      <c r="R145" s="59">
        <f t="shared" si="109"/>
        <v>1061.843753709664</v>
      </c>
      <c r="S145" s="59">
        <f ca="1">AVERAGE(OFFSET($R$3,0,0,'Données projet'!$E$9+1,1))-AVERAGE(OFFSET($H$3,0,0,'Données projet'!$E$9+1,1))</f>
        <v>309.07357540707869</v>
      </c>
      <c r="T145" s="59">
        <f t="shared" si="142"/>
        <v>155.9593924683299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122.69576746316494</v>
      </c>
      <c r="AO145" s="59">
        <f t="shared" si="144"/>
        <v>103.29025722669985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0.70602009394214371</v>
      </c>
      <c r="AW145" s="21">
        <f>EXP(-LN(2)/2)*AW144+(1-EXP(-LN(2)/2))/(LN(2)/2)*AQ145*AT145*VLOOKUP('Données projet'!$B$10,Paramètres!$A$1:$I$89,3,0)*0.475*44/12</f>
        <v>4.3238466064192017E-16</v>
      </c>
      <c r="AX145" s="21">
        <f t="shared" si="114"/>
        <v>0.70602009394214416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-2.8421709430404007E-13</v>
      </c>
      <c r="BE145" s="13">
        <f>BD145*VLOOKUP('Données projet'!$B$11,Paramètres!$A$1:$I$89,3,0)*VLOOKUP('Données projet'!$B$11,Paramètres!$A$1:$I$89,5,0)</f>
        <v>-1.69961822393816E-13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171.96009656745713</v>
      </c>
      <c r="BJ145" s="59">
        <f t="shared" si="146"/>
        <v>172.37574906747716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0.181515312564174</v>
      </c>
      <c r="BQ145" s="21">
        <f>EXP(-LN(2)/25)*BQ144+(1-EXP(-LN(2)/25))/(LN(2)/25)*Calculateur!BL145*Calculateur!BN145*VLOOKUP('Données projet'!$B$11,Paramètres!$A$1:$I$89,3,0)*0.475*44/12</f>
        <v>0.92118049254478729</v>
      </c>
      <c r="BR145" s="21">
        <f>EXP(-LN(2)/2)*BR144+(1-EXP(-LN(2)/2))/(LN(2)/2)*BL145*BO145*VLOOKUP('Données projet'!$B$11,Paramètres!$A$1:$I$89,3,0)*0.475*44/12</f>
        <v>1.6715269834552643E-16</v>
      </c>
      <c r="BS145" s="22">
        <f t="shared" si="117"/>
        <v>1.1026958051089615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7.2314102564102543</v>
      </c>
      <c r="N146" s="13">
        <f>IF('Données projet'!$A$36&gt;35,N145+M146-V145,IF(A146&lt;'Données projet'!$A$36,$K$205^A146,IF(A146='Données projet'!$A$36,'Données projet'!$B$36,N145+M146-V145)))</f>
        <v>402.93782051281983</v>
      </c>
      <c r="O146" s="13">
        <f>N146*VLOOKUP('Données projet'!$B$9,Paramètres!$A$1:$I$89,3,0)*VLOOKUP('Données projet'!$B$9,Paramètres!$A$1:$I$89,5,0)</f>
        <v>364.57813999999939</v>
      </c>
      <c r="P146" s="13">
        <f t="shared" si="141"/>
        <v>84.557135282967096</v>
      </c>
      <c r="Q146" s="20">
        <f t="shared" si="108"/>
        <v>782.24393778449996</v>
      </c>
      <c r="R146" s="59">
        <f t="shared" si="109"/>
        <v>1075.5772711178333</v>
      </c>
      <c r="S146" s="59">
        <f ca="1">AVERAGE(OFFSET($R$3,0,0,'Données projet'!$E$9+1,1))-AVERAGE(OFFSET($H$3,0,0,'Données projet'!$E$9+1,1))</f>
        <v>309.07357540707869</v>
      </c>
      <c r="T146" s="59">
        <f t="shared" si="142"/>
        <v>155.9593924683299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122.69576746316494</v>
      </c>
      <c r="AO146" s="59">
        <f t="shared" si="144"/>
        <v>103.29025722669985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0.68671393734531272</v>
      </c>
      <c r="AW146" s="21">
        <f>EXP(-LN(2)/2)*AW145+(1-EXP(-LN(2)/2))/(LN(2)/2)*AQ146*AT146*VLOOKUP('Données projet'!$B$10,Paramètres!$A$1:$I$89,3,0)*0.475*44/12</f>
        <v>3.0574212562094587E-16</v>
      </c>
      <c r="AX146" s="21">
        <f t="shared" si="114"/>
        <v>0.68671393734531305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-2.8421709430404007E-13</v>
      </c>
      <c r="BE146" s="13">
        <f>BD146*VLOOKUP('Données projet'!$B$11,Paramètres!$A$1:$I$89,3,0)*VLOOKUP('Données projet'!$B$11,Paramètres!$A$1:$I$89,5,0)</f>
        <v>-1.69961822393816E-13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171.96009656745713</v>
      </c>
      <c r="BJ146" s="59">
        <f t="shared" si="146"/>
        <v>172.37574906747716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0.17795590799819916</v>
      </c>
      <c r="BQ146" s="21">
        <f>EXP(-LN(2)/25)*BQ145+(1-EXP(-LN(2)/25))/(LN(2)/25)*Calculateur!BL146*Calculateur!BN146*VLOOKUP('Données projet'!$B$11,Paramètres!$A$1:$I$89,3,0)*0.475*44/12</f>
        <v>0.89599076353337337</v>
      </c>
      <c r="BR146" s="21">
        <f>EXP(-LN(2)/2)*BR145+(1-EXP(-LN(2)/2))/(LN(2)/2)*BL146*BO146*VLOOKUP('Données projet'!$B$11,Paramètres!$A$1:$I$89,3,0)*0.475*44/12</f>
        <v>1.1819480649375114E-16</v>
      </c>
      <c r="BS146" s="22">
        <f t="shared" si="117"/>
        <v>1.0739466715315726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7.2314102564102543</v>
      </c>
      <c r="N147" s="13">
        <f>IF('Données projet'!$A$36&gt;35,N146+M147-V146,IF(A147&lt;'Données projet'!$A$36,$K$205^A147,IF(A147='Données projet'!$A$36,'Données projet'!$B$36,N146+M147-V146)))</f>
        <v>410.16923076923007</v>
      </c>
      <c r="O147" s="13">
        <f>N147*VLOOKUP('Données projet'!$B$9,Paramètres!$A$1:$I$89,3,0)*VLOOKUP('Données projet'!$B$9,Paramètres!$A$1:$I$89,5,0)</f>
        <v>371.12111999999939</v>
      </c>
      <c r="P147" s="13">
        <f t="shared" si="141"/>
        <v>85.896627156574425</v>
      </c>
      <c r="Q147" s="20">
        <f t="shared" si="108"/>
        <v>795.97257629769945</v>
      </c>
      <c r="R147" s="59">
        <f t="shared" si="109"/>
        <v>1089.3059096310328</v>
      </c>
      <c r="S147" s="59">
        <f ca="1">AVERAGE(OFFSET($R$3,0,0,'Données projet'!$E$9+1,1))-AVERAGE(OFFSET($H$3,0,0,'Données projet'!$E$9+1,1))</f>
        <v>309.07357540707869</v>
      </c>
      <c r="T147" s="59">
        <f t="shared" si="142"/>
        <v>155.9593924683299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122.69576746316494</v>
      </c>
      <c r="AO147" s="59">
        <f t="shared" si="144"/>
        <v>103.29025722669985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0.66793570861588869</v>
      </c>
      <c r="AW147" s="21">
        <f>EXP(-LN(2)/2)*AW146+(1-EXP(-LN(2)/2))/(LN(2)/2)*AQ147*AT147*VLOOKUP('Données projet'!$B$10,Paramètres!$A$1:$I$89,3,0)*0.475*44/12</f>
        <v>2.1619233032096011E-16</v>
      </c>
      <c r="AX147" s="21">
        <f t="shared" si="114"/>
        <v>0.66793570861588891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-2.8421709430404007E-13</v>
      </c>
      <c r="BE147" s="13">
        <f>BD147*VLOOKUP('Données projet'!$B$11,Paramètres!$A$1:$I$89,3,0)*VLOOKUP('Données projet'!$B$11,Paramètres!$A$1:$I$89,5,0)</f>
        <v>-1.69961822393816E-13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171.96009656745713</v>
      </c>
      <c r="BJ147" s="59">
        <f t="shared" si="146"/>
        <v>172.37574906747716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0.17446630118474069</v>
      </c>
      <c r="BQ147" s="21">
        <f>EXP(-LN(2)/25)*BQ146+(1-EXP(-LN(2)/25))/(LN(2)/25)*Calculateur!BL147*Calculateur!BN147*VLOOKUP('Données projet'!$B$11,Paramètres!$A$1:$I$89,3,0)*0.475*44/12</f>
        <v>0.87148984898644688</v>
      </c>
      <c r="BR147" s="21">
        <f>EXP(-LN(2)/2)*BR146+(1-EXP(-LN(2)/2))/(LN(2)/2)*BL147*BO147*VLOOKUP('Données projet'!$B$11,Paramètres!$A$1:$I$89,3,0)*0.475*44/12</f>
        <v>8.3576349172763216E-17</v>
      </c>
      <c r="BS147" s="22">
        <f t="shared" si="117"/>
        <v>1.0459561501711876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7.2314102564102543</v>
      </c>
      <c r="N148" s="13">
        <f>IF('Données projet'!$A$36&gt;35,N147+M148-V147,IF(A148&lt;'Données projet'!$A$36,$K$205^A148,IF(A148='Données projet'!$A$36,'Données projet'!$B$36,N147+M148-V147)))</f>
        <v>417.40064102564031</v>
      </c>
      <c r="O148" s="13">
        <f>N148*VLOOKUP('Données projet'!$B$9,Paramètres!$A$1:$I$89,3,0)*VLOOKUP('Données projet'!$B$9,Paramètres!$A$1:$I$89,5,0)</f>
        <v>377.66409999999934</v>
      </c>
      <c r="P148" s="13">
        <f t="shared" si="141"/>
        <v>87.233372836107904</v>
      </c>
      <c r="Q148" s="20">
        <f t="shared" si="108"/>
        <v>809.69643185621999</v>
      </c>
      <c r="R148" s="59">
        <f t="shared" si="109"/>
        <v>1103.0297651895532</v>
      </c>
      <c r="S148" s="59">
        <f ca="1">AVERAGE(OFFSET($R$3,0,0,'Données projet'!$E$9+1,1))-AVERAGE(OFFSET($H$3,0,0,'Données projet'!$E$9+1,1))</f>
        <v>309.07357540707869</v>
      </c>
      <c r="T148" s="59">
        <f t="shared" si="142"/>
        <v>155.9593924683299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122.69576746316494</v>
      </c>
      <c r="AO148" s="59">
        <f t="shared" si="144"/>
        <v>103.29025722669985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0.64967097153857489</v>
      </c>
      <c r="AW148" s="21">
        <f>EXP(-LN(2)/2)*AW147+(1-EXP(-LN(2)/2))/(LN(2)/2)*AQ148*AT148*VLOOKUP('Données projet'!$B$10,Paramètres!$A$1:$I$89,3,0)*0.475*44/12</f>
        <v>1.5287106281047296E-16</v>
      </c>
      <c r="AX148" s="21">
        <f t="shared" si="114"/>
        <v>0.649670971538575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-2.8421709430404007E-13</v>
      </c>
      <c r="BE148" s="13">
        <f>BD148*VLOOKUP('Données projet'!$B$11,Paramètres!$A$1:$I$89,3,0)*VLOOKUP('Données projet'!$B$11,Paramètres!$A$1:$I$89,5,0)</f>
        <v>-1.69961822393816E-13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171.96009656745713</v>
      </c>
      <c r="BJ148" s="59">
        <f t="shared" si="146"/>
        <v>172.37574906747716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0.17104512343244413</v>
      </c>
      <c r="BQ148" s="21">
        <f>EXP(-LN(2)/25)*BQ147+(1-EXP(-LN(2)/25))/(LN(2)/25)*Calculateur!BL148*Calculateur!BN148*VLOOKUP('Données projet'!$B$11,Paramètres!$A$1:$I$89,3,0)*0.475*44/12</f>
        <v>0.8476589132362532</v>
      </c>
      <c r="BR148" s="21">
        <f>EXP(-LN(2)/2)*BR147+(1-EXP(-LN(2)/2))/(LN(2)/2)*BL148*BO148*VLOOKUP('Données projet'!$B$11,Paramètres!$A$1:$I$89,3,0)*0.475*44/12</f>
        <v>5.9097403246875571E-17</v>
      </c>
      <c r="BS148" s="22">
        <f t="shared" si="117"/>
        <v>1.0187040366686972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7.2314102564102543</v>
      </c>
      <c r="N149" s="13">
        <f>IF('Données projet'!$A$36&gt;35,N148+M149-V148,IF(A149&lt;'Données projet'!$A$36,$K$205^A149,IF(A149='Données projet'!$A$36,'Données projet'!$B$36,N148+M149-V148)))</f>
        <v>424.63205128205055</v>
      </c>
      <c r="O149" s="13">
        <f>N149*VLOOKUP('Données projet'!$B$9,Paramètres!$A$1:$I$89,3,0)*VLOOKUP('Données projet'!$B$9,Paramètres!$A$1:$I$89,5,0)</f>
        <v>384.20707999999934</v>
      </c>
      <c r="P149" s="13">
        <f t="shared" si="141"/>
        <v>88.567425388857529</v>
      </c>
      <c r="Q149" s="20">
        <f t="shared" si="108"/>
        <v>823.41559688559244</v>
      </c>
      <c r="R149" s="59">
        <f t="shared" si="109"/>
        <v>1116.7489302189258</v>
      </c>
      <c r="S149" s="59">
        <f ca="1">AVERAGE(OFFSET($R$3,0,0,'Données projet'!$E$9+1,1))-AVERAGE(OFFSET($H$3,0,0,'Données projet'!$E$9+1,1))</f>
        <v>309.07357540707869</v>
      </c>
      <c r="T149" s="59">
        <f t="shared" si="142"/>
        <v>155.9593924683299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122.69576746316494</v>
      </c>
      <c r="AO149" s="59">
        <f t="shared" si="144"/>
        <v>103.29025722669985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0.63190568465714103</v>
      </c>
      <c r="AW149" s="21">
        <f>EXP(-LN(2)/2)*AW148+(1-EXP(-LN(2)/2))/(LN(2)/2)*AQ149*AT149*VLOOKUP('Données projet'!$B$10,Paramètres!$A$1:$I$89,3,0)*0.475*44/12</f>
        <v>1.0809616516048008E-16</v>
      </c>
      <c r="AX149" s="21">
        <f t="shared" si="114"/>
        <v>0.63190568465714114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-2.8421709430404007E-13</v>
      </c>
      <c r="BE149" s="13">
        <f>BD149*VLOOKUP('Données projet'!$B$11,Paramètres!$A$1:$I$89,3,0)*VLOOKUP('Données projet'!$B$11,Paramètres!$A$1:$I$89,5,0)</f>
        <v>-1.69961822393816E-13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171.96009656745713</v>
      </c>
      <c r="BJ149" s="59">
        <f t="shared" si="146"/>
        <v>172.37574906747716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0.16769103288915774</v>
      </c>
      <c r="BQ149" s="21">
        <f>EXP(-LN(2)/25)*BQ148+(1-EXP(-LN(2)/25))/(LN(2)/25)*Calculateur!BL149*Calculateur!BN149*VLOOKUP('Données projet'!$B$11,Paramètres!$A$1:$I$89,3,0)*0.475*44/12</f>
        <v>0.82447963567736293</v>
      </c>
      <c r="BR149" s="21">
        <f>EXP(-LN(2)/2)*BR148+(1-EXP(-LN(2)/2))/(LN(2)/2)*BL149*BO149*VLOOKUP('Données projet'!$B$11,Paramètres!$A$1:$I$89,3,0)*0.475*44/12</f>
        <v>4.1788174586381608E-17</v>
      </c>
      <c r="BS149" s="22">
        <f t="shared" si="117"/>
        <v>0.9921706685665207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7.2314102564102543</v>
      </c>
      <c r="N150" s="13">
        <f>IF('Données projet'!$A$36&gt;35,N149+M150-V149,IF(A150&lt;'Données projet'!$A$36,$K$205^A150,IF(A150='Données projet'!$A$36,'Données projet'!$B$36,N149+M150-V149)))</f>
        <v>431.8634615384608</v>
      </c>
      <c r="O150" s="13">
        <f>N150*VLOOKUP('Données projet'!$B$9,Paramètres!$A$1:$I$89,3,0)*VLOOKUP('Données projet'!$B$9,Paramètres!$A$1:$I$89,5,0)</f>
        <v>390.75005999999934</v>
      </c>
      <c r="P150" s="13">
        <f t="shared" si="141"/>
        <v>89.898835971083955</v>
      </c>
      <c r="Q150" s="20">
        <f t="shared" si="108"/>
        <v>837.13016048297004</v>
      </c>
      <c r="R150" s="59">
        <f t="shared" si="109"/>
        <v>1130.4634938163033</v>
      </c>
      <c r="S150" s="59">
        <f ca="1">AVERAGE(OFFSET($R$3,0,0,'Données projet'!$E$9+1,1))-AVERAGE(OFFSET($H$3,0,0,'Données projet'!$E$9+1,1))</f>
        <v>309.07357540707869</v>
      </c>
      <c r="T150" s="59">
        <f t="shared" si="142"/>
        <v>155.9593924683299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122.69576746316494</v>
      </c>
      <c r="AO150" s="59">
        <f t="shared" si="144"/>
        <v>103.29025722669985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0.61462619047971578</v>
      </c>
      <c r="AW150" s="21">
        <f>EXP(-LN(2)/2)*AW149+(1-EXP(-LN(2)/2))/(LN(2)/2)*AQ150*AT150*VLOOKUP('Données projet'!$B$10,Paramètres!$A$1:$I$89,3,0)*0.475*44/12</f>
        <v>7.6435531405236493E-17</v>
      </c>
      <c r="AX150" s="21">
        <f t="shared" si="114"/>
        <v>0.61462619047971589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-2.8421709430404007E-13</v>
      </c>
      <c r="BE150" s="13">
        <f>BD150*VLOOKUP('Données projet'!$B$11,Paramètres!$A$1:$I$89,3,0)*VLOOKUP('Données projet'!$B$11,Paramètres!$A$1:$I$89,5,0)</f>
        <v>-1.69961822393816E-13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171.96009656745713</v>
      </c>
      <c r="BJ150" s="59">
        <f t="shared" si="146"/>
        <v>172.37574906747716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0.16440271401563197</v>
      </c>
      <c r="BQ150" s="21">
        <f>EXP(-LN(2)/25)*BQ149+(1-EXP(-LN(2)/25))/(LN(2)/25)*Calculateur!BL150*Calculateur!BN150*VLOOKUP('Données projet'!$B$11,Paramètres!$A$1:$I$89,3,0)*0.475*44/12</f>
        <v>0.80193419668226573</v>
      </c>
      <c r="BR150" s="21">
        <f>EXP(-LN(2)/2)*BR149+(1-EXP(-LN(2)/2))/(LN(2)/2)*BL150*BO150*VLOOKUP('Données projet'!$B$11,Paramètres!$A$1:$I$89,3,0)*0.475*44/12</f>
        <v>2.9548701623437786E-17</v>
      </c>
      <c r="BS150" s="22">
        <f t="shared" si="117"/>
        <v>0.96633691069789773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7.2314102564102543</v>
      </c>
      <c r="N151" s="13">
        <f>IF('Données projet'!$A$36&gt;35,N150+M151-V150,IF(A151&lt;'Données projet'!$A$36,$K$205^A151,IF(A151='Données projet'!$A$36,'Données projet'!$B$36,N150+M151-V150)))</f>
        <v>439.09487179487104</v>
      </c>
      <c r="O151" s="13">
        <f>N151*VLOOKUP('Données projet'!$B$9,Paramètres!$A$1:$I$89,3,0)*VLOOKUP('Données projet'!$B$9,Paramètres!$A$1:$I$89,5,0)</f>
        <v>397.29303999999928</v>
      </c>
      <c r="P151" s="13">
        <f t="shared" si="141"/>
        <v>91.227653927663823</v>
      </c>
      <c r="Q151" s="20">
        <f t="shared" si="108"/>
        <v>850.84020859067994</v>
      </c>
      <c r="R151" s="59">
        <f t="shared" si="109"/>
        <v>1144.1735419240133</v>
      </c>
      <c r="S151" s="59">
        <f ca="1">AVERAGE(OFFSET($R$3,0,0,'Données projet'!$E$9+1,1))-AVERAGE(OFFSET($H$3,0,0,'Données projet'!$E$9+1,1))</f>
        <v>309.07357540707869</v>
      </c>
      <c r="T151" s="59">
        <f t="shared" si="142"/>
        <v>155.9593924683299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122.69576746316494</v>
      </c>
      <c r="AO151" s="59">
        <f t="shared" si="144"/>
        <v>103.29025722669985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0.59781920497926133</v>
      </c>
      <c r="AW151" s="21">
        <f>EXP(-LN(2)/2)*AW150+(1-EXP(-LN(2)/2))/(LN(2)/2)*AQ151*AT151*VLOOKUP('Données projet'!$B$10,Paramètres!$A$1:$I$89,3,0)*0.475*44/12</f>
        <v>5.4048082580240045E-17</v>
      </c>
      <c r="AX151" s="21">
        <f t="shared" si="114"/>
        <v>0.59781920497926133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-2.8421709430404007E-13</v>
      </c>
      <c r="BE151" s="13">
        <f>BD151*VLOOKUP('Données projet'!$B$11,Paramètres!$A$1:$I$89,3,0)*VLOOKUP('Données projet'!$B$11,Paramètres!$A$1:$I$89,5,0)</f>
        <v>-1.69961822393816E-13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171.96009656745713</v>
      </c>
      <c r="BJ151" s="59">
        <f t="shared" si="146"/>
        <v>172.37574906747716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0.16117887706953957</v>
      </c>
      <c r="BQ151" s="21">
        <f>EXP(-LN(2)/25)*BQ150+(1-EXP(-LN(2)/25))/(LN(2)/25)*Calculateur!BL151*Calculateur!BN151*VLOOKUP('Données projet'!$B$11,Paramètres!$A$1:$I$89,3,0)*0.475*44/12</f>
        <v>0.78000526390210256</v>
      </c>
      <c r="BR151" s="21">
        <f>EXP(-LN(2)/2)*BR150+(1-EXP(-LN(2)/2))/(LN(2)/2)*BL151*BO151*VLOOKUP('Données projet'!$B$11,Paramètres!$A$1:$I$89,3,0)*0.475*44/12</f>
        <v>2.0894087293190804E-17</v>
      </c>
      <c r="BS151" s="22">
        <f t="shared" si="117"/>
        <v>0.94118414097164216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7.2314102564102543</v>
      </c>
      <c r="N152" s="13">
        <f>IF('Données projet'!$A$36&gt;35,N151+M152-V151,IF(A152&lt;'Données projet'!$A$36,$K$205^A152,IF(A152='Données projet'!$A$36,'Données projet'!$B$36,N151+M152-V151)))</f>
        <v>446.32628205128128</v>
      </c>
      <c r="O152" s="13">
        <f>N152*VLOOKUP('Données projet'!$B$9,Paramètres!$A$1:$I$89,3,0)*VLOOKUP('Données projet'!$B$9,Paramètres!$A$1:$I$89,5,0)</f>
        <v>403.83601999999928</v>
      </c>
      <c r="P152" s="13">
        <f t="shared" si="141"/>
        <v>92.553926884983895</v>
      </c>
      <c r="Q152" s="20">
        <f t="shared" si="108"/>
        <v>864.54582415801235</v>
      </c>
      <c r="R152" s="59">
        <f t="shared" si="109"/>
        <v>1157.8791574913457</v>
      </c>
      <c r="S152" s="59">
        <f ca="1">AVERAGE(OFFSET($R$3,0,0,'Données projet'!$E$9+1,1))-AVERAGE(OFFSET($H$3,0,0,'Données projet'!$E$9+1,1))</f>
        <v>309.07357540707869</v>
      </c>
      <c r="T152" s="59">
        <f t="shared" si="142"/>
        <v>155.9593924683299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122.69576746316494</v>
      </c>
      <c r="AO152" s="59">
        <f t="shared" si="144"/>
        <v>103.29025722669985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0.58147180738115778</v>
      </c>
      <c r="AW152" s="21">
        <f>EXP(-LN(2)/2)*AW151+(1-EXP(-LN(2)/2))/(LN(2)/2)*AQ152*AT152*VLOOKUP('Données projet'!$B$10,Paramètres!$A$1:$I$89,3,0)*0.475*44/12</f>
        <v>3.8217765702618253E-17</v>
      </c>
      <c r="AX152" s="21">
        <f t="shared" si="114"/>
        <v>0.58147180738115778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-2.8421709430404007E-13</v>
      </c>
      <c r="BE152" s="13">
        <f>BD152*VLOOKUP('Données projet'!$B$11,Paramètres!$A$1:$I$89,3,0)*VLOOKUP('Données projet'!$B$11,Paramètres!$A$1:$I$89,5,0)</f>
        <v>-1.69961822393816E-13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171.96009656745713</v>
      </c>
      <c r="BJ152" s="59">
        <f t="shared" si="146"/>
        <v>172.37574906747716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0.15801825759961366</v>
      </c>
      <c r="BQ152" s="21">
        <f>EXP(-LN(2)/25)*BQ151+(1-EXP(-LN(2)/25))/(LN(2)/25)*Calculateur!BL152*Calculateur!BN152*VLOOKUP('Données projet'!$B$11,Paramètres!$A$1:$I$89,3,0)*0.475*44/12</f>
        <v>0.75867597894200545</v>
      </c>
      <c r="BR152" s="21">
        <f>EXP(-LN(2)/2)*BR151+(1-EXP(-LN(2)/2))/(LN(2)/2)*BL152*BO152*VLOOKUP('Données projet'!$B$11,Paramètres!$A$1:$I$89,3,0)*0.475*44/12</f>
        <v>1.4774350811718893E-17</v>
      </c>
      <c r="BS152" s="22">
        <f t="shared" si="117"/>
        <v>0.91669423654161908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453.55769230769226</v>
      </c>
      <c r="L153" s="12">
        <f>VLOOKUP(A153,'Données projet'!$A$35:$I$55,9,0)</f>
        <v>7.2314102564102543</v>
      </c>
      <c r="M153" s="12">
        <f t="array" ref="M153">INDEX(L:L,MIN(IF(ISNUMBER(L153:L349),ROW(L153:L349),"")))</f>
        <v>7.2314102564102543</v>
      </c>
      <c r="N153" s="13">
        <f>IF('Données projet'!$A$36&gt;35,N152+M153-V152,IF(A153&lt;'Données projet'!$A$36,$K$205^A153,IF(A153='Données projet'!$A$36,'Données projet'!$B$36,N152+M153-V152)))</f>
        <v>453.55769230769153</v>
      </c>
      <c r="O153" s="13">
        <f>N153*VLOOKUP('Données projet'!$B$9,Paramètres!$A$1:$I$89,3,0)*VLOOKUP('Données projet'!$B$9,Paramètres!$A$1:$I$89,5,0)</f>
        <v>410.37899999999928</v>
      </c>
      <c r="P153" s="13">
        <f t="shared" si="141"/>
        <v>93.877700837644795</v>
      </c>
      <c r="Q153" s="20">
        <f t="shared" si="108"/>
        <v>878.24708729223005</v>
      </c>
      <c r="R153" s="59">
        <f t="shared" si="109"/>
        <v>1171.5804206255634</v>
      </c>
      <c r="S153" s="59">
        <f ca="1">AVERAGE(OFFSET($R$3,0,0,'Données projet'!$E$9+1,1))-AVERAGE(OFFSET($H$3,0,0,'Données projet'!$E$9+1,1))</f>
        <v>309.07357540707869</v>
      </c>
      <c r="T153" s="59">
        <f t="shared" si="142"/>
        <v>155.9593924683299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178.72435897435898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122.69576746316494</v>
      </c>
      <c r="AO153" s="59">
        <f t="shared" si="144"/>
        <v>103.29025722669985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0.56557143023004663</v>
      </c>
      <c r="AW153" s="21">
        <f>EXP(-LN(2)/2)*AW152+(1-EXP(-LN(2)/2))/(LN(2)/2)*AQ153*AT153*VLOOKUP('Données projet'!$B$10,Paramètres!$A$1:$I$89,3,0)*0.475*44/12</f>
        <v>2.7024041290120026E-17</v>
      </c>
      <c r="AX153" s="21">
        <f t="shared" si="114"/>
        <v>0.56557143023004663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-2.8421709430404007E-13</v>
      </c>
      <c r="BE153" s="13">
        <f>BD153*VLOOKUP('Données projet'!$B$11,Paramètres!$A$1:$I$89,3,0)*VLOOKUP('Données projet'!$B$11,Paramètres!$A$1:$I$89,5,0)</f>
        <v>-1.69961822393816E-13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171.96009656745713</v>
      </c>
      <c r="BJ153" s="59">
        <f t="shared" si="146"/>
        <v>172.37574906747716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0.15491961594970546</v>
      </c>
      <c r="BQ153" s="21">
        <f>EXP(-LN(2)/25)*BQ152+(1-EXP(-LN(2)/25))/(LN(2)/25)*Calculateur!BL153*Calculateur!BN153*VLOOKUP('Données projet'!$B$11,Paramètres!$A$1:$I$89,3,0)*0.475*44/12</f>
        <v>0.73792994440080051</v>
      </c>
      <c r="BR153" s="21">
        <f>EXP(-LN(2)/2)*BR152+(1-EXP(-LN(2)/2))/(LN(2)/2)*BL153*BO153*VLOOKUP('Données projet'!$B$11,Paramètres!$A$1:$I$89,3,0)*0.475*44/12</f>
        <v>1.0447043646595402E-17</v>
      </c>
      <c r="BS153" s="22">
        <f t="shared" si="117"/>
        <v>0.892849560350506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6.0235042735042912</v>
      </c>
      <c r="N154" s="13">
        <f>IF('Données projet'!$A$36&gt;35,N153+M154-V153,IF(A154&lt;'Données projet'!$A$36,$K$205^A154,IF(A154='Données projet'!$A$36,'Données projet'!$B$36,N153+M154-V153)))</f>
        <v>280.85683760683685</v>
      </c>
      <c r="O154" s="13">
        <f>N154*VLOOKUP('Données projet'!$B$9,Paramètres!$A$1:$I$89,3,0)*VLOOKUP('Données projet'!$B$9,Paramètres!$A$1:$I$89,5,0)</f>
        <v>254.11926666666599</v>
      </c>
      <c r="P154" s="13">
        <f t="shared" si="141"/>
        <v>61.467179070182553</v>
      </c>
      <c r="Q154" s="20">
        <f t="shared" ref="Q154:Q203" si="162">(O154+P154)*0.475*44/12</f>
        <v>549.64639299167777</v>
      </c>
      <c r="R154" s="59">
        <f t="shared" si="109"/>
        <v>842.97972632501114</v>
      </c>
      <c r="S154" s="59">
        <f ca="1">AVERAGE(OFFSET($R$3,0,0,'Données projet'!$E$9+1,1))-AVERAGE(OFFSET($H$3,0,0,'Données projet'!$E$9+1,1))</f>
        <v>309.07357540707869</v>
      </c>
      <c r="T154" s="59">
        <f t="shared" si="142"/>
        <v>155.9593924683299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122.69576746316494</v>
      </c>
      <c r="AO154" s="59">
        <f t="shared" si="144"/>
        <v>103.29025722669985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0.55010584972829712</v>
      </c>
      <c r="AW154" s="21">
        <f>EXP(-LN(2)/2)*AW153+(1-EXP(-LN(2)/2))/(LN(2)/2)*AQ154*AT154*VLOOKUP('Données projet'!$B$10,Paramètres!$A$1:$I$89,3,0)*0.475*44/12</f>
        <v>1.9108882851309129E-17</v>
      </c>
      <c r="AX154" s="21">
        <f t="shared" ref="AX154:AX203" si="166">SUM(AU154:AW154)</f>
        <v>0.55010584972829712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-2.8421709430404007E-13</v>
      </c>
      <c r="BE154" s="13">
        <f>BD154*VLOOKUP('Données projet'!$B$11,Paramètres!$A$1:$I$89,3,0)*VLOOKUP('Données projet'!$B$11,Paramètres!$A$1:$I$89,5,0)</f>
        <v>-1.69961822393816E-13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171.96009656745713</v>
      </c>
      <c r="BJ154" s="59">
        <f t="shared" si="146"/>
        <v>172.37574906747716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0.15188173677256719</v>
      </c>
      <c r="BQ154" s="21">
        <f>EXP(-LN(2)/25)*BQ153+(1-EXP(-LN(2)/25))/(LN(2)/25)*Calculateur!BL154*Calculateur!BN154*VLOOKUP('Données projet'!$B$11,Paramètres!$A$1:$I$89,3,0)*0.475*44/12</f>
        <v>0.71775121126511143</v>
      </c>
      <c r="BR154" s="21">
        <f>EXP(-LN(2)/2)*BR153+(1-EXP(-LN(2)/2))/(LN(2)/2)*BL154*BO154*VLOOKUP('Données projet'!$B$11,Paramètres!$A$1:$I$89,3,0)*0.475*44/12</f>
        <v>7.3871754058594464E-18</v>
      </c>
      <c r="BS154" s="22">
        <f t="shared" ref="BS154:BS203" si="169">SUM(BP154:BR154)</f>
        <v>0.86963294803767865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6.0235042735042912</v>
      </c>
      <c r="N155" s="13">
        <f>IF('Données projet'!$A$36&gt;35,N154+M155-V154,IF(A155&lt;'Données projet'!$A$36,$K$205^A155,IF(A155='Données projet'!$A$36,'Données projet'!$B$36,N154+M155-V154)))</f>
        <v>286.88034188034112</v>
      </c>
      <c r="O155" s="13">
        <f>N155*VLOOKUP('Données projet'!$B$9,Paramètres!$A$1:$I$89,3,0)*VLOOKUP('Données projet'!$B$9,Paramètres!$A$1:$I$89,5,0)</f>
        <v>259.56933333333262</v>
      </c>
      <c r="P155" s="13">
        <f t="shared" si="141"/>
        <v>62.63056837113065</v>
      </c>
      <c r="Q155" s="20">
        <f t="shared" si="162"/>
        <v>561.16482880194019</v>
      </c>
      <c r="R155" s="59">
        <f t="shared" si="109"/>
        <v>854.49816213527356</v>
      </c>
      <c r="S155" s="59">
        <f ca="1">AVERAGE(OFFSET($R$3,0,0,'Données projet'!$E$9+1,1))-AVERAGE(OFFSET($H$3,0,0,'Données projet'!$E$9+1,1))</f>
        <v>309.07357540707869</v>
      </c>
      <c r="T155" s="59">
        <f t="shared" si="142"/>
        <v>155.9593924683299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122.69576746316494</v>
      </c>
      <c r="AO155" s="59">
        <f t="shared" si="144"/>
        <v>103.29025722669985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0.53506317633866751</v>
      </c>
      <c r="AW155" s="21">
        <f>EXP(-LN(2)/2)*AW154+(1-EXP(-LN(2)/2))/(LN(2)/2)*AQ155*AT155*VLOOKUP('Données projet'!$B$10,Paramètres!$A$1:$I$89,3,0)*0.475*44/12</f>
        <v>1.3512020645060016E-17</v>
      </c>
      <c r="AX155" s="21">
        <f t="shared" si="166"/>
        <v>0.53506317633866751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-2.8421709430404007E-13</v>
      </c>
      <c r="BE155" s="13">
        <f>BD155*VLOOKUP('Données projet'!$B$11,Paramètres!$A$1:$I$89,3,0)*VLOOKUP('Données projet'!$B$11,Paramètres!$A$1:$I$89,5,0)</f>
        <v>-1.69961822393816E-13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171.96009656745713</v>
      </c>
      <c r="BJ155" s="59">
        <f t="shared" si="146"/>
        <v>172.37574906747716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0.14890342855316926</v>
      </c>
      <c r="BQ155" s="21">
        <f>EXP(-LN(2)/25)*BQ154+(1-EXP(-LN(2)/25))/(LN(2)/25)*Calculateur!BL155*Calculateur!BN155*VLOOKUP('Données projet'!$B$11,Paramètres!$A$1:$I$89,3,0)*0.475*44/12</f>
        <v>0.69812426664817118</v>
      </c>
      <c r="BR155" s="21">
        <f>EXP(-LN(2)/2)*BR154+(1-EXP(-LN(2)/2))/(LN(2)/2)*BL155*BO155*VLOOKUP('Données projet'!$B$11,Paramètres!$A$1:$I$89,3,0)*0.475*44/12</f>
        <v>5.223521823297701E-18</v>
      </c>
      <c r="BS155" s="22">
        <f t="shared" si="169"/>
        <v>0.84702769520134047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292.90384615384613</v>
      </c>
      <c r="L156" s="12">
        <f>VLOOKUP(A156,'Données projet'!$A$35:$I$55,9,0)</f>
        <v>6.0235042735042912</v>
      </c>
      <c r="M156" s="12">
        <f t="array" ref="M156">INDEX(L:L,MIN(IF(ISNUMBER(L156:L352),ROW(L156:L352),"")))</f>
        <v>6.0235042735042912</v>
      </c>
      <c r="N156" s="13">
        <f>IF('Données projet'!$A$36&gt;35,N155+M156-V155,IF(A156&lt;'Données projet'!$A$36,$K$205^A156,IF(A156='Données projet'!$A$36,'Données projet'!$B$36,N155+M156-V155)))</f>
        <v>292.90384615384539</v>
      </c>
      <c r="O156" s="13">
        <f>N156*VLOOKUP('Données projet'!$B$9,Paramètres!$A$1:$I$89,3,0)*VLOOKUP('Données projet'!$B$9,Paramètres!$A$1:$I$89,5,0)</f>
        <v>265.01939999999934</v>
      </c>
      <c r="P156" s="13">
        <f t="shared" si="141"/>
        <v>63.791117598380389</v>
      </c>
      <c r="Q156" s="20">
        <f t="shared" si="162"/>
        <v>572.67831815051125</v>
      </c>
      <c r="R156" s="59">
        <f t="shared" si="109"/>
        <v>866.01165148384462</v>
      </c>
      <c r="S156" s="59">
        <f ca="1">AVERAGE(OFFSET($R$3,0,0,'Données projet'!$E$9+1,1))-AVERAGE(OFFSET($H$3,0,0,'Données projet'!$E$9+1,1))</f>
        <v>309.07357540707869</v>
      </c>
      <c r="T156" s="59">
        <f t="shared" si="142"/>
        <v>155.9593924683299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105.26282051282051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122.69576746316494</v>
      </c>
      <c r="AO156" s="59">
        <f t="shared" si="144"/>
        <v>103.29025722669985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0.52043184564393707</v>
      </c>
      <c r="AW156" s="21">
        <f>EXP(-LN(2)/2)*AW155+(1-EXP(-LN(2)/2))/(LN(2)/2)*AQ156*AT156*VLOOKUP('Données projet'!$B$10,Paramètres!$A$1:$I$89,3,0)*0.475*44/12</f>
        <v>9.5544414256545662E-18</v>
      </c>
      <c r="AX156" s="21">
        <f t="shared" si="166"/>
        <v>0.52043184564393707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-2.8421709430404007E-13</v>
      </c>
      <c r="BE156" s="13">
        <f>BD156*VLOOKUP('Données projet'!$B$11,Paramètres!$A$1:$I$89,3,0)*VLOOKUP('Données projet'!$B$11,Paramètres!$A$1:$I$89,5,0)</f>
        <v>-1.69961822393816E-13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171.96009656745713</v>
      </c>
      <c r="BJ156" s="59">
        <f t="shared" si="146"/>
        <v>172.37574906747716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0.14598352314136509</v>
      </c>
      <c r="BQ156" s="21">
        <f>EXP(-LN(2)/25)*BQ155+(1-EXP(-LN(2)/25))/(LN(2)/25)*Calculateur!BL156*Calculateur!BN156*VLOOKUP('Données projet'!$B$11,Paramètres!$A$1:$I$89,3,0)*0.475*44/12</f>
        <v>0.67903402186391737</v>
      </c>
      <c r="BR156" s="21">
        <f>EXP(-LN(2)/2)*BR155+(1-EXP(-LN(2)/2))/(LN(2)/2)*BL156*BO156*VLOOKUP('Données projet'!$B$11,Paramètres!$A$1:$I$89,3,0)*0.475*44/12</f>
        <v>3.6935877029297232E-18</v>
      </c>
      <c r="BS156" s="22">
        <f t="shared" si="169"/>
        <v>0.82501754500528246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2.724358974358978</v>
      </c>
      <c r="N157" s="13">
        <f>IF('Données projet'!$A$36&gt;35,N156+M157-V156,IF(A157&lt;'Données projet'!$A$36,$K$205^A157,IF(A157='Données projet'!$A$36,'Données projet'!$B$36,N156+M157-V156)))</f>
        <v>190.3653846153839</v>
      </c>
      <c r="O157" s="13">
        <f>N157*VLOOKUP('Données projet'!$B$9,Paramètres!$A$1:$I$89,3,0)*VLOOKUP('Données projet'!$B$9,Paramètres!$A$1:$I$89,5,0)</f>
        <v>172.24259999999936</v>
      </c>
      <c r="P157" s="13">
        <f t="shared" si="141"/>
        <v>43.591907642239391</v>
      </c>
      <c r="Q157" s="20">
        <f t="shared" si="162"/>
        <v>375.91176747689912</v>
      </c>
      <c r="R157" s="59">
        <f t="shared" si="109"/>
        <v>669.24510081023243</v>
      </c>
      <c r="S157" s="59">
        <f ca="1">AVERAGE(OFFSET($R$3,0,0,'Données projet'!$E$9+1,1))-AVERAGE(OFFSET($H$3,0,0,'Données projet'!$E$9+1,1))</f>
        <v>309.07357540707869</v>
      </c>
      <c r="T157" s="59">
        <f t="shared" si="142"/>
        <v>155.9593924683299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122.69576746316494</v>
      </c>
      <c r="AO157" s="59">
        <f t="shared" si="144"/>
        <v>103.29025722669985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0.50620060945648226</v>
      </c>
      <c r="AW157" s="21">
        <f>EXP(-LN(2)/2)*AW156+(1-EXP(-LN(2)/2))/(LN(2)/2)*AQ157*AT157*VLOOKUP('Données projet'!$B$10,Paramètres!$A$1:$I$89,3,0)*0.475*44/12</f>
        <v>6.7560103225300087E-18</v>
      </c>
      <c r="AX157" s="21">
        <f t="shared" si="166"/>
        <v>0.50620060945648226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-2.8421709430404007E-13</v>
      </c>
      <c r="BE157" s="13">
        <f>BD157*VLOOKUP('Données projet'!$B$11,Paramètres!$A$1:$I$89,3,0)*VLOOKUP('Données projet'!$B$11,Paramètres!$A$1:$I$89,5,0)</f>
        <v>-1.69961822393816E-13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171.96009656745713</v>
      </c>
      <c r="BJ157" s="59">
        <f t="shared" si="146"/>
        <v>172.37574906747716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0.14312087529371995</v>
      </c>
      <c r="BQ157" s="21">
        <f>EXP(-LN(2)/25)*BQ156+(1-EXP(-LN(2)/25))/(LN(2)/25)*Calculateur!BL157*Calculateur!BN157*VLOOKUP('Données projet'!$B$11,Paramètres!$A$1:$I$89,3,0)*0.475*44/12</f>
        <v>0.6604658008272013</v>
      </c>
      <c r="BR157" s="21">
        <f>EXP(-LN(2)/2)*BR156+(1-EXP(-LN(2)/2))/(LN(2)/2)*BL157*BO157*VLOOKUP('Données projet'!$B$11,Paramètres!$A$1:$I$89,3,0)*0.475*44/12</f>
        <v>2.6117609116488505E-18</v>
      </c>
      <c r="BS157" s="22">
        <f t="shared" si="169"/>
        <v>0.80358667612092127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2.724358974358978</v>
      </c>
      <c r="N158" s="13">
        <f>IF('Données projet'!$A$36&gt;35,N157+M158-V157,IF(A158&lt;'Données projet'!$A$36,$K$205^A158,IF(A158='Données projet'!$A$36,'Données projet'!$B$36,N157+M158-V157)))</f>
        <v>193.08974358974288</v>
      </c>
      <c r="O158" s="13">
        <f>N158*VLOOKUP('Données projet'!$B$9,Paramètres!$A$1:$I$89,3,0)*VLOOKUP('Données projet'!$B$9,Paramètres!$A$1:$I$89,5,0)</f>
        <v>174.70759999999936</v>
      </c>
      <c r="P158" s="13">
        <f t="shared" si="141"/>
        <v>44.142687394836166</v>
      </c>
      <c r="Q158" s="20">
        <f t="shared" si="162"/>
        <v>381.16425054600518</v>
      </c>
      <c r="R158" s="59">
        <f t="shared" si="109"/>
        <v>674.49758387933844</v>
      </c>
      <c r="S158" s="59">
        <f ca="1">AVERAGE(OFFSET($R$3,0,0,'Données projet'!$E$9+1,1))-AVERAGE(OFFSET($H$3,0,0,'Données projet'!$E$9+1,1))</f>
        <v>309.07357540707869</v>
      </c>
      <c r="T158" s="59">
        <f t="shared" si="142"/>
        <v>155.9593924683299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122.69576746316494</v>
      </c>
      <c r="AO158" s="59">
        <f t="shared" si="144"/>
        <v>103.29025722669985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0.49235852717096162</v>
      </c>
      <c r="AW158" s="21">
        <f>EXP(-LN(2)/2)*AW157+(1-EXP(-LN(2)/2))/(LN(2)/2)*AQ158*AT158*VLOOKUP('Données projet'!$B$10,Paramètres!$A$1:$I$89,3,0)*0.475*44/12</f>
        <v>4.7772207128272839E-18</v>
      </c>
      <c r="AX158" s="21">
        <f t="shared" si="166"/>
        <v>0.49235852717096162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-2.8421709430404007E-13</v>
      </c>
      <c r="BE158" s="13">
        <f>BD158*VLOOKUP('Données projet'!$B$11,Paramètres!$A$1:$I$89,3,0)*VLOOKUP('Données projet'!$B$11,Paramètres!$A$1:$I$89,5,0)</f>
        <v>-1.69961822393816E-13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171.96009656745713</v>
      </c>
      <c r="BJ158" s="59">
        <f t="shared" si="146"/>
        <v>172.37574906747716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0.14031436222432436</v>
      </c>
      <c r="BQ158" s="21">
        <f>EXP(-LN(2)/25)*BQ157+(1-EXP(-LN(2)/25))/(LN(2)/25)*Calculateur!BL158*Calculateur!BN158*VLOOKUP('Données projet'!$B$11,Paramètres!$A$1:$I$89,3,0)*0.475*44/12</f>
        <v>0.64240532877119449</v>
      </c>
      <c r="BR158" s="21">
        <f>EXP(-LN(2)/2)*BR157+(1-EXP(-LN(2)/2))/(LN(2)/2)*BL158*BO158*VLOOKUP('Données projet'!$B$11,Paramètres!$A$1:$I$89,3,0)*0.475*44/12</f>
        <v>1.8467938514648616E-18</v>
      </c>
      <c r="BS158" s="22">
        <f t="shared" si="169"/>
        <v>0.78271969099551886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195.81410256410257</v>
      </c>
      <c r="L159" s="12">
        <f>VLOOKUP(A159,'Données projet'!$A$35:$I$55,9,0)</f>
        <v>2.724358974358978</v>
      </c>
      <c r="M159" s="12">
        <f t="array" ref="M159">INDEX(L:L,MIN(IF(ISNUMBER(L159:L355),ROW(L159:L355),"")))</f>
        <v>2.724358974358978</v>
      </c>
      <c r="N159" s="13">
        <f>IF('Données projet'!$A$36&gt;35,N158+M159-V158,IF(A159&lt;'Données projet'!$A$36,$K$205^A159,IF(A159='Données projet'!$A$36,'Données projet'!$B$36,N158+M159-V158)))</f>
        <v>195.81410256410186</v>
      </c>
      <c r="O159" s="13">
        <f>N159*VLOOKUP('Données projet'!$B$9,Paramètres!$A$1:$I$89,3,0)*VLOOKUP('Données projet'!$B$9,Paramètres!$A$1:$I$89,5,0)</f>
        <v>177.17259999999936</v>
      </c>
      <c r="P159" s="13">
        <f t="shared" si="141"/>
        <v>44.692563300824965</v>
      </c>
      <c r="Q159" s="20">
        <f t="shared" si="162"/>
        <v>386.41515941560237</v>
      </c>
      <c r="R159" s="59">
        <f t="shared" si="109"/>
        <v>679.74849274893563</v>
      </c>
      <c r="S159" s="59">
        <f ca="1">AVERAGE(OFFSET($R$3,0,0,'Données projet'!$E$9+1,1))-AVERAGE(OFFSET($H$3,0,0,'Données projet'!$E$9+1,1))</f>
        <v>309.07357540707869</v>
      </c>
      <c r="T159" s="59">
        <f t="shared" si="142"/>
        <v>155.9593924683299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65.070512820512818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122.69576746316494</v>
      </c>
      <c r="AO159" s="59">
        <f t="shared" si="144"/>
        <v>103.29025722669985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0.47889495735346205</v>
      </c>
      <c r="AW159" s="21">
        <f>EXP(-LN(2)/2)*AW158+(1-EXP(-LN(2)/2))/(LN(2)/2)*AQ159*AT159*VLOOKUP('Données projet'!$B$10,Paramètres!$A$1:$I$89,3,0)*0.475*44/12</f>
        <v>3.3780051612650051E-18</v>
      </c>
      <c r="AX159" s="21">
        <f t="shared" si="166"/>
        <v>0.47889495735346205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-2.8421709430404007E-13</v>
      </c>
      <c r="BE159" s="13">
        <f>BD159*VLOOKUP('Données projet'!$B$11,Paramètres!$A$1:$I$89,3,0)*VLOOKUP('Données projet'!$B$11,Paramètres!$A$1:$I$89,5,0)</f>
        <v>-1.69961822393816E-13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171.96009656745713</v>
      </c>
      <c r="BJ159" s="59">
        <f t="shared" si="146"/>
        <v>172.37574906747716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0.13756288316441567</v>
      </c>
      <c r="BQ159" s="21">
        <f>EXP(-LN(2)/25)*BQ158+(1-EXP(-LN(2)/25))/(LN(2)/25)*Calculateur!BL159*Calculateur!BN159*VLOOKUP('Données projet'!$B$11,Paramètres!$A$1:$I$89,3,0)*0.475*44/12</f>
        <v>0.62483872127331819</v>
      </c>
      <c r="BR159" s="21">
        <f>EXP(-LN(2)/2)*BR158+(1-EXP(-LN(2)/2))/(LN(2)/2)*BL159*BO159*VLOOKUP('Données projet'!$B$11,Paramètres!$A$1:$I$89,3,0)*0.475*44/12</f>
        <v>1.3058804558244253E-18</v>
      </c>
      <c r="BS159" s="22">
        <f t="shared" si="169"/>
        <v>0.76240160443773386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1.6025641025640975</v>
      </c>
      <c r="N160" s="13">
        <f>IF('Données projet'!$A$36&gt;35,N159+M160-V159,IF(A160&lt;'Données projet'!$A$36,$K$205^A160,IF(A160='Données projet'!$A$36,'Données projet'!$B$36,N159+M160-V159)))</f>
        <v>132.34615384615313</v>
      </c>
      <c r="O160" s="13">
        <f>N160*VLOOKUP('Données projet'!$B$9,Paramètres!$A$1:$I$89,3,0)*VLOOKUP('Données projet'!$B$9,Paramètres!$A$1:$I$89,5,0)</f>
        <v>119.74679999999935</v>
      </c>
      <c r="P160" s="13">
        <f t="shared" si="141"/>
        <v>31.615937294397835</v>
      </c>
      <c r="Q160" s="20">
        <f t="shared" si="162"/>
        <v>263.62343412107509</v>
      </c>
      <c r="R160" s="59">
        <f t="shared" si="109"/>
        <v>556.95676745440846</v>
      </c>
      <c r="S160" s="59">
        <f ca="1">AVERAGE(OFFSET($R$3,0,0,'Données projet'!$E$9+1,1))-AVERAGE(OFFSET($H$3,0,0,'Données projet'!$E$9+1,1))</f>
        <v>309.07357540707869</v>
      </c>
      <c r="T160" s="59">
        <f t="shared" si="142"/>
        <v>155.9593924683299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122.69576746316494</v>
      </c>
      <c r="AO160" s="59">
        <f t="shared" si="144"/>
        <v>103.29025722669985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0.46579954956064035</v>
      </c>
      <c r="AW160" s="21">
        <f>EXP(-LN(2)/2)*AW159+(1-EXP(-LN(2)/2))/(LN(2)/2)*AQ160*AT160*VLOOKUP('Données projet'!$B$10,Paramètres!$A$1:$I$89,3,0)*0.475*44/12</f>
        <v>2.3886103564136423E-18</v>
      </c>
      <c r="AX160" s="21">
        <f t="shared" si="166"/>
        <v>0.46579954956064035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-2.8421709430404007E-13</v>
      </c>
      <c r="BE160" s="13">
        <f>BD160*VLOOKUP('Données projet'!$B$11,Paramètres!$A$1:$I$89,3,0)*VLOOKUP('Données projet'!$B$11,Paramètres!$A$1:$I$89,5,0)</f>
        <v>-1.69961822393816E-13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171.96009656745713</v>
      </c>
      <c r="BJ160" s="59">
        <f t="shared" si="146"/>
        <v>172.37574906747716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0.13486535893063528</v>
      </c>
      <c r="BQ160" s="21">
        <f>EXP(-LN(2)/25)*BQ159+(1-EXP(-LN(2)/25))/(LN(2)/25)*Calculateur!BL160*Calculateur!BN160*VLOOKUP('Données projet'!$B$11,Paramètres!$A$1:$I$89,3,0)*0.475*44/12</f>
        <v>0.60775247358125906</v>
      </c>
      <c r="BR160" s="21">
        <f>EXP(-LN(2)/2)*BR159+(1-EXP(-LN(2)/2))/(LN(2)/2)*BL160*BO160*VLOOKUP('Données projet'!$B$11,Paramètres!$A$1:$I$89,3,0)*0.475*44/12</f>
        <v>9.233969257324308E-19</v>
      </c>
      <c r="BS160" s="22">
        <f t="shared" si="169"/>
        <v>0.74261783251189439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1.6025641025640975</v>
      </c>
      <c r="N161" s="13">
        <f>IF('Données projet'!$A$36&gt;35,N160+M161-V160,IF(A161&lt;'Données projet'!$A$36,$K$205^A161,IF(A161='Données projet'!$A$36,'Données projet'!$B$36,N160+M161-V160)))</f>
        <v>133.94871794871722</v>
      </c>
      <c r="O161" s="13">
        <f>N161*VLOOKUP('Données projet'!$B$9,Paramètres!$A$1:$I$89,3,0)*VLOOKUP('Données projet'!$B$9,Paramètres!$A$1:$I$89,5,0)</f>
        <v>121.19679999999934</v>
      </c>
      <c r="P161" s="13">
        <f t="shared" si="141"/>
        <v>31.953971815874091</v>
      </c>
      <c r="Q161" s="20">
        <f t="shared" si="162"/>
        <v>266.73759424597955</v>
      </c>
      <c r="R161" s="59">
        <f t="shared" si="109"/>
        <v>560.07092757931287</v>
      </c>
      <c r="S161" s="59">
        <f ca="1">AVERAGE(OFFSET($R$3,0,0,'Données projet'!$E$9+1,1))-AVERAGE(OFFSET($H$3,0,0,'Données projet'!$E$9+1,1))</f>
        <v>309.07357540707869</v>
      </c>
      <c r="T161" s="59">
        <f t="shared" si="142"/>
        <v>155.9593924683299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122.69576746316494</v>
      </c>
      <c r="AO161" s="59">
        <f t="shared" si="144"/>
        <v>103.29025722669985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0.45306223638257093</v>
      </c>
      <c r="AW161" s="21">
        <f>EXP(-LN(2)/2)*AW160+(1-EXP(-LN(2)/2))/(LN(2)/2)*AQ161*AT161*VLOOKUP('Données projet'!$B$10,Paramètres!$A$1:$I$89,3,0)*0.475*44/12</f>
        <v>1.6890025806325028E-18</v>
      </c>
      <c r="AX161" s="21">
        <f t="shared" si="166"/>
        <v>0.45306223638257093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-2.8421709430404007E-13</v>
      </c>
      <c r="BE161" s="13">
        <f>BD161*VLOOKUP('Données projet'!$B$11,Paramètres!$A$1:$I$89,3,0)*VLOOKUP('Données projet'!$B$11,Paramètres!$A$1:$I$89,5,0)</f>
        <v>-1.69961822393816E-13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171.96009656745713</v>
      </c>
      <c r="BJ161" s="59">
        <f t="shared" si="146"/>
        <v>172.37574906747716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0.13222073150175201</v>
      </c>
      <c r="BQ161" s="21">
        <f>EXP(-LN(2)/25)*BQ160+(1-EXP(-LN(2)/25))/(LN(2)/25)*Calculateur!BL161*Calculateur!BN161*VLOOKUP('Données projet'!$B$11,Paramètres!$A$1:$I$89,3,0)*0.475*44/12</f>
        <v>0.59113345023086594</v>
      </c>
      <c r="BR161" s="21">
        <f>EXP(-LN(2)/2)*BR160+(1-EXP(-LN(2)/2))/(LN(2)/2)*BL161*BO161*VLOOKUP('Données projet'!$B$11,Paramètres!$A$1:$I$89,3,0)*0.475*44/12</f>
        <v>6.5294022791221263E-19</v>
      </c>
      <c r="BS161" s="22">
        <f t="shared" si="169"/>
        <v>0.7233541817326179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135.55128205128204</v>
      </c>
      <c r="L162" s="12">
        <f>VLOOKUP(A162,'Données projet'!$A$35:$I$55,9,0)</f>
        <v>1.6025641025640975</v>
      </c>
      <c r="M162" s="12">
        <f t="array" ref="M162">INDEX(L:L,MIN(IF(ISNUMBER(L162:L358),ROW(L162:L358),"")))</f>
        <v>1.6025641025640975</v>
      </c>
      <c r="N162" s="13">
        <f>IF('Données projet'!$A$36&gt;35,N161+M162-V161,IF(A162&lt;'Données projet'!$A$36,$K$205^A162,IF(A162='Données projet'!$A$36,'Données projet'!$B$36,N161+M162-V161)))</f>
        <v>135.55128205128131</v>
      </c>
      <c r="O162" s="13">
        <f>N162*VLOOKUP('Données projet'!$B$9,Paramètres!$A$1:$I$89,3,0)*VLOOKUP('Données projet'!$B$9,Paramètres!$A$1:$I$89,5,0)</f>
        <v>122.64679999999932</v>
      </c>
      <c r="P162" s="13">
        <f t="shared" si="141"/>
        <v>32.291535902514525</v>
      </c>
      <c r="Q162" s="20">
        <f t="shared" si="162"/>
        <v>269.85093503021159</v>
      </c>
      <c r="R162" s="59">
        <f t="shared" si="109"/>
        <v>563.1842683635449</v>
      </c>
      <c r="S162" s="59">
        <f ca="1">AVERAGE(OFFSET($R$3,0,0,'Données projet'!$E$9+1,1))-AVERAGE(OFFSET($H$3,0,0,'Données projet'!$E$9+1,1))</f>
        <v>309.07357540707869</v>
      </c>
      <c r="T162" s="59">
        <f t="shared" si="142"/>
        <v>155.9593924683299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135.55128205128204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122.69576746316494</v>
      </c>
      <c r="AO162" s="59">
        <f t="shared" si="144"/>
        <v>103.29025722669985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0.44067322570318201</v>
      </c>
      <c r="AW162" s="21">
        <f>EXP(-LN(2)/2)*AW161+(1-EXP(-LN(2)/2))/(LN(2)/2)*AQ162*AT162*VLOOKUP('Données projet'!$B$10,Paramètres!$A$1:$I$89,3,0)*0.475*44/12</f>
        <v>1.1943051782068214E-18</v>
      </c>
      <c r="AX162" s="21">
        <f t="shared" si="166"/>
        <v>0.44067322570318201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-2.8421709430404007E-13</v>
      </c>
      <c r="BE162" s="13">
        <f>BD162*VLOOKUP('Données projet'!$B$11,Paramètres!$A$1:$I$89,3,0)*VLOOKUP('Données projet'!$B$11,Paramètres!$A$1:$I$89,5,0)</f>
        <v>-1.69961822393816E-13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171.96009656745713</v>
      </c>
      <c r="BJ162" s="59">
        <f t="shared" si="146"/>
        <v>172.37574906747716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0.12962796360368567</v>
      </c>
      <c r="BQ162" s="21">
        <f>EXP(-LN(2)/25)*BQ161+(1-EXP(-LN(2)/25))/(LN(2)/25)*Calculateur!BL162*Calculateur!BN162*VLOOKUP('Données projet'!$B$11,Paramètres!$A$1:$I$89,3,0)*0.475*44/12</f>
        <v>0.5749688749479458</v>
      </c>
      <c r="BR162" s="21">
        <f>EXP(-LN(2)/2)*BR161+(1-EXP(-LN(2)/2))/(LN(2)/2)*BL162*BO162*VLOOKUP('Données projet'!$B$11,Paramètres!$A$1:$I$89,3,0)*0.475*44/12</f>
        <v>4.616984628662154E-19</v>
      </c>
      <c r="BS162" s="22">
        <f t="shared" si="169"/>
        <v>0.70459683855163147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-7.3896444519050419E-13</v>
      </c>
      <c r="O163" s="13">
        <f>N163*VLOOKUP('Données projet'!$B$9,Paramètres!$A$1:$I$89,3,0)*VLOOKUP('Données projet'!$B$9,Paramètres!$A$1:$I$89,5,0)</f>
        <v>-6.6861503000836817E-13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309.07357540707869</v>
      </c>
      <c r="T163" s="59">
        <f t="shared" si="142"/>
        <v>155.9593924683299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122.69576746316494</v>
      </c>
      <c r="AO163" s="59">
        <f t="shared" si="144"/>
        <v>103.29025722669985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0.42862299317233071</v>
      </c>
      <c r="AW163" s="21">
        <f>EXP(-LN(2)/2)*AW162+(1-EXP(-LN(2)/2))/(LN(2)/2)*AQ163*AT163*VLOOKUP('Données projet'!$B$10,Paramètres!$A$1:$I$89,3,0)*0.475*44/12</f>
        <v>8.4450129031625157E-19</v>
      </c>
      <c r="AX163" s="21">
        <f t="shared" si="166"/>
        <v>0.42862299317233071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-2.8421709430404007E-13</v>
      </c>
      <c r="BE163" s="13">
        <f>BD163*VLOOKUP('Données projet'!$B$11,Paramètres!$A$1:$I$89,3,0)*VLOOKUP('Données projet'!$B$11,Paramètres!$A$1:$I$89,5,0)</f>
        <v>-1.69961822393816E-13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171.96009656745713</v>
      </c>
      <c r="BJ163" s="59">
        <f t="shared" si="146"/>
        <v>172.37574906747716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0.12708603830266815</v>
      </c>
      <c r="BQ163" s="21">
        <f>EXP(-LN(2)/25)*BQ162+(1-EXP(-LN(2)/25))/(LN(2)/25)*Calculateur!BL163*Calculateur!BN163*VLOOKUP('Données projet'!$B$11,Paramètres!$A$1:$I$89,3,0)*0.475*44/12</f>
        <v>0.55924632082619519</v>
      </c>
      <c r="BR163" s="21">
        <f>EXP(-LN(2)/2)*BR162+(1-EXP(-LN(2)/2))/(LN(2)/2)*BL163*BO163*VLOOKUP('Données projet'!$B$11,Paramètres!$A$1:$I$89,3,0)*0.475*44/12</f>
        <v>3.2647011395610631E-19</v>
      </c>
      <c r="BS163" s="22">
        <f t="shared" si="169"/>
        <v>0.68633235912886337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-7.3896444519050419E-13</v>
      </c>
      <c r="O164" s="13">
        <f>N164*VLOOKUP('Données projet'!$B$9,Paramètres!$A$1:$I$89,3,0)*VLOOKUP('Données projet'!$B$9,Paramètres!$A$1:$I$89,5,0)</f>
        <v>-6.6861503000836817E-13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309.07357540707869</v>
      </c>
      <c r="T164" s="59">
        <f t="shared" si="142"/>
        <v>155.9593924683299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122.69576746316494</v>
      </c>
      <c r="AO164" s="59">
        <f t="shared" si="144"/>
        <v>103.29025722669985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0.41690227488372977</v>
      </c>
      <c r="AW164" s="21">
        <f>EXP(-LN(2)/2)*AW163+(1-EXP(-LN(2)/2))/(LN(2)/2)*AQ164*AT164*VLOOKUP('Données projet'!$B$10,Paramètres!$A$1:$I$89,3,0)*0.475*44/12</f>
        <v>5.9715258910341077E-19</v>
      </c>
      <c r="AX164" s="21">
        <f t="shared" si="166"/>
        <v>0.41690227488372977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-2.8421709430404007E-13</v>
      </c>
      <c r="BE164" s="13">
        <f>BD164*VLOOKUP('Données projet'!$B$11,Paramètres!$A$1:$I$89,3,0)*VLOOKUP('Données projet'!$B$11,Paramètres!$A$1:$I$89,5,0)</f>
        <v>-1.69961822393816E-13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171.96009656745713</v>
      </c>
      <c r="BJ164" s="59">
        <f t="shared" si="146"/>
        <v>172.37574906747716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0.12459395860638224</v>
      </c>
      <c r="BQ164" s="21">
        <f>EXP(-LN(2)/25)*BQ163+(1-EXP(-LN(2)/25))/(LN(2)/25)*Calculateur!BL164*Calculateur!BN164*VLOOKUP('Données projet'!$B$11,Paramètres!$A$1:$I$89,3,0)*0.475*44/12</f>
        <v>0.54395370077371707</v>
      </c>
      <c r="BR164" s="21">
        <f>EXP(-LN(2)/2)*BR163+(1-EXP(-LN(2)/2))/(LN(2)/2)*BL164*BO164*VLOOKUP('Données projet'!$B$11,Paramètres!$A$1:$I$89,3,0)*0.475*44/12</f>
        <v>2.308492314331077E-19</v>
      </c>
      <c r="BS164" s="22">
        <f t="shared" si="169"/>
        <v>0.6685476593800993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-7.3896444519050419E-13</v>
      </c>
      <c r="O165" s="13">
        <f>N165*VLOOKUP('Données projet'!$B$9,Paramètres!$A$1:$I$89,3,0)*VLOOKUP('Données projet'!$B$9,Paramètres!$A$1:$I$89,5,0)</f>
        <v>-6.6861503000836817E-13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309.07357540707869</v>
      </c>
      <c r="T165" s="59">
        <f t="shared" si="142"/>
        <v>155.9593924683299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122.69576746316494</v>
      </c>
      <c r="AO165" s="59">
        <f t="shared" si="144"/>
        <v>103.29025722669985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0.40550206025309637</v>
      </c>
      <c r="AW165" s="21">
        <f>EXP(-LN(2)/2)*AW164+(1-EXP(-LN(2)/2))/(LN(2)/2)*AQ165*AT165*VLOOKUP('Données projet'!$B$10,Paramètres!$A$1:$I$89,3,0)*0.475*44/12</f>
        <v>4.2225064515812584E-19</v>
      </c>
      <c r="AX165" s="21">
        <f t="shared" si="166"/>
        <v>0.40550206025309637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-2.8421709430404007E-13</v>
      </c>
      <c r="BE165" s="13">
        <f>BD165*VLOOKUP('Données projet'!$B$11,Paramètres!$A$1:$I$89,3,0)*VLOOKUP('Données projet'!$B$11,Paramètres!$A$1:$I$89,5,0)</f>
        <v>-1.69961822393816E-13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171.96009656745713</v>
      </c>
      <c r="BJ165" s="59">
        <f t="shared" si="146"/>
        <v>172.37574906747716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0.12215074707292196</v>
      </c>
      <c r="BQ165" s="21">
        <f>EXP(-LN(2)/25)*BQ164+(1-EXP(-LN(2)/25))/(LN(2)/25)*Calculateur!BL165*Calculateur!BN165*VLOOKUP('Données projet'!$B$11,Paramètres!$A$1:$I$89,3,0)*0.475*44/12</f>
        <v>0.52907925822077784</v>
      </c>
      <c r="BR165" s="21">
        <f>EXP(-LN(2)/2)*BR164+(1-EXP(-LN(2)/2))/(LN(2)/2)*BL165*BO165*VLOOKUP('Données projet'!$B$11,Paramètres!$A$1:$I$89,3,0)*0.475*44/12</f>
        <v>1.6323505697805316E-19</v>
      </c>
      <c r="BS165" s="22">
        <f t="shared" si="169"/>
        <v>0.65123000529369979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-7.3896444519050419E-13</v>
      </c>
      <c r="O166" s="13">
        <f>N166*VLOOKUP('Données projet'!$B$9,Paramètres!$A$1:$I$89,3,0)*VLOOKUP('Données projet'!$B$9,Paramètres!$A$1:$I$89,5,0)</f>
        <v>-6.6861503000836817E-13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309.07357540707869</v>
      </c>
      <c r="T166" s="59">
        <f t="shared" si="142"/>
        <v>155.9593924683299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122.69576746316494</v>
      </c>
      <c r="AO166" s="59">
        <f t="shared" si="144"/>
        <v>103.29025722669985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0.3944135850910489</v>
      </c>
      <c r="AW166" s="21">
        <f>EXP(-LN(2)/2)*AW165+(1-EXP(-LN(2)/2))/(LN(2)/2)*AQ166*AT166*VLOOKUP('Données projet'!$B$10,Paramètres!$A$1:$I$89,3,0)*0.475*44/12</f>
        <v>2.9857629455170543E-19</v>
      </c>
      <c r="AX166" s="21">
        <f t="shared" si="166"/>
        <v>0.3944135850910489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-2.8421709430404007E-13</v>
      </c>
      <c r="BE166" s="13">
        <f>BD166*VLOOKUP('Données projet'!$B$11,Paramètres!$A$1:$I$89,3,0)*VLOOKUP('Données projet'!$B$11,Paramètres!$A$1:$I$89,5,0)</f>
        <v>-1.69961822393816E-13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171.96009656745713</v>
      </c>
      <c r="BJ166" s="59">
        <f t="shared" si="146"/>
        <v>172.37574906747716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0.11975544542742096</v>
      </c>
      <c r="BQ166" s="21">
        <f>EXP(-LN(2)/25)*BQ165+(1-EXP(-LN(2)/25))/(LN(2)/25)*Calculateur!BL166*Calculateur!BN166*VLOOKUP('Données projet'!$B$11,Paramètres!$A$1:$I$89,3,0)*0.475*44/12</f>
        <v>0.5146115580816617</v>
      </c>
      <c r="BR166" s="21">
        <f>EXP(-LN(2)/2)*BR165+(1-EXP(-LN(2)/2))/(LN(2)/2)*BL166*BO166*VLOOKUP('Données projet'!$B$11,Paramètres!$A$1:$I$89,3,0)*0.475*44/12</f>
        <v>1.1542461571655385E-19</v>
      </c>
      <c r="BS166" s="22">
        <f t="shared" si="169"/>
        <v>0.63436700350908271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-7.3896444519050419E-13</v>
      </c>
      <c r="O167" s="13">
        <f>N167*VLOOKUP('Données projet'!$B$9,Paramètres!$A$1:$I$89,3,0)*VLOOKUP('Données projet'!$B$9,Paramètres!$A$1:$I$89,5,0)</f>
        <v>-6.6861503000836817E-13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309.07357540707869</v>
      </c>
      <c r="T167" s="59">
        <f t="shared" si="142"/>
        <v>155.9593924683299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122.69576746316494</v>
      </c>
      <c r="AO167" s="59">
        <f t="shared" si="144"/>
        <v>103.29025722669985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0.3836283248654252</v>
      </c>
      <c r="AW167" s="21">
        <f>EXP(-LN(2)/2)*AW166+(1-EXP(-LN(2)/2))/(LN(2)/2)*AQ167*AT167*VLOOKUP('Données projet'!$B$10,Paramètres!$A$1:$I$89,3,0)*0.475*44/12</f>
        <v>2.1112532257906294E-19</v>
      </c>
      <c r="AX167" s="21">
        <f t="shared" si="166"/>
        <v>0.3836283248654252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-2.8421709430404007E-13</v>
      </c>
      <c r="BE167" s="13">
        <f>BD167*VLOOKUP('Données projet'!$B$11,Paramètres!$A$1:$I$89,3,0)*VLOOKUP('Données projet'!$B$11,Paramètres!$A$1:$I$89,5,0)</f>
        <v>-1.69961822393816E-13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171.96009656745713</v>
      </c>
      <c r="BJ167" s="59">
        <f t="shared" si="146"/>
        <v>172.37574906747716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0.11740711418619849</v>
      </c>
      <c r="BQ167" s="21">
        <f>EXP(-LN(2)/25)*BQ166+(1-EXP(-LN(2)/25))/(LN(2)/25)*Calculateur!BL167*Calculateur!BN167*VLOOKUP('Données projet'!$B$11,Paramètres!$A$1:$I$89,3,0)*0.475*44/12</f>
        <v>0.50053947796367293</v>
      </c>
      <c r="BR167" s="21">
        <f>EXP(-LN(2)/2)*BR166+(1-EXP(-LN(2)/2))/(LN(2)/2)*BL167*BO167*VLOOKUP('Données projet'!$B$11,Paramètres!$A$1:$I$89,3,0)*0.475*44/12</f>
        <v>8.1617528489026578E-20</v>
      </c>
      <c r="BS167" s="22">
        <f t="shared" si="169"/>
        <v>0.61794659214987147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-7.3896444519050419E-13</v>
      </c>
      <c r="O168" s="13">
        <f>N168*VLOOKUP('Données projet'!$B$9,Paramètres!$A$1:$I$89,3,0)*VLOOKUP('Données projet'!$B$9,Paramètres!$A$1:$I$89,5,0)</f>
        <v>-6.6861503000836817E-13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309.07357540707869</v>
      </c>
      <c r="T168" s="59">
        <f t="shared" si="142"/>
        <v>155.9593924683299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122.69576746316494</v>
      </c>
      <c r="AO168" s="59">
        <f t="shared" si="144"/>
        <v>103.29025722669985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0.37313798814784332</v>
      </c>
      <c r="AW168" s="21">
        <f>EXP(-LN(2)/2)*AW167+(1-EXP(-LN(2)/2))/(LN(2)/2)*AQ168*AT168*VLOOKUP('Données projet'!$B$10,Paramètres!$A$1:$I$89,3,0)*0.475*44/12</f>
        <v>1.4928814727585274E-19</v>
      </c>
      <c r="AX168" s="21">
        <f t="shared" si="166"/>
        <v>0.37313798814784332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-2.8421709430404007E-13</v>
      </c>
      <c r="BE168" s="13">
        <f>BD168*VLOOKUP('Données projet'!$B$11,Paramètres!$A$1:$I$89,3,0)*VLOOKUP('Données projet'!$B$11,Paramètres!$A$1:$I$89,5,0)</f>
        <v>-1.69961822393816E-13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171.96009656745713</v>
      </c>
      <c r="BJ168" s="59">
        <f t="shared" si="146"/>
        <v>172.37574906747716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0.11510483228827577</v>
      </c>
      <c r="BQ168" s="21">
        <f>EXP(-LN(2)/25)*BQ167+(1-EXP(-LN(2)/25))/(LN(2)/25)*Calculateur!BL168*Calculateur!BN168*VLOOKUP('Données projet'!$B$11,Paramètres!$A$1:$I$89,3,0)*0.475*44/12</f>
        <v>0.48685219961652915</v>
      </c>
      <c r="BR168" s="21">
        <f>EXP(-LN(2)/2)*BR167+(1-EXP(-LN(2)/2))/(LN(2)/2)*BL168*BO168*VLOOKUP('Données projet'!$B$11,Paramètres!$A$1:$I$89,3,0)*0.475*44/12</f>
        <v>5.7712307858276925E-20</v>
      </c>
      <c r="BS168" s="22">
        <f t="shared" si="169"/>
        <v>0.60195703190480487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-7.3896444519050419E-13</v>
      </c>
      <c r="O169" s="13">
        <f>N169*VLOOKUP('Données projet'!$B$9,Paramètres!$A$1:$I$89,3,0)*VLOOKUP('Données projet'!$B$9,Paramètres!$A$1:$I$89,5,0)</f>
        <v>-6.6861503000836817E-13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309.07357540707869</v>
      </c>
      <c r="T169" s="59">
        <f t="shared" si="142"/>
        <v>155.9593924683299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122.69576746316494</v>
      </c>
      <c r="AO169" s="59">
        <f t="shared" si="144"/>
        <v>103.29025722669985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0.36293451023946655</v>
      </c>
      <c r="AW169" s="21">
        <f>EXP(-LN(2)/2)*AW168+(1-EXP(-LN(2)/2))/(LN(2)/2)*AQ169*AT169*VLOOKUP('Données projet'!$B$10,Paramètres!$A$1:$I$89,3,0)*0.475*44/12</f>
        <v>1.0556266128953149E-19</v>
      </c>
      <c r="AX169" s="21">
        <f t="shared" si="166"/>
        <v>0.36293451023946655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-2.8421709430404007E-13</v>
      </c>
      <c r="BE169" s="13">
        <f>BD169*VLOOKUP('Données projet'!$B$11,Paramètres!$A$1:$I$89,3,0)*VLOOKUP('Données projet'!$B$11,Paramètres!$A$1:$I$89,5,0)</f>
        <v>-1.69961822393816E-13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171.96009656745713</v>
      </c>
      <c r="BJ169" s="59">
        <f t="shared" si="146"/>
        <v>172.37574906747716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0.11284769673411801</v>
      </c>
      <c r="BQ169" s="21">
        <f>EXP(-LN(2)/25)*BQ168+(1-EXP(-LN(2)/25))/(LN(2)/25)*Calculateur!BL169*Calculateur!BN169*VLOOKUP('Données projet'!$B$11,Paramètres!$A$1:$I$89,3,0)*0.475*44/12</f>
        <v>0.4735392006155707</v>
      </c>
      <c r="BR169" s="21">
        <f>EXP(-LN(2)/2)*BR168+(1-EXP(-LN(2)/2))/(LN(2)/2)*BL169*BO169*VLOOKUP('Données projet'!$B$11,Paramètres!$A$1:$I$89,3,0)*0.475*44/12</f>
        <v>4.0808764244513289E-20</v>
      </c>
      <c r="BS169" s="22">
        <f t="shared" si="169"/>
        <v>0.58638689734968874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-7.3896444519050419E-13</v>
      </c>
      <c r="O170" s="13">
        <f>N170*VLOOKUP('Données projet'!$B$9,Paramètres!$A$1:$I$89,3,0)*VLOOKUP('Données projet'!$B$9,Paramètres!$A$1:$I$89,5,0)</f>
        <v>-6.6861503000836817E-13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309.07357540707869</v>
      </c>
      <c r="T170" s="59">
        <f t="shared" si="142"/>
        <v>155.9593924683299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122.69576746316494</v>
      </c>
      <c r="AO170" s="59">
        <f t="shared" si="144"/>
        <v>103.29025722669985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0.35301004697107191</v>
      </c>
      <c r="AW170" s="21">
        <f>EXP(-LN(2)/2)*AW169+(1-EXP(-LN(2)/2))/(LN(2)/2)*AQ170*AT170*VLOOKUP('Données projet'!$B$10,Paramètres!$A$1:$I$89,3,0)*0.475*44/12</f>
        <v>7.4644073637926383E-20</v>
      </c>
      <c r="AX170" s="21">
        <f t="shared" si="166"/>
        <v>0.35301004697107191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-2.8421709430404007E-13</v>
      </c>
      <c r="BE170" s="13">
        <f>BD170*VLOOKUP('Données projet'!$B$11,Paramètres!$A$1:$I$89,3,0)*VLOOKUP('Données projet'!$B$11,Paramètres!$A$1:$I$89,5,0)</f>
        <v>-1.69961822393816E-13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171.96009656745713</v>
      </c>
      <c r="BJ170" s="59">
        <f t="shared" si="146"/>
        <v>172.37574906747716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0.11063482223146054</v>
      </c>
      <c r="BQ170" s="21">
        <f>EXP(-LN(2)/25)*BQ169+(1-EXP(-LN(2)/25))/(LN(2)/25)*Calculateur!BL170*Calculateur!BN170*VLOOKUP('Données projet'!$B$11,Paramètres!$A$1:$I$89,3,0)*0.475*44/12</f>
        <v>0.46059024627239364</v>
      </c>
      <c r="BR170" s="21">
        <f>EXP(-LN(2)/2)*BR169+(1-EXP(-LN(2)/2))/(LN(2)/2)*BL170*BO170*VLOOKUP('Données projet'!$B$11,Paramètres!$A$1:$I$89,3,0)*0.475*44/12</f>
        <v>2.8856153929138463E-20</v>
      </c>
      <c r="BS170" s="22">
        <f t="shared" si="169"/>
        <v>0.57122506850385424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-7.3896444519050419E-13</v>
      </c>
      <c r="O171" s="13">
        <f>N171*VLOOKUP('Données projet'!$B$9,Paramètres!$A$1:$I$89,3,0)*VLOOKUP('Données projet'!$B$9,Paramètres!$A$1:$I$89,5,0)</f>
        <v>-6.6861503000836817E-13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309.07357540707869</v>
      </c>
      <c r="T171" s="59">
        <f t="shared" si="142"/>
        <v>155.9593924683299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122.69576746316494</v>
      </c>
      <c r="AO171" s="59">
        <f t="shared" si="144"/>
        <v>103.29025722669985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0.34335696867265642</v>
      </c>
      <c r="AW171" s="21">
        <f>EXP(-LN(2)/2)*AW170+(1-EXP(-LN(2)/2))/(LN(2)/2)*AQ171*AT171*VLOOKUP('Données projet'!$B$10,Paramètres!$A$1:$I$89,3,0)*0.475*44/12</f>
        <v>5.2781330644765754E-20</v>
      </c>
      <c r="AX171" s="21">
        <f t="shared" si="166"/>
        <v>0.34335696867265642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-2.8421709430404007E-13</v>
      </c>
      <c r="BE171" s="13">
        <f>BD171*VLOOKUP('Données projet'!$B$11,Paramètres!$A$1:$I$89,3,0)*VLOOKUP('Données projet'!$B$11,Paramètres!$A$1:$I$89,5,0)</f>
        <v>-1.69961822393816E-13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171.96009656745713</v>
      </c>
      <c r="BJ171" s="59">
        <f t="shared" si="146"/>
        <v>172.37574906747716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0.10846534084808</v>
      </c>
      <c r="BQ171" s="21">
        <f>EXP(-LN(2)/25)*BQ170+(1-EXP(-LN(2)/25))/(LN(2)/25)*Calculateur!BL171*Calculateur!BN171*VLOOKUP('Données projet'!$B$11,Paramètres!$A$1:$I$89,3,0)*0.475*44/12</f>
        <v>0.44799538176668668</v>
      </c>
      <c r="BR171" s="21">
        <f>EXP(-LN(2)/2)*BR170+(1-EXP(-LN(2)/2))/(LN(2)/2)*BL171*BO171*VLOOKUP('Données projet'!$B$11,Paramètres!$A$1:$I$89,3,0)*0.475*44/12</f>
        <v>2.0404382122256645E-20</v>
      </c>
      <c r="BS171" s="22">
        <f t="shared" si="169"/>
        <v>0.55646072261476665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-7.3896444519050419E-13</v>
      </c>
      <c r="O172" s="13">
        <f>N172*VLOOKUP('Données projet'!$B$9,Paramètres!$A$1:$I$89,3,0)*VLOOKUP('Données projet'!$B$9,Paramètres!$A$1:$I$89,5,0)</f>
        <v>-6.6861503000836817E-13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309.07357540707869</v>
      </c>
      <c r="T172" s="59">
        <f t="shared" si="142"/>
        <v>155.9593924683299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122.69576746316494</v>
      </c>
      <c r="AO172" s="59">
        <f t="shared" si="144"/>
        <v>103.29025722669985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0.3339678543079444</v>
      </c>
      <c r="AW172" s="21">
        <f>EXP(-LN(2)/2)*AW171+(1-EXP(-LN(2)/2))/(LN(2)/2)*AQ172*AT172*VLOOKUP('Données projet'!$B$10,Paramètres!$A$1:$I$89,3,0)*0.475*44/12</f>
        <v>3.7322036818963197E-20</v>
      </c>
      <c r="AX172" s="21">
        <f t="shared" si="166"/>
        <v>0.3339678543079444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-2.8421709430404007E-13</v>
      </c>
      <c r="BE172" s="13">
        <f>BD172*VLOOKUP('Données projet'!$B$11,Paramètres!$A$1:$I$89,3,0)*VLOOKUP('Données projet'!$B$11,Paramètres!$A$1:$I$89,5,0)</f>
        <v>-1.69961822393816E-13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171.96009656745713</v>
      </c>
      <c r="BJ172" s="59">
        <f t="shared" si="146"/>
        <v>172.37574906747716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0.10633840167137458</v>
      </c>
      <c r="BQ172" s="21">
        <f>EXP(-LN(2)/25)*BQ171+(1-EXP(-LN(2)/25))/(LN(2)/25)*Calculateur!BL172*Calculateur!BN172*VLOOKUP('Données projet'!$B$11,Paramètres!$A$1:$I$89,3,0)*0.475*44/12</f>
        <v>0.43574492449322344</v>
      </c>
      <c r="BR172" s="21">
        <f>EXP(-LN(2)/2)*BR171+(1-EXP(-LN(2)/2))/(LN(2)/2)*BL172*BO172*VLOOKUP('Données projet'!$B$11,Paramètres!$A$1:$I$89,3,0)*0.475*44/12</f>
        <v>1.4428076964569231E-20</v>
      </c>
      <c r="BS172" s="22">
        <f t="shared" si="169"/>
        <v>0.54208332616459798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-7.3896444519050419E-13</v>
      </c>
      <c r="O173" s="13">
        <f>N173*VLOOKUP('Données projet'!$B$9,Paramètres!$A$1:$I$89,3,0)*VLOOKUP('Données projet'!$B$9,Paramètres!$A$1:$I$89,5,0)</f>
        <v>-6.6861503000836817E-13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309.07357540707869</v>
      </c>
      <c r="T173" s="59">
        <f t="shared" si="142"/>
        <v>155.9593924683299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122.69576746316494</v>
      </c>
      <c r="AO173" s="59">
        <f t="shared" si="144"/>
        <v>103.29025722669985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0.3248354857692875</v>
      </c>
      <c r="AW173" s="21">
        <f>EXP(-LN(2)/2)*AW172+(1-EXP(-LN(2)/2))/(LN(2)/2)*AQ173*AT173*VLOOKUP('Données projet'!$B$10,Paramètres!$A$1:$I$89,3,0)*0.475*44/12</f>
        <v>2.6390665322382883E-20</v>
      </c>
      <c r="AX173" s="21">
        <f t="shared" si="166"/>
        <v>0.3248354857692875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-2.8421709430404007E-13</v>
      </c>
      <c r="BE173" s="13">
        <f>BD173*VLOOKUP('Données projet'!$B$11,Paramètres!$A$1:$I$89,3,0)*VLOOKUP('Données projet'!$B$11,Paramètres!$A$1:$I$89,5,0)</f>
        <v>-1.69961822393816E-13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171.96009656745713</v>
      </c>
      <c r="BJ173" s="59">
        <f t="shared" si="146"/>
        <v>172.37574906747716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0.10425317047461954</v>
      </c>
      <c r="BQ173" s="21">
        <f>EXP(-LN(2)/25)*BQ172+(1-EXP(-LN(2)/25))/(LN(2)/25)*Calculateur!BL173*Calculateur!BN173*VLOOKUP('Données projet'!$B$11,Paramètres!$A$1:$I$89,3,0)*0.475*44/12</f>
        <v>0.4238294566181266</v>
      </c>
      <c r="BR173" s="21">
        <f>EXP(-LN(2)/2)*BR172+(1-EXP(-LN(2)/2))/(LN(2)/2)*BL173*BO173*VLOOKUP('Données projet'!$B$11,Paramètres!$A$1:$I$89,3,0)*0.475*44/12</f>
        <v>1.0202191061128322E-20</v>
      </c>
      <c r="BS173" s="22">
        <f t="shared" si="169"/>
        <v>0.52808262709274612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-7.3896444519050419E-13</v>
      </c>
      <c r="O174" s="13">
        <f>N174*VLOOKUP('Données projet'!$B$9,Paramètres!$A$1:$I$89,3,0)*VLOOKUP('Données projet'!$B$9,Paramètres!$A$1:$I$89,5,0)</f>
        <v>-6.6861503000836817E-13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309.07357540707869</v>
      </c>
      <c r="T174" s="59">
        <f t="shared" si="142"/>
        <v>155.9593924683299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122.69576746316494</v>
      </c>
      <c r="AO174" s="59">
        <f t="shared" si="144"/>
        <v>103.29025722669985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0.31595284232857057</v>
      </c>
      <c r="AW174" s="21">
        <f>EXP(-LN(2)/2)*AW173+(1-EXP(-LN(2)/2))/(LN(2)/2)*AQ174*AT174*VLOOKUP('Données projet'!$B$10,Paramètres!$A$1:$I$89,3,0)*0.475*44/12</f>
        <v>1.8661018409481602E-20</v>
      </c>
      <c r="AX174" s="21">
        <f t="shared" si="166"/>
        <v>0.31595284232857057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-2.8421709430404007E-13</v>
      </c>
      <c r="BE174" s="13">
        <f>BD174*VLOOKUP('Données projet'!$B$11,Paramètres!$A$1:$I$89,3,0)*VLOOKUP('Données projet'!$B$11,Paramètres!$A$1:$I$89,5,0)</f>
        <v>-1.69961822393816E-13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171.96009656745713</v>
      </c>
      <c r="BJ174" s="59">
        <f t="shared" si="146"/>
        <v>172.37574906747716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0.10220882938976744</v>
      </c>
      <c r="BQ174" s="21">
        <f>EXP(-LN(2)/25)*BQ173+(1-EXP(-LN(2)/25))/(LN(2)/25)*Calculateur!BL174*Calculateur!BN174*VLOOKUP('Données projet'!$B$11,Paramètres!$A$1:$I$89,3,0)*0.475*44/12</f>
        <v>0.41223981783868147</v>
      </c>
      <c r="BR174" s="21">
        <f>EXP(-LN(2)/2)*BR173+(1-EXP(-LN(2)/2))/(LN(2)/2)*BL174*BO174*VLOOKUP('Données projet'!$B$11,Paramètres!$A$1:$I$89,3,0)*0.475*44/12</f>
        <v>7.2140384822846157E-21</v>
      </c>
      <c r="BS174" s="22">
        <f t="shared" si="169"/>
        <v>0.51444864722844885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-7.3896444519050419E-13</v>
      </c>
      <c r="O175" s="13">
        <f>N175*VLOOKUP('Données projet'!$B$9,Paramètres!$A$1:$I$89,3,0)*VLOOKUP('Données projet'!$B$9,Paramètres!$A$1:$I$89,5,0)</f>
        <v>-6.6861503000836817E-13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309.07357540707869</v>
      </c>
      <c r="T175" s="59">
        <f t="shared" si="142"/>
        <v>155.9593924683299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122.69576746316494</v>
      </c>
      <c r="AO175" s="59">
        <f t="shared" si="144"/>
        <v>103.29025722669985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0.30731309523985795</v>
      </c>
      <c r="AW175" s="21">
        <f>EXP(-LN(2)/2)*AW174+(1-EXP(-LN(2)/2))/(LN(2)/2)*AQ175*AT175*VLOOKUP('Données projet'!$B$10,Paramètres!$A$1:$I$89,3,0)*0.475*44/12</f>
        <v>1.3195332661191443E-20</v>
      </c>
      <c r="AX175" s="21">
        <f t="shared" si="166"/>
        <v>0.30731309523985795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-2.8421709430404007E-13</v>
      </c>
      <c r="BE175" s="13">
        <f>BD175*VLOOKUP('Données projet'!$B$11,Paramètres!$A$1:$I$89,3,0)*VLOOKUP('Données projet'!$B$11,Paramètres!$A$1:$I$89,5,0)</f>
        <v>-1.69961822393816E-13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171.96009656745713</v>
      </c>
      <c r="BJ175" s="59">
        <f t="shared" si="146"/>
        <v>172.37574906747716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0.10020457658666435</v>
      </c>
      <c r="BQ175" s="21">
        <f>EXP(-LN(2)/25)*BQ174+(1-EXP(-LN(2)/25))/(LN(2)/25)*Calculateur!BL175*Calculateur!BN175*VLOOKUP('Données projet'!$B$11,Paramètres!$A$1:$I$89,3,0)*0.475*44/12</f>
        <v>0.40096709834113287</v>
      </c>
      <c r="BR175" s="21">
        <f>EXP(-LN(2)/2)*BR174+(1-EXP(-LN(2)/2))/(LN(2)/2)*BL175*BO175*VLOOKUP('Données projet'!$B$11,Paramètres!$A$1:$I$89,3,0)*0.475*44/12</f>
        <v>5.1010955305641612E-21</v>
      </c>
      <c r="BS175" s="22">
        <f t="shared" si="169"/>
        <v>0.50117167492779724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-7.3896444519050419E-13</v>
      </c>
      <c r="O176" s="13">
        <f>N176*VLOOKUP('Données projet'!$B$9,Paramètres!$A$1:$I$89,3,0)*VLOOKUP('Données projet'!$B$9,Paramètres!$A$1:$I$89,5,0)</f>
        <v>-6.6861503000836817E-13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309.07357540707869</v>
      </c>
      <c r="T176" s="59">
        <f t="shared" si="142"/>
        <v>155.9593924683299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122.69576746316494</v>
      </c>
      <c r="AO176" s="59">
        <f t="shared" si="144"/>
        <v>103.29025722669985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0.29890960248963072</v>
      </c>
      <c r="AW176" s="21">
        <f>EXP(-LN(2)/2)*AW175+(1-EXP(-LN(2)/2))/(LN(2)/2)*AQ176*AT176*VLOOKUP('Données projet'!$B$10,Paramètres!$A$1:$I$89,3,0)*0.475*44/12</f>
        <v>9.3305092047408024E-21</v>
      </c>
      <c r="AX176" s="21">
        <f t="shared" si="166"/>
        <v>0.29890960248963072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-2.8421709430404007E-13</v>
      </c>
      <c r="BE176" s="13">
        <f>BD176*VLOOKUP('Données projet'!$B$11,Paramètres!$A$1:$I$89,3,0)*VLOOKUP('Données projet'!$B$11,Paramètres!$A$1:$I$89,5,0)</f>
        <v>-1.69961822393816E-13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171.96009656745713</v>
      </c>
      <c r="BJ176" s="59">
        <f t="shared" si="146"/>
        <v>172.37574906747716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9.8239625958556606E-2</v>
      </c>
      <c r="BQ176" s="21">
        <f>EXP(-LN(2)/25)*BQ175+(1-EXP(-LN(2)/25))/(LN(2)/25)*Calculateur!BL176*Calculateur!BN176*VLOOKUP('Données projet'!$B$11,Paramètres!$A$1:$I$89,3,0)*0.475*44/12</f>
        <v>0.39000263195105128</v>
      </c>
      <c r="BR176" s="21">
        <f>EXP(-LN(2)/2)*BR175+(1-EXP(-LN(2)/2))/(LN(2)/2)*BL176*BO176*VLOOKUP('Données projet'!$B$11,Paramètres!$A$1:$I$89,3,0)*0.475*44/12</f>
        <v>3.6070192411423078E-21</v>
      </c>
      <c r="BS176" s="22">
        <f t="shared" si="169"/>
        <v>0.4882422579096079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-7.3896444519050419E-13</v>
      </c>
      <c r="O177" s="13">
        <f>N177*VLOOKUP('Données projet'!$B$9,Paramètres!$A$1:$I$89,3,0)*VLOOKUP('Données projet'!$B$9,Paramètres!$A$1:$I$89,5,0)</f>
        <v>-6.6861503000836817E-13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309.07357540707869</v>
      </c>
      <c r="T177" s="59">
        <f t="shared" si="142"/>
        <v>155.9593924683299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122.69576746316494</v>
      </c>
      <c r="AO177" s="59">
        <f t="shared" si="144"/>
        <v>103.29025722669985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0.29073590369057895</v>
      </c>
      <c r="AW177" s="21">
        <f>EXP(-LN(2)/2)*AW176+(1-EXP(-LN(2)/2))/(LN(2)/2)*AQ177*AT177*VLOOKUP('Données projet'!$B$10,Paramètres!$A$1:$I$89,3,0)*0.475*44/12</f>
        <v>6.5976663305957222E-21</v>
      </c>
      <c r="AX177" s="21">
        <f t="shared" si="166"/>
        <v>0.29073590369057895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-2.8421709430404007E-13</v>
      </c>
      <c r="BE177" s="13">
        <f>BD177*VLOOKUP('Données projet'!$B$11,Paramètres!$A$1:$I$89,3,0)*VLOOKUP('Données projet'!$B$11,Paramètres!$A$1:$I$89,5,0)</f>
        <v>-1.69961822393816E-13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171.96009656745713</v>
      </c>
      <c r="BJ177" s="59">
        <f t="shared" si="146"/>
        <v>172.37574906747716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9.6313206813764513E-2</v>
      </c>
      <c r="BQ177" s="21">
        <f>EXP(-LN(2)/25)*BQ176+(1-EXP(-LN(2)/25))/(LN(2)/25)*Calculateur!BL177*Calculateur!BN177*VLOOKUP('Données projet'!$B$11,Paramètres!$A$1:$I$89,3,0)*0.475*44/12</f>
        <v>0.37933798947100272</v>
      </c>
      <c r="BR177" s="21">
        <f>EXP(-LN(2)/2)*BR176+(1-EXP(-LN(2)/2))/(LN(2)/2)*BL177*BO177*VLOOKUP('Données projet'!$B$11,Paramètres!$A$1:$I$89,3,0)*0.475*44/12</f>
        <v>2.5505477652820806E-21</v>
      </c>
      <c r="BS177" s="22">
        <f t="shared" si="169"/>
        <v>0.47565119628476726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-7.3896444519050419E-13</v>
      </c>
      <c r="O178" s="13">
        <f>N178*VLOOKUP('Données projet'!$B$9,Paramètres!$A$1:$I$89,3,0)*VLOOKUP('Données projet'!$B$9,Paramètres!$A$1:$I$89,5,0)</f>
        <v>-6.6861503000836817E-13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309.07357540707869</v>
      </c>
      <c r="T178" s="59">
        <f t="shared" si="142"/>
        <v>155.9593924683299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122.69576746316494</v>
      </c>
      <c r="AO178" s="59">
        <f t="shared" si="144"/>
        <v>103.29025722669985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0.28278571511502337</v>
      </c>
      <c r="AW178" s="21">
        <f>EXP(-LN(2)/2)*AW177+(1-EXP(-LN(2)/2))/(LN(2)/2)*AQ178*AT178*VLOOKUP('Données projet'!$B$10,Paramètres!$A$1:$I$89,3,0)*0.475*44/12</f>
        <v>4.6652546023704019E-21</v>
      </c>
      <c r="AX178" s="21">
        <f t="shared" si="166"/>
        <v>0.28278571511502337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-2.8421709430404007E-13</v>
      </c>
      <c r="BE178" s="13">
        <f>BD178*VLOOKUP('Données projet'!$B$11,Paramètres!$A$1:$I$89,3,0)*VLOOKUP('Données projet'!$B$11,Paramètres!$A$1:$I$89,5,0)</f>
        <v>-1.69961822393816E-13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171.96009656745713</v>
      </c>
      <c r="BJ178" s="59">
        <f t="shared" si="146"/>
        <v>172.37574906747716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9.4424563573402134E-2</v>
      </c>
      <c r="BQ178" s="21">
        <f>EXP(-LN(2)/25)*BQ177+(1-EXP(-LN(2)/25))/(LN(2)/25)*Calculateur!BL178*Calculateur!BN178*VLOOKUP('Données projet'!$B$11,Paramètres!$A$1:$I$89,3,0)*0.475*44/12</f>
        <v>0.36896497220040025</v>
      </c>
      <c r="BR178" s="21">
        <f>EXP(-LN(2)/2)*BR177+(1-EXP(-LN(2)/2))/(LN(2)/2)*BL178*BO178*VLOOKUP('Données projet'!$B$11,Paramètres!$A$1:$I$89,3,0)*0.475*44/12</f>
        <v>1.8035096205711539E-21</v>
      </c>
      <c r="BS178" s="22">
        <f t="shared" si="169"/>
        <v>0.46338953577380237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-7.3896444519050419E-13</v>
      </c>
      <c r="O179" s="13">
        <f>N179*VLOOKUP('Données projet'!$B$9,Paramètres!$A$1:$I$89,3,0)*VLOOKUP('Données projet'!$B$9,Paramètres!$A$1:$I$89,5,0)</f>
        <v>-6.6861503000836817E-13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309.07357540707869</v>
      </c>
      <c r="T179" s="59">
        <f t="shared" si="142"/>
        <v>155.9593924683299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122.69576746316494</v>
      </c>
      <c r="AO179" s="59">
        <f t="shared" si="144"/>
        <v>103.29025722669985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0.27505292486414862</v>
      </c>
      <c r="AW179" s="21">
        <f>EXP(-LN(2)/2)*AW178+(1-EXP(-LN(2)/2))/(LN(2)/2)*AQ179*AT179*VLOOKUP('Données projet'!$B$10,Paramètres!$A$1:$I$89,3,0)*0.475*44/12</f>
        <v>3.2988331652978619E-21</v>
      </c>
      <c r="AX179" s="21">
        <f t="shared" si="166"/>
        <v>0.27505292486414862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-2.8421709430404007E-13</v>
      </c>
      <c r="BE179" s="13">
        <f>BD179*VLOOKUP('Données projet'!$B$11,Paramètres!$A$1:$I$89,3,0)*VLOOKUP('Données projet'!$B$11,Paramètres!$A$1:$I$89,5,0)</f>
        <v>-1.69961822393816E-13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171.96009656745713</v>
      </c>
      <c r="BJ179" s="59">
        <f t="shared" si="146"/>
        <v>172.37574906747716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9.2572955475024629E-2</v>
      </c>
      <c r="BQ179" s="21">
        <f>EXP(-LN(2)/25)*BQ178+(1-EXP(-LN(2)/25))/(LN(2)/25)*Calculateur!BL179*Calculateur!BN179*VLOOKUP('Données projet'!$B$11,Paramètres!$A$1:$I$89,3,0)*0.475*44/12</f>
        <v>0.35887560563255572</v>
      </c>
      <c r="BR179" s="21">
        <f>EXP(-LN(2)/2)*BR178+(1-EXP(-LN(2)/2))/(LN(2)/2)*BL179*BO179*VLOOKUP('Données projet'!$B$11,Paramètres!$A$1:$I$89,3,0)*0.475*44/12</f>
        <v>1.2752738826410403E-21</v>
      </c>
      <c r="BS179" s="22">
        <f t="shared" si="169"/>
        <v>0.45144856110758036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-7.3896444519050419E-13</v>
      </c>
      <c r="O180" s="13">
        <f>N180*VLOOKUP('Données projet'!$B$9,Paramètres!$A$1:$I$89,3,0)*VLOOKUP('Données projet'!$B$9,Paramètres!$A$1:$I$89,5,0)</f>
        <v>-6.6861503000836817E-13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309.07357540707869</v>
      </c>
      <c r="T180" s="59">
        <f t="shared" si="142"/>
        <v>155.9593924683299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122.69576746316494</v>
      </c>
      <c r="AO180" s="59">
        <f t="shared" si="144"/>
        <v>103.29025722669985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0.26753158816933381</v>
      </c>
      <c r="AW180" s="21">
        <f>EXP(-LN(2)/2)*AW179+(1-EXP(-LN(2)/2))/(LN(2)/2)*AQ180*AT180*VLOOKUP('Données projet'!$B$10,Paramètres!$A$1:$I$89,3,0)*0.475*44/12</f>
        <v>2.3326273011852013E-21</v>
      </c>
      <c r="AX180" s="21">
        <f t="shared" si="166"/>
        <v>0.26753158816933381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-2.8421709430404007E-13</v>
      </c>
      <c r="BE180" s="13">
        <f>BD180*VLOOKUP('Données projet'!$B$11,Paramètres!$A$1:$I$89,3,0)*VLOOKUP('Données projet'!$B$11,Paramètres!$A$1:$I$89,5,0)</f>
        <v>-1.69961822393816E-13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171.96009656745713</v>
      </c>
      <c r="BJ180" s="59">
        <f t="shared" si="146"/>
        <v>172.37574906747716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9.0757656282086888E-2</v>
      </c>
      <c r="BQ180" s="21">
        <f>EXP(-LN(2)/25)*BQ179+(1-EXP(-LN(2)/25))/(LN(2)/25)*Calculateur!BL180*Calculateur!BN180*VLOOKUP('Données projet'!$B$11,Paramètres!$A$1:$I$89,3,0)*0.475*44/12</f>
        <v>0.34906213332408559</v>
      </c>
      <c r="BR180" s="21">
        <f>EXP(-LN(2)/2)*BR179+(1-EXP(-LN(2)/2))/(LN(2)/2)*BL180*BO180*VLOOKUP('Données projet'!$B$11,Paramètres!$A$1:$I$89,3,0)*0.475*44/12</f>
        <v>9.0175481028557696E-22</v>
      </c>
      <c r="BS180" s="22">
        <f t="shared" si="169"/>
        <v>0.43981978960617246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-7.3896444519050419E-13</v>
      </c>
      <c r="O181" s="13">
        <f>N181*VLOOKUP('Données projet'!$B$9,Paramètres!$A$1:$I$89,3,0)*VLOOKUP('Données projet'!$B$9,Paramètres!$A$1:$I$89,5,0)</f>
        <v>-6.6861503000836817E-13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309.07357540707869</v>
      </c>
      <c r="T181" s="59">
        <f t="shared" si="142"/>
        <v>155.9593924683299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122.69576746316494</v>
      </c>
      <c r="AO181" s="59">
        <f t="shared" si="144"/>
        <v>103.29025722669985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0.26021592282196859</v>
      </c>
      <c r="AW181" s="21">
        <f>EXP(-LN(2)/2)*AW180+(1-EXP(-LN(2)/2))/(LN(2)/2)*AQ181*AT181*VLOOKUP('Données projet'!$B$10,Paramètres!$A$1:$I$89,3,0)*0.475*44/12</f>
        <v>1.6494165826489311E-21</v>
      </c>
      <c r="AX181" s="21">
        <f t="shared" si="166"/>
        <v>0.26021592282196859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-2.8421709430404007E-13</v>
      </c>
      <c r="BE181" s="13">
        <f>BD181*VLOOKUP('Données projet'!$B$11,Paramètres!$A$1:$I$89,3,0)*VLOOKUP('Données projet'!$B$11,Paramètres!$A$1:$I$89,5,0)</f>
        <v>-1.69961822393816E-13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171.96009656745713</v>
      </c>
      <c r="BJ181" s="59">
        <f t="shared" si="146"/>
        <v>172.37574906747716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8.8977953999099468E-2</v>
      </c>
      <c r="BQ181" s="21">
        <f>EXP(-LN(2)/25)*BQ180+(1-EXP(-LN(2)/25))/(LN(2)/25)*Calculateur!BL181*Calculateur!BN181*VLOOKUP('Données projet'!$B$11,Paramètres!$A$1:$I$89,3,0)*0.475*44/12</f>
        <v>0.33951701093195868</v>
      </c>
      <c r="BR181" s="21">
        <f>EXP(-LN(2)/2)*BR180+(1-EXP(-LN(2)/2))/(LN(2)/2)*BL181*BO181*VLOOKUP('Données projet'!$B$11,Paramètres!$A$1:$I$89,3,0)*0.475*44/12</f>
        <v>6.3763694132052014E-22</v>
      </c>
      <c r="BS181" s="22">
        <f t="shared" si="169"/>
        <v>0.42849496493105815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-7.3896444519050419E-13</v>
      </c>
      <c r="O182" s="13">
        <f>N182*VLOOKUP('Données projet'!$B$9,Paramètres!$A$1:$I$89,3,0)*VLOOKUP('Données projet'!$B$9,Paramètres!$A$1:$I$89,5,0)</f>
        <v>-6.6861503000836817E-13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309.07357540707869</v>
      </c>
      <c r="T182" s="59">
        <f t="shared" si="142"/>
        <v>155.9593924683299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122.69576746316494</v>
      </c>
      <c r="AO182" s="59">
        <f t="shared" si="144"/>
        <v>103.29025722669985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0.25310030472824119</v>
      </c>
      <c r="AW182" s="21">
        <f>EXP(-LN(2)/2)*AW181+(1-EXP(-LN(2)/2))/(LN(2)/2)*AQ182*AT182*VLOOKUP('Données projet'!$B$10,Paramètres!$A$1:$I$89,3,0)*0.475*44/12</f>
        <v>1.1663136505926009E-21</v>
      </c>
      <c r="AX182" s="21">
        <f t="shared" si="166"/>
        <v>0.25310030472824119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-2.8421709430404007E-13</v>
      </c>
      <c r="BE182" s="13">
        <f>BD182*VLOOKUP('Données projet'!$B$11,Paramètres!$A$1:$I$89,3,0)*VLOOKUP('Données projet'!$B$11,Paramètres!$A$1:$I$89,5,0)</f>
        <v>-1.69961822393816E-13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171.96009656745713</v>
      </c>
      <c r="BJ182" s="59">
        <f t="shared" si="146"/>
        <v>172.37574906747716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8.7233150592370232E-2</v>
      </c>
      <c r="BQ182" s="21">
        <f>EXP(-LN(2)/25)*BQ181+(1-EXP(-LN(2)/25))/(LN(2)/25)*Calculateur!BL182*Calculateur!BN182*VLOOKUP('Données projet'!$B$11,Paramètres!$A$1:$I$89,3,0)*0.475*44/12</f>
        <v>0.33023290041360065</v>
      </c>
      <c r="BR182" s="21">
        <f>EXP(-LN(2)/2)*BR181+(1-EXP(-LN(2)/2))/(LN(2)/2)*BL182*BO182*VLOOKUP('Données projet'!$B$11,Paramètres!$A$1:$I$89,3,0)*0.475*44/12</f>
        <v>4.5087740514278848E-22</v>
      </c>
      <c r="BS182" s="22">
        <f t="shared" si="169"/>
        <v>0.4174660510059709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-7.3896444519050419E-13</v>
      </c>
      <c r="O183" s="13">
        <f>N183*VLOOKUP('Données projet'!$B$9,Paramètres!$A$1:$I$89,3,0)*VLOOKUP('Données projet'!$B$9,Paramètres!$A$1:$I$89,5,0)</f>
        <v>-6.6861503000836817E-13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309.07357540707869</v>
      </c>
      <c r="T183" s="59">
        <f t="shared" si="142"/>
        <v>155.9593924683299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122.69576746316494</v>
      </c>
      <c r="AO183" s="59">
        <f t="shared" si="144"/>
        <v>103.29025722669985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0.24617926358548087</v>
      </c>
      <c r="AW183" s="21">
        <f>EXP(-LN(2)/2)*AW182+(1-EXP(-LN(2)/2))/(LN(2)/2)*AQ183*AT183*VLOOKUP('Données projet'!$B$10,Paramètres!$A$1:$I$89,3,0)*0.475*44/12</f>
        <v>8.2470829132446574E-22</v>
      </c>
      <c r="AX183" s="21">
        <f t="shared" si="166"/>
        <v>0.24617926358548087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-2.8421709430404007E-13</v>
      </c>
      <c r="BE183" s="13">
        <f>BD183*VLOOKUP('Données projet'!$B$11,Paramètres!$A$1:$I$89,3,0)*VLOOKUP('Données projet'!$B$11,Paramètres!$A$1:$I$89,5,0)</f>
        <v>-1.69961822393816E-13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171.96009656745713</v>
      </c>
      <c r="BJ183" s="59">
        <f t="shared" si="146"/>
        <v>172.37574906747716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8.5522561716221968E-2</v>
      </c>
      <c r="BQ183" s="21">
        <f>EXP(-LN(2)/25)*BQ182+(1-EXP(-LN(2)/25))/(LN(2)/25)*Calculateur!BL183*Calculateur!BN183*VLOOKUP('Données projet'!$B$11,Paramètres!$A$1:$I$89,3,0)*0.475*44/12</f>
        <v>0.32120266438559725</v>
      </c>
      <c r="BR183" s="21">
        <f>EXP(-LN(2)/2)*BR182+(1-EXP(-LN(2)/2))/(LN(2)/2)*BL183*BO183*VLOOKUP('Données projet'!$B$11,Paramètres!$A$1:$I$89,3,0)*0.475*44/12</f>
        <v>3.1881847066026007E-22</v>
      </c>
      <c r="BS183" s="22">
        <f t="shared" si="169"/>
        <v>0.40672522610181921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-7.3896444519050419E-13</v>
      </c>
      <c r="O184" s="13">
        <f>N184*VLOOKUP('Données projet'!$B$9,Paramètres!$A$1:$I$89,3,0)*VLOOKUP('Données projet'!$B$9,Paramètres!$A$1:$I$89,5,0)</f>
        <v>-6.6861503000836817E-13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309.07357540707869</v>
      </c>
      <c r="T184" s="59">
        <f t="shared" si="142"/>
        <v>155.9593924683299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122.69576746316494</v>
      </c>
      <c r="AO184" s="59">
        <f t="shared" si="144"/>
        <v>103.29025722669985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0.23944747867673108</v>
      </c>
      <c r="AW184" s="21">
        <f>EXP(-LN(2)/2)*AW183+(1-EXP(-LN(2)/2))/(LN(2)/2)*AQ184*AT184*VLOOKUP('Données projet'!$B$10,Paramètres!$A$1:$I$89,3,0)*0.475*44/12</f>
        <v>5.8315682529630052E-22</v>
      </c>
      <c r="AX184" s="21">
        <f t="shared" si="166"/>
        <v>0.23944747867673108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-2.8421709430404007E-13</v>
      </c>
      <c r="BE184" s="13">
        <f>BD184*VLOOKUP('Données projet'!$B$11,Paramètres!$A$1:$I$89,3,0)*VLOOKUP('Données projet'!$B$11,Paramètres!$A$1:$I$89,5,0)</f>
        <v>-1.69961822393816E-13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171.96009656745713</v>
      </c>
      <c r="BJ184" s="59">
        <f t="shared" si="146"/>
        <v>172.37574906747716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8.3845516444578772E-2</v>
      </c>
      <c r="BQ184" s="21">
        <f>EXP(-LN(2)/25)*BQ183+(1-EXP(-LN(2)/25))/(LN(2)/25)*Calculateur!BL184*Calculateur!BN184*VLOOKUP('Données projet'!$B$11,Paramètres!$A$1:$I$89,3,0)*0.475*44/12</f>
        <v>0.31241936063665909</v>
      </c>
      <c r="BR184" s="21">
        <f>EXP(-LN(2)/2)*BR183+(1-EXP(-LN(2)/2))/(LN(2)/2)*BL184*BO184*VLOOKUP('Données projet'!$B$11,Paramètres!$A$1:$I$89,3,0)*0.475*44/12</f>
        <v>2.2543870257139424E-22</v>
      </c>
      <c r="BS184" s="22">
        <f t="shared" si="169"/>
        <v>0.39626487708123787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-7.3896444519050419E-13</v>
      </c>
      <c r="O185" s="13">
        <f>N185*VLOOKUP('Données projet'!$B$9,Paramètres!$A$1:$I$89,3,0)*VLOOKUP('Données projet'!$B$9,Paramètres!$A$1:$I$89,5,0)</f>
        <v>-6.6861503000836817E-13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309.07357540707869</v>
      </c>
      <c r="T185" s="59">
        <f t="shared" si="142"/>
        <v>155.9593924683299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122.69576746316494</v>
      </c>
      <c r="AO185" s="59">
        <f t="shared" si="144"/>
        <v>103.29025722669985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0.23289977478032023</v>
      </c>
      <c r="AW185" s="21">
        <f>EXP(-LN(2)/2)*AW184+(1-EXP(-LN(2)/2))/(LN(2)/2)*AQ185*AT185*VLOOKUP('Données projet'!$B$10,Paramètres!$A$1:$I$89,3,0)*0.475*44/12</f>
        <v>4.1235414566223292E-22</v>
      </c>
      <c r="AX185" s="21">
        <f t="shared" si="166"/>
        <v>0.23289977478032023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-2.8421709430404007E-13</v>
      </c>
      <c r="BE185" s="13">
        <f>BD185*VLOOKUP('Données projet'!$B$11,Paramètres!$A$1:$I$89,3,0)*VLOOKUP('Données projet'!$B$11,Paramètres!$A$1:$I$89,5,0)</f>
        <v>-1.69961822393816E-13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171.96009656745713</v>
      </c>
      <c r="BJ185" s="59">
        <f t="shared" si="146"/>
        <v>172.37574906747716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8.2201357007815889E-2</v>
      </c>
      <c r="BQ185" s="21">
        <f>EXP(-LN(2)/25)*BQ184+(1-EXP(-LN(2)/25))/(LN(2)/25)*Calculateur!BL185*Calculateur!BN185*VLOOKUP('Données projet'!$B$11,Paramètres!$A$1:$I$89,3,0)*0.475*44/12</f>
        <v>0.30387623679062953</v>
      </c>
      <c r="BR185" s="21">
        <f>EXP(-LN(2)/2)*BR184+(1-EXP(-LN(2)/2))/(LN(2)/2)*BL185*BO185*VLOOKUP('Données projet'!$B$11,Paramètres!$A$1:$I$89,3,0)*0.475*44/12</f>
        <v>1.5940923533013004E-22</v>
      </c>
      <c r="BS185" s="22">
        <f t="shared" si="169"/>
        <v>0.38607759379844542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-7.3896444519050419E-13</v>
      </c>
      <c r="O186" s="13">
        <f>N186*VLOOKUP('Données projet'!$B$9,Paramètres!$A$1:$I$89,3,0)*VLOOKUP('Données projet'!$B$9,Paramètres!$A$1:$I$89,5,0)</f>
        <v>-6.6861503000836817E-13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309.07357540707869</v>
      </c>
      <c r="T186" s="59">
        <f t="shared" si="142"/>
        <v>155.9593924683299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122.69576746316494</v>
      </c>
      <c r="AO186" s="59">
        <f t="shared" si="144"/>
        <v>103.29025722669985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0.22653111819128552</v>
      </c>
      <c r="AW186" s="21">
        <f>EXP(-LN(2)/2)*AW185+(1-EXP(-LN(2)/2))/(LN(2)/2)*AQ186*AT186*VLOOKUP('Données projet'!$B$10,Paramètres!$A$1:$I$89,3,0)*0.475*44/12</f>
        <v>2.9157841264815031E-22</v>
      </c>
      <c r="AX186" s="21">
        <f t="shared" si="166"/>
        <v>0.22653111819128552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-2.8421709430404007E-13</v>
      </c>
      <c r="BE186" s="13">
        <f>BD186*VLOOKUP('Données projet'!$B$11,Paramètres!$A$1:$I$89,3,0)*VLOOKUP('Données projet'!$B$11,Paramètres!$A$1:$I$89,5,0)</f>
        <v>-1.69961822393816E-13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171.96009656745713</v>
      </c>
      <c r="BJ186" s="59">
        <f t="shared" si="146"/>
        <v>172.37574906747716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8.0589438534769686E-2</v>
      </c>
      <c r="BQ186" s="21">
        <f>EXP(-LN(2)/25)*BQ185+(1-EXP(-LN(2)/25))/(LN(2)/25)*Calculateur!BL186*Calculateur!BN186*VLOOKUP('Données projet'!$B$11,Paramètres!$A$1:$I$89,3,0)*0.475*44/12</f>
        <v>0.29556672511543297</v>
      </c>
      <c r="BR186" s="21">
        <f>EXP(-LN(2)/2)*BR185+(1-EXP(-LN(2)/2))/(LN(2)/2)*BL186*BO186*VLOOKUP('Données projet'!$B$11,Paramètres!$A$1:$I$89,3,0)*0.475*44/12</f>
        <v>1.1271935128569712E-22</v>
      </c>
      <c r="BS186" s="22">
        <f t="shared" si="169"/>
        <v>0.37615616365020266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-7.3896444519050419E-13</v>
      </c>
      <c r="O187" s="13">
        <f>N187*VLOOKUP('Données projet'!$B$9,Paramètres!$A$1:$I$89,3,0)*VLOOKUP('Données projet'!$B$9,Paramètres!$A$1:$I$89,5,0)</f>
        <v>-6.6861503000836817E-13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309.07357540707869</v>
      </c>
      <c r="T187" s="59">
        <f t="shared" si="142"/>
        <v>155.9593924683299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122.69576746316494</v>
      </c>
      <c r="AO187" s="59">
        <f t="shared" si="144"/>
        <v>103.29025722669985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0.22033661285159106</v>
      </c>
      <c r="AW187" s="21">
        <f>EXP(-LN(2)/2)*AW186+(1-EXP(-LN(2)/2))/(LN(2)/2)*AQ187*AT187*VLOOKUP('Données projet'!$B$10,Paramètres!$A$1:$I$89,3,0)*0.475*44/12</f>
        <v>2.0617707283111651E-22</v>
      </c>
      <c r="AX187" s="21">
        <f t="shared" si="166"/>
        <v>0.22033661285159106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-2.8421709430404007E-13</v>
      </c>
      <c r="BE187" s="13">
        <f>BD187*VLOOKUP('Données projet'!$B$11,Paramètres!$A$1:$I$89,3,0)*VLOOKUP('Données projet'!$B$11,Paramètres!$A$1:$I$89,5,0)</f>
        <v>-1.69961822393816E-13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171.96009656745713</v>
      </c>
      <c r="BJ187" s="59">
        <f t="shared" si="146"/>
        <v>172.37574906747716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7.9009128799806733E-2</v>
      </c>
      <c r="BQ187" s="21">
        <f>EXP(-LN(2)/25)*BQ186+(1-EXP(-LN(2)/25))/(LN(2)/25)*Calculateur!BL187*Calculateur!BN187*VLOOKUP('Données projet'!$B$11,Paramètres!$A$1:$I$89,3,0)*0.475*44/12</f>
        <v>0.2874844374739729</v>
      </c>
      <c r="BR187" s="21">
        <f>EXP(-LN(2)/2)*BR186+(1-EXP(-LN(2)/2))/(LN(2)/2)*BL187*BO187*VLOOKUP('Données projet'!$B$11,Paramètres!$A$1:$I$89,3,0)*0.475*44/12</f>
        <v>7.9704617665065018E-23</v>
      </c>
      <c r="BS187" s="22">
        <f t="shared" si="169"/>
        <v>0.3664935662737796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-7.3896444519050419E-13</v>
      </c>
      <c r="O188" s="13">
        <f>N188*VLOOKUP('Données projet'!$B$9,Paramètres!$A$1:$I$89,3,0)*VLOOKUP('Données projet'!$B$9,Paramètres!$A$1:$I$89,5,0)</f>
        <v>-6.6861503000836817E-13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309.07357540707869</v>
      </c>
      <c r="T188" s="59">
        <f t="shared" si="142"/>
        <v>155.9593924683299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122.69576746316494</v>
      </c>
      <c r="AO188" s="59">
        <f t="shared" si="144"/>
        <v>103.29025722669985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0.21431149658616541</v>
      </c>
      <c r="AW188" s="21">
        <f>EXP(-LN(2)/2)*AW187+(1-EXP(-LN(2)/2))/(LN(2)/2)*AQ188*AT188*VLOOKUP('Données projet'!$B$10,Paramètres!$A$1:$I$89,3,0)*0.475*44/12</f>
        <v>1.4578920632407518E-22</v>
      </c>
      <c r="AX188" s="21">
        <f t="shared" si="166"/>
        <v>0.21431149658616541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-2.8421709430404007E-13</v>
      </c>
      <c r="BE188" s="13">
        <f>BD188*VLOOKUP('Données projet'!$B$11,Paramètres!$A$1:$I$89,3,0)*VLOOKUP('Données projet'!$B$11,Paramètres!$A$1:$I$89,5,0)</f>
        <v>-1.69961822393816E-13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171.96009656745713</v>
      </c>
      <c r="BJ188" s="59">
        <f t="shared" si="146"/>
        <v>172.37574906747716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7.7459807974852649E-2</v>
      </c>
      <c r="BQ188" s="21">
        <f>EXP(-LN(2)/25)*BQ187+(1-EXP(-LN(2)/25))/(LN(2)/25)*Calculateur!BL188*Calculateur!BN188*VLOOKUP('Données projet'!$B$11,Paramètres!$A$1:$I$89,3,0)*0.475*44/12</f>
        <v>0.27962316041309759</v>
      </c>
      <c r="BR188" s="21">
        <f>EXP(-LN(2)/2)*BR187+(1-EXP(-LN(2)/2))/(LN(2)/2)*BL188*BO188*VLOOKUP('Données projet'!$B$11,Paramètres!$A$1:$I$89,3,0)*0.475*44/12</f>
        <v>5.635967564284856E-23</v>
      </c>
      <c r="BS188" s="22">
        <f t="shared" si="169"/>
        <v>0.35708296838795023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-7.3896444519050419E-13</v>
      </c>
      <c r="O189" s="13">
        <f>N189*VLOOKUP('Données projet'!$B$9,Paramètres!$A$1:$I$89,3,0)*VLOOKUP('Données projet'!$B$9,Paramètres!$A$1:$I$89,5,0)</f>
        <v>-6.6861503000836817E-13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309.07357540707869</v>
      </c>
      <c r="T189" s="59">
        <f t="shared" si="142"/>
        <v>155.9593924683299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122.69576746316494</v>
      </c>
      <c r="AO189" s="59">
        <f t="shared" si="144"/>
        <v>103.29025722669985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0.20845113744186494</v>
      </c>
      <c r="AW189" s="21">
        <f>EXP(-LN(2)/2)*AW188+(1-EXP(-LN(2)/2))/(LN(2)/2)*AQ189*AT189*VLOOKUP('Données projet'!$B$10,Paramètres!$A$1:$I$89,3,0)*0.475*44/12</f>
        <v>1.0308853641555827E-22</v>
      </c>
      <c r="AX189" s="21">
        <f t="shared" si="166"/>
        <v>0.20845113744186494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-2.8421709430404007E-13</v>
      </c>
      <c r="BE189" s="13">
        <f>BD189*VLOOKUP('Données projet'!$B$11,Paramètres!$A$1:$I$89,3,0)*VLOOKUP('Données projet'!$B$11,Paramètres!$A$1:$I$89,5,0)</f>
        <v>-1.69961822393816E-13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171.96009656745713</v>
      </c>
      <c r="BJ189" s="59">
        <f t="shared" si="146"/>
        <v>172.37574906747716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7.5940868386283514E-2</v>
      </c>
      <c r="BQ189" s="21">
        <f>EXP(-LN(2)/25)*BQ188+(1-EXP(-LN(2)/25))/(LN(2)/25)*Calculateur!BL189*Calculateur!BN189*VLOOKUP('Données projet'!$B$11,Paramètres!$A$1:$I$89,3,0)*0.475*44/12</f>
        <v>0.27197685038685854</v>
      </c>
      <c r="BR189" s="21">
        <f>EXP(-LN(2)/2)*BR188+(1-EXP(-LN(2)/2))/(LN(2)/2)*BL189*BO189*VLOOKUP('Données projet'!$B$11,Paramètres!$A$1:$I$89,3,0)*0.475*44/12</f>
        <v>3.9852308832532509E-23</v>
      </c>
      <c r="BS189" s="22">
        <f t="shared" si="169"/>
        <v>0.34791771877314204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-7.3896444519050419E-13</v>
      </c>
      <c r="O190" s="13">
        <f>N190*VLOOKUP('Données projet'!$B$9,Paramètres!$A$1:$I$89,3,0)*VLOOKUP('Données projet'!$B$9,Paramètres!$A$1:$I$89,5,0)</f>
        <v>-6.6861503000836817E-13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309.07357540707869</v>
      </c>
      <c r="T190" s="59">
        <f t="shared" si="142"/>
        <v>155.9593924683299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122.69576746316494</v>
      </c>
      <c r="AO190" s="59">
        <f t="shared" si="144"/>
        <v>103.29025722669985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0.20275103012654824</v>
      </c>
      <c r="AW190" s="21">
        <f>EXP(-LN(2)/2)*AW189+(1-EXP(-LN(2)/2))/(LN(2)/2)*AQ190*AT190*VLOOKUP('Données projet'!$B$10,Paramètres!$A$1:$I$89,3,0)*0.475*44/12</f>
        <v>7.2894603162037601E-23</v>
      </c>
      <c r="AX190" s="21">
        <f t="shared" si="166"/>
        <v>0.20275103012654824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-2.8421709430404007E-13</v>
      </c>
      <c r="BE190" s="13">
        <f>BD190*VLOOKUP('Données projet'!$B$11,Paramètres!$A$1:$I$89,3,0)*VLOOKUP('Données projet'!$B$11,Paramètres!$A$1:$I$89,5,0)</f>
        <v>-1.69961822393816E-13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171.96009656745713</v>
      </c>
      <c r="BJ190" s="59">
        <f t="shared" si="146"/>
        <v>172.37574906747716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7.4451714276584549E-2</v>
      </c>
      <c r="BQ190" s="21">
        <f>EXP(-LN(2)/25)*BQ189+(1-EXP(-LN(2)/25))/(LN(2)/25)*Calculateur!BL190*Calculateur!BN190*VLOOKUP('Données projet'!$B$11,Paramètres!$A$1:$I$89,3,0)*0.475*44/12</f>
        <v>0.26453962911038892</v>
      </c>
      <c r="BR190" s="21">
        <f>EXP(-LN(2)/2)*BR189+(1-EXP(-LN(2)/2))/(LN(2)/2)*BL190*BO190*VLOOKUP('Données projet'!$B$11,Paramètres!$A$1:$I$89,3,0)*0.475*44/12</f>
        <v>2.817983782142428E-23</v>
      </c>
      <c r="BS190" s="22">
        <f t="shared" si="169"/>
        <v>0.33899134338697345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-7.3896444519050419E-13</v>
      </c>
      <c r="O191" s="13">
        <f>N191*VLOOKUP('Données projet'!$B$9,Paramètres!$A$1:$I$89,3,0)*VLOOKUP('Données projet'!$B$9,Paramètres!$A$1:$I$89,5,0)</f>
        <v>-6.6861503000836817E-13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309.07357540707869</v>
      </c>
      <c r="T191" s="59">
        <f t="shared" si="142"/>
        <v>155.9593924683299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122.69576746316494</v>
      </c>
      <c r="AO191" s="59">
        <f t="shared" si="144"/>
        <v>103.29025722669985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0.19720679254552451</v>
      </c>
      <c r="AW191" s="21">
        <f>EXP(-LN(2)/2)*AW190+(1-EXP(-LN(2)/2))/(LN(2)/2)*AQ191*AT191*VLOOKUP('Données projet'!$B$10,Paramètres!$A$1:$I$89,3,0)*0.475*44/12</f>
        <v>5.1544268207779138E-23</v>
      </c>
      <c r="AX191" s="21">
        <f t="shared" si="166"/>
        <v>0.19720679254552451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-2.8421709430404007E-13</v>
      </c>
      <c r="BE191" s="13">
        <f>BD191*VLOOKUP('Données projet'!$B$11,Paramètres!$A$1:$I$89,3,0)*VLOOKUP('Données projet'!$B$11,Paramètres!$A$1:$I$89,5,0)</f>
        <v>-1.69961822393816E-13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171.96009656745713</v>
      </c>
      <c r="BJ191" s="59">
        <f t="shared" si="146"/>
        <v>172.37574906747716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7.2991761570682462E-2</v>
      </c>
      <c r="BQ191" s="21">
        <f>EXP(-LN(2)/25)*BQ190+(1-EXP(-LN(2)/25))/(LN(2)/25)*Calculateur!BL191*Calculateur!BN191*VLOOKUP('Données projet'!$B$11,Paramètres!$A$1:$I$89,3,0)*0.475*44/12</f>
        <v>0.25730577904083085</v>
      </c>
      <c r="BR191" s="21">
        <f>EXP(-LN(2)/2)*BR190+(1-EXP(-LN(2)/2))/(LN(2)/2)*BL191*BO191*VLOOKUP('Données projet'!$B$11,Paramètres!$A$1:$I$89,3,0)*0.475*44/12</f>
        <v>1.9926154416266255E-23</v>
      </c>
      <c r="BS191" s="22">
        <f t="shared" si="169"/>
        <v>0.33029754061151329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-7.3896444519050419E-13</v>
      </c>
      <c r="O192" s="13">
        <f>N192*VLOOKUP('Données projet'!$B$9,Paramètres!$A$1:$I$89,3,0)*VLOOKUP('Données projet'!$B$9,Paramètres!$A$1:$I$89,5,0)</f>
        <v>-6.6861503000836817E-13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309.07357540707869</v>
      </c>
      <c r="T192" s="59">
        <f t="shared" si="142"/>
        <v>155.9593924683299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122.69576746316494</v>
      </c>
      <c r="AO192" s="59">
        <f t="shared" si="144"/>
        <v>103.29025722669985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0.19181416243271265</v>
      </c>
      <c r="AW192" s="21">
        <f>EXP(-LN(2)/2)*AW191+(1-EXP(-LN(2)/2))/(LN(2)/2)*AQ192*AT192*VLOOKUP('Données projet'!$B$10,Paramètres!$A$1:$I$89,3,0)*0.475*44/12</f>
        <v>3.6447301581018806E-23</v>
      </c>
      <c r="AX192" s="21">
        <f t="shared" si="166"/>
        <v>0.19181416243271265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-2.8421709430404007E-13</v>
      </c>
      <c r="BE192" s="13">
        <f>BD192*VLOOKUP('Données projet'!$B$11,Paramètres!$A$1:$I$89,3,0)*VLOOKUP('Données projet'!$B$11,Paramètres!$A$1:$I$89,5,0)</f>
        <v>-1.69961822393816E-13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171.96009656745713</v>
      </c>
      <c r="BJ192" s="59">
        <f t="shared" si="146"/>
        <v>172.37574906747716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7.156043764685989E-2</v>
      </c>
      <c r="BQ192" s="21">
        <f>EXP(-LN(2)/25)*BQ191+(1-EXP(-LN(2)/25))/(LN(2)/25)*Calculateur!BL192*Calculateur!BN192*VLOOKUP('Données projet'!$B$11,Paramètres!$A$1:$I$89,3,0)*0.475*44/12</f>
        <v>0.25026973898183646</v>
      </c>
      <c r="BR192" s="21">
        <f>EXP(-LN(2)/2)*BR191+(1-EXP(-LN(2)/2))/(LN(2)/2)*BL192*BO192*VLOOKUP('Données projet'!$B$11,Paramètres!$A$1:$I$89,3,0)*0.475*44/12</f>
        <v>1.408991891071214E-23</v>
      </c>
      <c r="BS192" s="22">
        <f t="shared" si="169"/>
        <v>0.32183017662869634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-7.3896444519050419E-13</v>
      </c>
      <c r="O193" s="13">
        <f>N193*VLOOKUP('Données projet'!$B$9,Paramètres!$A$1:$I$89,3,0)*VLOOKUP('Données projet'!$B$9,Paramètres!$A$1:$I$89,5,0)</f>
        <v>-6.6861503000836817E-13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309.07357540707869</v>
      </c>
      <c r="T193" s="59">
        <f t="shared" si="142"/>
        <v>155.9593924683299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122.69576746316494</v>
      </c>
      <c r="AO193" s="59">
        <f t="shared" si="144"/>
        <v>103.29025722669985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0.18656899407392172</v>
      </c>
      <c r="AW193" s="21">
        <f>EXP(-LN(2)/2)*AW192+(1-EXP(-LN(2)/2))/(LN(2)/2)*AQ193*AT193*VLOOKUP('Données projet'!$B$10,Paramètres!$A$1:$I$89,3,0)*0.475*44/12</f>
        <v>2.5772134103889575E-23</v>
      </c>
      <c r="AX193" s="21">
        <f t="shared" si="166"/>
        <v>0.18656899407392172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-2.8421709430404007E-13</v>
      </c>
      <c r="BE193" s="13">
        <f>BD193*VLOOKUP('Données projet'!$B$11,Paramètres!$A$1:$I$89,3,0)*VLOOKUP('Données projet'!$B$11,Paramètres!$A$1:$I$89,5,0)</f>
        <v>-1.69961822393816E-13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171.96009656745713</v>
      </c>
      <c r="BJ193" s="59">
        <f t="shared" si="146"/>
        <v>172.37574906747716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7.0157181112162098E-2</v>
      </c>
      <c r="BQ193" s="21">
        <f>EXP(-LN(2)/25)*BQ192+(1-EXP(-LN(2)/25))/(LN(2)/25)*Calculateur!BL193*Calculateur!BN193*VLOOKUP('Données projet'!$B$11,Paramètres!$A$1:$I$89,3,0)*0.475*44/12</f>
        <v>0.24342609980826457</v>
      </c>
      <c r="BR193" s="21">
        <f>EXP(-LN(2)/2)*BR192+(1-EXP(-LN(2)/2))/(LN(2)/2)*BL193*BO193*VLOOKUP('Données projet'!$B$11,Paramètres!$A$1:$I$89,3,0)*0.475*44/12</f>
        <v>9.9630772081331273E-24</v>
      </c>
      <c r="BS193" s="22">
        <f t="shared" si="169"/>
        <v>0.31358328092042664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-7.3896444519050419E-13</v>
      </c>
      <c r="O194" s="13">
        <f>N194*VLOOKUP('Données projet'!$B$9,Paramètres!$A$1:$I$89,3,0)*VLOOKUP('Données projet'!$B$9,Paramètres!$A$1:$I$89,5,0)</f>
        <v>-6.6861503000836817E-13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309.07357540707869</v>
      </c>
      <c r="T194" s="59">
        <f t="shared" si="142"/>
        <v>155.9593924683299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122.69576746316494</v>
      </c>
      <c r="AO194" s="59">
        <f t="shared" si="144"/>
        <v>103.29025722669985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0.18146725511973333</v>
      </c>
      <c r="AW194" s="21">
        <f>EXP(-LN(2)/2)*AW193+(1-EXP(-LN(2)/2))/(LN(2)/2)*AQ194*AT194*VLOOKUP('Données projet'!$B$10,Paramètres!$A$1:$I$89,3,0)*0.475*44/12</f>
        <v>1.8223650790509406E-23</v>
      </c>
      <c r="AX194" s="21">
        <f t="shared" si="166"/>
        <v>0.18146725511973333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-2.8421709430404007E-13</v>
      </c>
      <c r="BE194" s="13">
        <f>BD194*VLOOKUP('Données projet'!$B$11,Paramètres!$A$1:$I$89,3,0)*VLOOKUP('Données projet'!$B$11,Paramètres!$A$1:$I$89,5,0)</f>
        <v>-1.69961822393816E-13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171.96009656745713</v>
      </c>
      <c r="BJ194" s="59">
        <f t="shared" si="146"/>
        <v>172.37574906747716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6.8781441582207753E-2</v>
      </c>
      <c r="BQ194" s="21">
        <f>EXP(-LN(2)/25)*BQ193+(1-EXP(-LN(2)/25))/(LN(2)/25)*Calculateur!BL194*Calculateur!BN194*VLOOKUP('Données projet'!$B$11,Paramètres!$A$1:$I$89,3,0)*0.475*44/12</f>
        <v>0.23676960030778535</v>
      </c>
      <c r="BR194" s="21">
        <f>EXP(-LN(2)/2)*BR193+(1-EXP(-LN(2)/2))/(LN(2)/2)*BL194*BO194*VLOOKUP('Données projet'!$B$11,Paramètres!$A$1:$I$89,3,0)*0.475*44/12</f>
        <v>7.04495945535607E-24</v>
      </c>
      <c r="BS194" s="22">
        <f t="shared" si="169"/>
        <v>0.3055510418899931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-7.3896444519050419E-13</v>
      </c>
      <c r="O195" s="13">
        <f>N195*VLOOKUP('Données projet'!$B$9,Paramètres!$A$1:$I$89,3,0)*VLOOKUP('Données projet'!$B$9,Paramètres!$A$1:$I$89,5,0)</f>
        <v>-6.6861503000836817E-13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309.07357540707869</v>
      </c>
      <c r="T195" s="59">
        <f t="shared" si="142"/>
        <v>155.9593924683299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122.69576746316494</v>
      </c>
      <c r="AO195" s="59">
        <f t="shared" si="144"/>
        <v>103.29025722669985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0.17650502348553601</v>
      </c>
      <c r="AW195" s="21">
        <f>EXP(-LN(2)/2)*AW194+(1-EXP(-LN(2)/2))/(LN(2)/2)*AQ195*AT195*VLOOKUP('Données projet'!$B$10,Paramètres!$A$1:$I$89,3,0)*0.475*44/12</f>
        <v>1.2886067051944789E-23</v>
      </c>
      <c r="AX195" s="21">
        <f t="shared" si="166"/>
        <v>0.17650502348553601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-1.69961822393816E-13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171.96009656745713</v>
      </c>
      <c r="BJ195" s="59">
        <f t="shared" si="146"/>
        <v>172.37574906747716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6.7432679465317558E-2</v>
      </c>
      <c r="BQ195" s="21">
        <f>EXP(-LN(2)/25)*BQ194+(1-EXP(-LN(2)/25))/(LN(2)/25)*Calculateur!BL195*Calculateur!BN195*VLOOKUP('Données projet'!$B$11,Paramètres!$A$1:$I$89,3,0)*0.475*44/12</f>
        <v>0.23029512313619682</v>
      </c>
      <c r="BR195" s="21">
        <f>EXP(-LN(2)/2)*BR194+(1-EXP(-LN(2)/2))/(LN(2)/2)*BL195*BO195*VLOOKUP('Données projet'!$B$11,Paramètres!$A$1:$I$89,3,0)*0.475*44/12</f>
        <v>4.9815386040665636E-24</v>
      </c>
      <c r="BS195" s="22">
        <f t="shared" si="169"/>
        <v>0.29772780260151438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-7.3896444519050419E-13</v>
      </c>
      <c r="O196" s="13">
        <f>N196*VLOOKUP('Données projet'!$B$9,Paramètres!$A$1:$I$89,3,0)*VLOOKUP('Données projet'!$B$9,Paramètres!$A$1:$I$89,5,0)</f>
        <v>-6.6861503000836817E-13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309.07357540707869</v>
      </c>
      <c r="T196" s="59">
        <f t="shared" si="142"/>
        <v>155.9593924683299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122.69576746316494</v>
      </c>
      <c r="AO196" s="59">
        <f t="shared" si="144"/>
        <v>103.29025722669985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0.17167848433632826</v>
      </c>
      <c r="AW196" s="21">
        <f>EXP(-LN(2)/2)*AW195+(1-EXP(-LN(2)/2))/(LN(2)/2)*AQ196*AT196*VLOOKUP('Données projet'!$B$10,Paramètres!$A$1:$I$89,3,0)*0.475*44/12</f>
        <v>9.1118253952547045E-24</v>
      </c>
      <c r="AX196" s="21">
        <f t="shared" si="166"/>
        <v>0.17167848433632826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-1.69961822393816E-13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171.96009656745713</v>
      </c>
      <c r="BJ196" s="59">
        <f t="shared" si="146"/>
        <v>172.37574906747716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6.6110365750875921E-2</v>
      </c>
      <c r="BQ196" s="21">
        <f>EXP(-LN(2)/25)*BQ195+(1-EXP(-LN(2)/25))/(LN(2)/25)*Calculateur!BL196*Calculateur!BN196*VLOOKUP('Données projet'!$B$11,Paramètres!$A$1:$I$89,3,0)*0.475*44/12</f>
        <v>0.22399769088334334</v>
      </c>
      <c r="BR196" s="21">
        <f>EXP(-LN(2)/2)*BR195+(1-EXP(-LN(2)/2))/(LN(2)/2)*BL196*BO196*VLOOKUP('Données projet'!$B$11,Paramètres!$A$1:$I$89,3,0)*0.475*44/12</f>
        <v>3.522479727678035E-24</v>
      </c>
      <c r="BS196" s="22">
        <f t="shared" si="169"/>
        <v>0.29010805663421924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-7.3896444519050419E-13</v>
      </c>
      <c r="O197" s="13">
        <f>N197*VLOOKUP('Données projet'!$B$9,Paramètres!$A$1:$I$89,3,0)*VLOOKUP('Données projet'!$B$9,Paramètres!$A$1:$I$89,5,0)</f>
        <v>-6.6861503000836817E-13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309.07357540707869</v>
      </c>
      <c r="T197" s="59">
        <f t="shared" ref="T197:T203" si="204">$T$3</f>
        <v>155.9593924683299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122.69576746316494</v>
      </c>
      <c r="AO197" s="59">
        <f t="shared" ref="AO197:AO203" si="205">$AO$3</f>
        <v>103.29025722669985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0.16698392715397226</v>
      </c>
      <c r="AW197" s="21">
        <f>EXP(-LN(2)/2)*AW196+(1-EXP(-LN(2)/2))/(LN(2)/2)*AQ197*AT197*VLOOKUP('Données projet'!$B$10,Paramètres!$A$1:$I$89,3,0)*0.475*44/12</f>
        <v>6.443033525972396E-24</v>
      </c>
      <c r="AX197" s="21">
        <f t="shared" si="166"/>
        <v>0.16698392715397226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-1.69961822393816E-13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171.96009656745713</v>
      </c>
      <c r="BJ197" s="59">
        <f t="shared" ref="BJ197:BJ203" si="206">$BJ$3</f>
        <v>172.37574906747716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6.4813981801842752E-2</v>
      </c>
      <c r="BQ197" s="21">
        <f>EXP(-LN(2)/25)*BQ196+(1-EXP(-LN(2)/25))/(LN(2)/25)*Calculateur!BL197*Calculateur!BN197*VLOOKUP('Données projet'!$B$11,Paramètres!$A$1:$I$89,3,0)*0.475*44/12</f>
        <v>0.21787246224661172</v>
      </c>
      <c r="BR197" s="21">
        <f>EXP(-LN(2)/2)*BR196+(1-EXP(-LN(2)/2))/(LN(2)/2)*BL197*BO197*VLOOKUP('Données projet'!$B$11,Paramètres!$A$1:$I$89,3,0)*0.475*44/12</f>
        <v>2.4907693020332818E-24</v>
      </c>
      <c r="BS197" s="22">
        <f t="shared" si="169"/>
        <v>0.28268644404845444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-7.3896444519050419E-13</v>
      </c>
      <c r="O198" s="13">
        <f>N198*VLOOKUP('Données projet'!$B$9,Paramètres!$A$1:$I$89,3,0)*VLOOKUP('Données projet'!$B$9,Paramètres!$A$1:$I$89,5,0)</f>
        <v>-6.6861503000836817E-13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309.07357540707869</v>
      </c>
      <c r="T198" s="59">
        <f t="shared" si="204"/>
        <v>155.9593924683299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122.69576746316494</v>
      </c>
      <c r="AO198" s="59">
        <f t="shared" si="205"/>
        <v>103.29025722669985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0.16241774288464381</v>
      </c>
      <c r="AW198" s="21">
        <f>EXP(-LN(2)/2)*AW197+(1-EXP(-LN(2)/2))/(LN(2)/2)*AQ198*AT198*VLOOKUP('Données projet'!$B$10,Paramètres!$A$1:$I$89,3,0)*0.475*44/12</f>
        <v>4.555912697627353E-24</v>
      </c>
      <c r="AX198" s="21">
        <f t="shared" si="166"/>
        <v>0.16241774288464381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-1.69961822393816E-13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171.96009656745713</v>
      </c>
      <c r="BJ198" s="59">
        <f t="shared" si="206"/>
        <v>172.37574906747716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6.3543019151333993E-2</v>
      </c>
      <c r="BQ198" s="21">
        <f>EXP(-LN(2)/25)*BQ197+(1-EXP(-LN(2)/25))/(LN(2)/25)*Calculateur!BL198*Calculateur!BN198*VLOOKUP('Données projet'!$B$11,Paramètres!$A$1:$I$89,3,0)*0.475*44/12</f>
        <v>0.2119147283090633</v>
      </c>
      <c r="BR198" s="21">
        <f>EXP(-LN(2)/2)*BR197+(1-EXP(-LN(2)/2))/(LN(2)/2)*BL198*BO198*VLOOKUP('Données projet'!$B$11,Paramètres!$A$1:$I$89,3,0)*0.475*44/12</f>
        <v>1.7612398638390175E-24</v>
      </c>
      <c r="BS198" s="22">
        <f t="shared" si="169"/>
        <v>0.27545774746039731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-7.3896444519050419E-13</v>
      </c>
      <c r="O199" s="13">
        <f>N199*VLOOKUP('Données projet'!$B$9,Paramètres!$A$1:$I$89,3,0)*VLOOKUP('Données projet'!$B$9,Paramètres!$A$1:$I$89,5,0)</f>
        <v>-6.6861503000836817E-13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309.07357540707869</v>
      </c>
      <c r="T199" s="59">
        <f t="shared" si="204"/>
        <v>155.9593924683299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122.69576746316494</v>
      </c>
      <c r="AO199" s="59">
        <f t="shared" si="205"/>
        <v>103.29025722669985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0.15797642116428534</v>
      </c>
      <c r="AW199" s="21">
        <f>EXP(-LN(2)/2)*AW198+(1-EXP(-LN(2)/2))/(LN(2)/2)*AQ199*AT199*VLOOKUP('Données projet'!$B$10,Paramètres!$A$1:$I$89,3,0)*0.475*44/12</f>
        <v>3.2215167629861984E-24</v>
      </c>
      <c r="AX199" s="21">
        <f t="shared" si="166"/>
        <v>0.15797642116428534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-1.69961822393816E-13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171.96009656745713</v>
      </c>
      <c r="BJ199" s="59">
        <f t="shared" si="206"/>
        <v>172.37574906747716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6.2296979303191037E-2</v>
      </c>
      <c r="BQ199" s="21">
        <f>EXP(-LN(2)/25)*BQ198+(1-EXP(-LN(2)/25))/(LN(2)/25)*Calculateur!BL199*Calculateur!BN199*VLOOKUP('Données projet'!$B$11,Paramètres!$A$1:$I$89,3,0)*0.475*44/12</f>
        <v>0.20611990891934073</v>
      </c>
      <c r="BR199" s="21">
        <f>EXP(-LN(2)/2)*BR198+(1-EXP(-LN(2)/2))/(LN(2)/2)*BL199*BO199*VLOOKUP('Données projet'!$B$11,Paramètres!$A$1:$I$89,3,0)*0.475*44/12</f>
        <v>1.2453846510166409E-24</v>
      </c>
      <c r="BS199" s="22">
        <f t="shared" si="169"/>
        <v>0.26841688822253179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-7.3896444519050419E-13</v>
      </c>
      <c r="O200" s="13">
        <f>N200*VLOOKUP('Données projet'!$B$9,Paramètres!$A$1:$I$89,3,0)*VLOOKUP('Données projet'!$B$9,Paramètres!$A$1:$I$89,5,0)</f>
        <v>-6.6861503000836817E-13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309.07357540707869</v>
      </c>
      <c r="T200" s="59">
        <f t="shared" si="204"/>
        <v>155.9593924683299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122.69576746316494</v>
      </c>
      <c r="AO200" s="59">
        <f t="shared" si="205"/>
        <v>103.29025722669985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0.15365654761992903</v>
      </c>
      <c r="AW200" s="21">
        <f>EXP(-LN(2)/2)*AW199+(1-EXP(-LN(2)/2))/(LN(2)/2)*AQ200*AT200*VLOOKUP('Données projet'!$B$10,Paramètres!$A$1:$I$89,3,0)*0.475*44/12</f>
        <v>2.2779563488136769E-24</v>
      </c>
      <c r="AX200" s="21">
        <f t="shared" si="166"/>
        <v>0.15365654761992903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-1.69961822393816E-13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171.96009656745713</v>
      </c>
      <c r="BJ200" s="59">
        <f t="shared" si="206"/>
        <v>172.37574906747716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6.1075373536460906E-2</v>
      </c>
      <c r="BQ200" s="21">
        <f>EXP(-LN(2)/25)*BQ199+(1-EXP(-LN(2)/25))/(LN(2)/25)*Calculateur!BL200*Calculateur!BN200*VLOOKUP('Données projet'!$B$11,Paramètres!$A$1:$I$89,3,0)*0.475*44/12</f>
        <v>0.20048354917056643</v>
      </c>
      <c r="BR200" s="21">
        <f>EXP(-LN(2)/2)*BR199+(1-EXP(-LN(2)/2))/(LN(2)/2)*BL200*BO200*VLOOKUP('Données projet'!$B$11,Paramètres!$A$1:$I$89,3,0)*0.475*44/12</f>
        <v>8.8061993191950875E-25</v>
      </c>
      <c r="BS200" s="22">
        <f t="shared" si="169"/>
        <v>0.26155892270702735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-7.3896444519050419E-13</v>
      </c>
      <c r="O201" s="13">
        <f>N201*VLOOKUP('Données projet'!$B$9,Paramètres!$A$1:$I$89,3,0)*VLOOKUP('Données projet'!$B$9,Paramètres!$A$1:$I$89,5,0)</f>
        <v>-6.6861503000836817E-13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309.07357540707869</v>
      </c>
      <c r="T201" s="59">
        <f t="shared" si="204"/>
        <v>155.9593924683299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122.69576746316494</v>
      </c>
      <c r="AO201" s="59">
        <f t="shared" si="205"/>
        <v>103.29025722669985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0.14945480124481542</v>
      </c>
      <c r="AW201" s="21">
        <f>EXP(-LN(2)/2)*AW200+(1-EXP(-LN(2)/2))/(LN(2)/2)*AQ201*AT201*VLOOKUP('Données projet'!$B$10,Paramètres!$A$1:$I$89,3,0)*0.475*44/12</f>
        <v>1.6107583814930994E-24</v>
      </c>
      <c r="AX201" s="21">
        <f t="shared" si="166"/>
        <v>0.14945480124481542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-1.69961822393816E-13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171.96009656745713</v>
      </c>
      <c r="BJ201" s="59">
        <f t="shared" si="206"/>
        <v>172.37574906747716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5.9877722713710405E-2</v>
      </c>
      <c r="BQ201" s="21">
        <f>EXP(-LN(2)/25)*BQ200+(1-EXP(-LN(2)/25))/(LN(2)/25)*Calculateur!BL201*Calculateur!BN201*VLOOKUP('Données projet'!$B$11,Paramètres!$A$1:$I$89,3,0)*0.475*44/12</f>
        <v>0.19500131597552564</v>
      </c>
      <c r="BR201" s="21">
        <f>EXP(-LN(2)/2)*BR200+(1-EXP(-LN(2)/2))/(LN(2)/2)*BL201*BO201*VLOOKUP('Données projet'!$B$11,Paramètres!$A$1:$I$89,3,0)*0.475*44/12</f>
        <v>6.2269232550832045E-25</v>
      </c>
      <c r="BS201" s="22">
        <f t="shared" si="169"/>
        <v>0.25487903868923606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-7.3896444519050419E-13</v>
      </c>
      <c r="O202" s="13">
        <f>N202*VLOOKUP('Données projet'!$B$9,Paramètres!$A$1:$I$89,3,0)*VLOOKUP('Données projet'!$B$9,Paramètres!$A$1:$I$89,5,0)</f>
        <v>-6.6861503000836817E-13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309.07357540707869</v>
      </c>
      <c r="T202" s="59">
        <f t="shared" si="204"/>
        <v>155.9593924683299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122.69576746316494</v>
      </c>
      <c r="AO202" s="59">
        <f t="shared" si="205"/>
        <v>103.29025722669985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0.14536795184528953</v>
      </c>
      <c r="AW202" s="21">
        <f>EXP(-LN(2)/2)*AW201+(1-EXP(-LN(2)/2))/(LN(2)/2)*AQ202*AT202*VLOOKUP('Données projet'!$B$10,Paramètres!$A$1:$I$89,3,0)*0.475*44/12</f>
        <v>1.1389781744068386E-24</v>
      </c>
      <c r="AX202" s="21">
        <f t="shared" si="166"/>
        <v>0.14536795184528953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-1.69961822393816E-13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171.96009656745713</v>
      </c>
      <c r="BJ202" s="59">
        <f t="shared" si="206"/>
        <v>172.37574906747716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5.8703557093099171E-2</v>
      </c>
      <c r="BQ202" s="21">
        <f>EXP(-LN(2)/25)*BQ201+(1-EXP(-LN(2)/25))/(LN(2)/25)*Calculateur!BL202*Calculateur!BN202*VLOOKUP('Données projet'!$B$11,Paramètres!$A$1:$I$89,3,0)*0.475*44/12</f>
        <v>0.18966899473550136</v>
      </c>
      <c r="BR202" s="21">
        <f>EXP(-LN(2)/2)*BR201+(1-EXP(-LN(2)/2))/(LN(2)/2)*BL202*BO202*VLOOKUP('Données projet'!$B$11,Paramètres!$A$1:$I$89,3,0)*0.475*44/12</f>
        <v>4.4030996595975437E-25</v>
      </c>
      <c r="BS202" s="22">
        <f t="shared" si="169"/>
        <v>0.24837255182860052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-7.3896444519050419E-13</v>
      </c>
      <c r="O203" s="13">
        <f>N203*VLOOKUP('Données projet'!$B$9,Paramètres!$A$1:$I$89,3,0)*VLOOKUP('Données projet'!$B$9,Paramètres!$A$1:$I$89,5,0)</f>
        <v>-6.6861503000836817E-13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309.07357540707869</v>
      </c>
      <c r="T203" s="59">
        <f t="shared" si="204"/>
        <v>155.9593924683299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122.69576746316494</v>
      </c>
      <c r="AO203" s="59">
        <f t="shared" si="205"/>
        <v>103.29025722669985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0.14139285755751174</v>
      </c>
      <c r="AW203" s="21">
        <f>EXP(-LN(2)/2)*AW202+(1-EXP(-LN(2)/2))/(LN(2)/2)*AQ203*AT203*VLOOKUP('Données projet'!$B$10,Paramètres!$A$1:$I$89,3,0)*0.475*44/12</f>
        <v>8.0537919074654986E-25</v>
      </c>
      <c r="AX203" s="21">
        <f t="shared" si="166"/>
        <v>0.14139285755751174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-1.69961822393816E-13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171.96009656745713</v>
      </c>
      <c r="BJ203" s="59">
        <f t="shared" si="206"/>
        <v>172.37574906747716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5.7552416144137808E-2</v>
      </c>
      <c r="BQ203" s="21">
        <f>EXP(-LN(2)/25)*BQ202+(1-EXP(-LN(2)/25))/(LN(2)/25)*Calculateur!BL203*Calculateur!BN203*VLOOKUP('Données projet'!$B$11,Paramètres!$A$1:$I$89,3,0)*0.475*44/12</f>
        <v>0.18448248610020013</v>
      </c>
      <c r="BR203" s="21">
        <f>EXP(-LN(2)/2)*BR202+(1-EXP(-LN(2)/2))/(LN(2)/2)*BL203*BO203*VLOOKUP('Données projet'!$B$11,Paramètres!$A$1:$I$89,3,0)*0.475*44/12</f>
        <v>3.1134616275416023E-25</v>
      </c>
      <c r="BS203" s="22">
        <f t="shared" si="169"/>
        <v>0.24203490224433793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1.1690615875970631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1.2116448776253546</v>
      </c>
      <c r="BA205" s="82">
        <f>EXP(LN('Données projet'!B88)/'Données projet'!A88)</f>
        <v>1.3292852468636394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14.524800000000001</v>
      </c>
      <c r="C6" s="147">
        <f ca="1">IF(OR('Données projet'!B9="",'Données projet'!C9="",'Données projet'!C9=0%),0,Calculateur!S3)</f>
        <v>309.07357540707869</v>
      </c>
      <c r="D6" s="147">
        <f>IF(OR('Données projet'!B9="",'Données projet'!C9="",'Données projet'!C9=0%),0,Calculateur!T3)</f>
        <v>155.9593924683299</v>
      </c>
      <c r="E6" s="147">
        <f ca="1">MIN(C6,D6)</f>
        <v>155.9593924683299</v>
      </c>
      <c r="F6" s="147">
        <f ca="1">E6*B6</f>
        <v>2265.2789837239984</v>
      </c>
      <c r="G6" s="147">
        <f ca="1">F6*(100%-'Données projet'!$C$24)*(100%-'Données projet'!$C$25)*(100%-'Données projet'!$C$26)*(100%-'Données projet'!$C$27)</f>
        <v>2038.7510853515987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2038.7510853515987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7.6160000000000005</v>
      </c>
      <c r="C7" s="147">
        <f ca="1">IF(OR('Données projet'!B10="",'Données projet'!C10="",'Données projet'!C10=0%),0,Calculateur!AN3)</f>
        <v>122.69576746316494</v>
      </c>
      <c r="D7" s="147">
        <f>IF(OR('Données projet'!B10="",'Données projet'!C10="",'Données projet'!C10=0%),0,Calculateur!AO3)</f>
        <v>103.29025722669985</v>
      </c>
      <c r="E7" s="147">
        <f t="shared" ref="E7:E15" ca="1" si="0">MIN(C7,D7)</f>
        <v>103.29025722669985</v>
      </c>
      <c r="F7" s="147">
        <f t="shared" ref="F7:F15" ca="1" si="1">E7*B7</f>
        <v>786.65859903854607</v>
      </c>
      <c r="G7" s="147">
        <f ca="1">F7*(100%-'Données projet'!$C$24)*(100%-'Données projet'!$C$25)*(100%-'Données projet'!$C$26)*(100%-'Données projet'!$C$27)</f>
        <v>707.99273913469153</v>
      </c>
      <c r="H7" s="155">
        <f>IF(OR('Données projet'!B10="",'Données projet'!C10="",'Données projet'!C10=0%),0,AVERAGE(Calculateur!$AX$3:$AX$33)*B7)</f>
        <v>25.376386981788492</v>
      </c>
      <c r="I7" s="149">
        <f>H7*(100%-'Données projet'!$C$24)*(100%-'Données projet'!$C$25)*(100%-'Données projet'!$C$26)*(100%-'Données projet'!$C$27)</f>
        <v>22.838748283609643</v>
      </c>
      <c r="J7" s="150">
        <f>IF(OR('Données projet'!B10="",'Données projet'!C10="",'Données projet'!C10=0%),0,SUM(Calculateur!$AQ$3:$AQ$33)*VLOOKUP('Données projet'!$B$10,Paramètres!$A$1:$I$89,9,0)*B7)</f>
        <v>168.4799803076923</v>
      </c>
      <c r="K7" s="151">
        <f>J7*(100%-'Données projet'!$C$24)*(100%-'Données projet'!$C$25)*(100%-'Données projet'!$C$26)*(100%-'Données projet'!$C$27)</f>
        <v>151.63198227692308</v>
      </c>
      <c r="L7" s="152">
        <f t="shared" ref="L7:L15" ca="1" si="2">G7+I7+K7</f>
        <v>882.46346969522426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maritime</v>
      </c>
      <c r="B8" s="154">
        <f>'Données projet'!D11</f>
        <v>5.0591999999999997</v>
      </c>
      <c r="C8" s="147">
        <f ca="1">IF(OR('Données projet'!B11="",'Données projet'!C11="",'Données projet'!C11=0%),0,Calculateur!BI3)</f>
        <v>171.96009656745713</v>
      </c>
      <c r="D8" s="147">
        <f>IF(OR('Données projet'!B11="",'Données projet'!C11="",'Données projet'!C11=0%),0,Calculateur!BJ3)</f>
        <v>172.37574906747716</v>
      </c>
      <c r="E8" s="147">
        <f t="shared" ca="1" si="0"/>
        <v>171.96009656745713</v>
      </c>
      <c r="F8" s="147">
        <f t="shared" ca="1" si="1"/>
        <v>869.98052055407902</v>
      </c>
      <c r="G8" s="147">
        <f ca="1">F8*(100%-'Données projet'!$C$24)*(100%-'Données projet'!$C$25)*(100%-'Données projet'!$C$26)*(100%-'Données projet'!$C$27)</f>
        <v>782.9824684986711</v>
      </c>
      <c r="H8" s="155">
        <f>IF(OR('Données projet'!B11="",'Données projet'!C11="",'Données projet'!C11=0%),0,AVERAGE(Calculateur!$BS$3:$BS$33)*B8)</f>
        <v>50.279011360956829</v>
      </c>
      <c r="I8" s="149">
        <f>H8*(100%-'Données projet'!$C$24)*(100%-'Données projet'!$C$25)*(100%-'Données projet'!$C$26)*(100%-'Données projet'!$C$27)</f>
        <v>45.251110224861151</v>
      </c>
      <c r="J8" s="150">
        <f>IF(OR('Données projet'!B11="",'Données projet'!C11="",'Données projet'!C11=0%),0,SUM(Calculateur!$BL$3:$BL$33)*VLOOKUP('Données projet'!$B$11,Paramètres!$A$1:$I$89,9,0)*B8)</f>
        <v>429.37041230769228</v>
      </c>
      <c r="K8" s="151">
        <f>J8*(100%-'Données projet'!$C$24)*(100%-'Données projet'!$C$25)*(100%-'Données projet'!$C$26)*(100%-'Données projet'!$C$27)</f>
        <v>386.43337107692304</v>
      </c>
      <c r="L8" s="152">
        <f t="shared" ca="1" si="2"/>
        <v>1214.6669498004553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3921.9181033166233</v>
      </c>
      <c r="G16" s="166">
        <f t="shared" ca="1" si="3"/>
        <v>3529.7262929849612</v>
      </c>
      <c r="H16" s="167">
        <f t="shared" si="3"/>
        <v>75.655398342745315</v>
      </c>
      <c r="I16" s="167">
        <f t="shared" si="3"/>
        <v>68.089858508470797</v>
      </c>
      <c r="J16" s="168">
        <f t="shared" si="3"/>
        <v>597.85039261538464</v>
      </c>
      <c r="K16" s="168">
        <f t="shared" si="3"/>
        <v>538.06535335384615</v>
      </c>
      <c r="L16" s="169">
        <f t="shared" ca="1" si="3"/>
        <v>4135.8815048472788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S18" zoomScale="80" zoomScaleNormal="80" workbookViewId="0">
      <selection activeCell="C63" sqref="C6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-1272.6181426148637</v>
      </c>
      <c r="U10" s="178">
        <f>'Données projet'!D9</f>
        <v>14.524800000000001</v>
      </c>
      <c r="V10" s="177">
        <f>U10*T10</f>
        <v>-18484.523997852375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-574.09478520979019</v>
      </c>
      <c r="U11" s="178">
        <f>'Données projet'!D10</f>
        <v>7.6160000000000005</v>
      </c>
      <c r="V11" s="177">
        <f t="shared" ref="V11" si="0">U11*T11</f>
        <v>-4372.3058841577622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2613.2855074185272</v>
      </c>
      <c r="U12" s="178">
        <f>'Données projet'!D11</f>
        <v>5.0591999999999997</v>
      </c>
      <c r="V12" s="177">
        <f t="shared" ref="V12:V19" si="1">U12*T12</f>
        <v>13221.134039131812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2675.26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958.57+950+651.92</f>
        <v>2560.4900000000002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450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-112928.34753994303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34</v>
      </c>
      <c r="B24" s="181">
        <f>'Données projet'!D37</f>
        <v>31.615384615384613</v>
      </c>
      <c r="C24" s="193">
        <v>12</v>
      </c>
      <c r="D24" s="182">
        <f t="shared" ref="D24:D42" si="2">B24*C24</f>
        <v>379.38461538461536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1929.6427406563921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42</v>
      </c>
      <c r="B25" s="181">
        <f>'Données projet'!D38</f>
        <v>45.198717948717949</v>
      </c>
      <c r="C25" s="193">
        <v>35</v>
      </c>
      <c r="D25" s="182">
        <f t="shared" si="2"/>
        <v>1581.9551282051282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-114857.99028059942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52.282051282051285</v>
      </c>
      <c r="C26" s="193">
        <v>45</v>
      </c>
      <c r="D26" s="182">
        <f t="shared" si="2"/>
        <v>2352.6923076923076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58</v>
      </c>
      <c r="B27" s="181">
        <f>'Données projet'!D40</f>
        <v>47.467948717948715</v>
      </c>
      <c r="C27" s="193">
        <v>50</v>
      </c>
      <c r="D27" s="182">
        <f t="shared" si="2"/>
        <v>2373.3974358974356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66</v>
      </c>
      <c r="B28" s="181">
        <f>'Données projet'!D41</f>
        <v>54.141025641025635</v>
      </c>
      <c r="C28" s="193">
        <v>55</v>
      </c>
      <c r="D28" s="182">
        <f t="shared" si="2"/>
        <v>2977.7564102564102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74</v>
      </c>
      <c r="B29" s="181">
        <f>'Données projet'!D42</f>
        <v>52.737179487179482</v>
      </c>
      <c r="C29" s="193">
        <v>60</v>
      </c>
      <c r="D29" s="182">
        <f t="shared" si="2"/>
        <v>3164.2307692307691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82</v>
      </c>
      <c r="B30" s="181">
        <f>'Données projet'!D43</f>
        <v>40.371794871794869</v>
      </c>
      <c r="C30" s="193">
        <v>80</v>
      </c>
      <c r="D30" s="182">
        <f t="shared" si="2"/>
        <v>3229.7435897435894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90</v>
      </c>
      <c r="B31" s="181">
        <f>'Données projet'!D44</f>
        <v>47.307692307692307</v>
      </c>
      <c r="C31" s="193">
        <v>80</v>
      </c>
      <c r="D31" s="182">
        <f t="shared" si="2"/>
        <v>3784.6153846153848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100</v>
      </c>
      <c r="B32" s="181">
        <f>'Données projet'!D45</f>
        <v>63.801282051282051</v>
      </c>
      <c r="C32" s="193">
        <v>80</v>
      </c>
      <c r="D32" s="182">
        <f t="shared" si="2"/>
        <v>5104.1025641025644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110</v>
      </c>
      <c r="B33" s="181">
        <f>'Données projet'!D46</f>
        <v>50.051282051282051</v>
      </c>
      <c r="C33" s="193">
        <v>80</v>
      </c>
      <c r="D33" s="182">
        <f t="shared" si="2"/>
        <v>4004.102564102564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120</v>
      </c>
      <c r="B34" s="181">
        <f>'Données projet'!D47</f>
        <v>44.929487179487182</v>
      </c>
      <c r="C34" s="193">
        <v>80</v>
      </c>
      <c r="D34" s="182">
        <f t="shared" si="2"/>
        <v>3594.3589743589746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130</v>
      </c>
      <c r="B35" s="181">
        <f>'Données projet'!D48</f>
        <v>51.378205128205131</v>
      </c>
      <c r="C35" s="193">
        <v>80</v>
      </c>
      <c r="D35" s="182">
        <f t="shared" si="2"/>
        <v>4110.2564102564102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140</v>
      </c>
      <c r="B36" s="181">
        <f>'Données projet'!D49</f>
        <v>50.467948717948715</v>
      </c>
      <c r="C36" s="193">
        <v>80</v>
      </c>
      <c r="D36" s="182">
        <f t="shared" si="2"/>
        <v>4037.4358974358975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150</v>
      </c>
      <c r="B37" s="181">
        <f>'Données projet'!D50</f>
        <v>178.72435897435898</v>
      </c>
      <c r="C37" s="193">
        <v>80</v>
      </c>
      <c r="D37" s="182">
        <f t="shared" si="2"/>
        <v>14297.948717948719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153</v>
      </c>
      <c r="B38" s="181">
        <f>'Données projet'!D51</f>
        <v>105.26282051282051</v>
      </c>
      <c r="C38" s="193">
        <v>80</v>
      </c>
      <c r="D38" s="182">
        <f t="shared" si="2"/>
        <v>8421.0256410256407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156</v>
      </c>
      <c r="B39" s="181">
        <f>'Données projet'!D52</f>
        <v>65.070512820512818</v>
      </c>
      <c r="C39" s="193">
        <v>80</v>
      </c>
      <c r="D39" s="182">
        <f t="shared" si="2"/>
        <v>5205.6410256410254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159</v>
      </c>
      <c r="B40" s="181">
        <f>'Données projet'!D53</f>
        <v>135.55128205128204</v>
      </c>
      <c r="C40" s="193">
        <v>80</v>
      </c>
      <c r="D40" s="182">
        <f t="shared" si="2"/>
        <v>10844.102564102563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2077.7399999999998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25</v>
      </c>
      <c r="B54" s="181">
        <f>'Données projet'!D62</f>
        <v>51.446153846153841</v>
      </c>
      <c r="C54" s="191">
        <v>10</v>
      </c>
      <c r="D54" s="179">
        <f>B54*C54</f>
        <v>514.46153846153845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32</v>
      </c>
      <c r="B55" s="181">
        <f>'Données projet'!D63</f>
        <v>41.469230769230762</v>
      </c>
      <c r="C55" s="191">
        <v>15</v>
      </c>
      <c r="D55" s="179">
        <f t="shared" ref="D55:D73" si="4">B55*C55</f>
        <v>622.03846153846143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48.323076923076918</v>
      </c>
      <c r="C56" s="191">
        <v>25</v>
      </c>
      <c r="D56" s="179">
        <f t="shared" si="4"/>
        <v>1208.0769230769229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55.676923076923075</v>
      </c>
      <c r="C57" s="191">
        <v>35</v>
      </c>
      <c r="D57" s="179">
        <f t="shared" si="4"/>
        <v>1948.6923076923076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50.076923076923073</v>
      </c>
      <c r="C58" s="191">
        <v>40</v>
      </c>
      <c r="D58" s="179">
        <f t="shared" si="4"/>
        <v>2003.0769230769229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54.215384615384615</v>
      </c>
      <c r="C59" s="191">
        <v>50</v>
      </c>
      <c r="D59" s="179">
        <f t="shared" si="4"/>
        <v>2710.7692307692309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310.16923076923081</v>
      </c>
      <c r="C60" s="191">
        <v>70</v>
      </c>
      <c r="D60" s="179">
        <f t="shared" si="4"/>
        <v>21711.846153846156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1670.34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17</v>
      </c>
      <c r="B85" s="181">
        <f>'Données projet'!D88</f>
        <v>42.084615384615383</v>
      </c>
      <c r="C85" s="191">
        <v>10</v>
      </c>
      <c r="D85" s="179">
        <f>B85*C85</f>
        <v>420.84615384615381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23</v>
      </c>
      <c r="B86" s="181">
        <f>'Données projet'!D89</f>
        <v>54.099999999999994</v>
      </c>
      <c r="C86" s="191">
        <v>40</v>
      </c>
      <c r="D86" s="179">
        <f t="shared" ref="D86:D104" si="6">B86*C86</f>
        <v>2164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29</v>
      </c>
      <c r="B87" s="181">
        <f>'Données projet'!D90</f>
        <v>47.661538461538463</v>
      </c>
      <c r="C87" s="191">
        <v>45</v>
      </c>
      <c r="D87" s="179">
        <f t="shared" si="6"/>
        <v>2144.7692307692309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36</v>
      </c>
      <c r="B88" s="181">
        <f>'Données projet'!D91</f>
        <v>64.553846153846152</v>
      </c>
      <c r="C88" s="191">
        <v>50</v>
      </c>
      <c r="D88" s="179">
        <f t="shared" si="6"/>
        <v>3227.6923076923076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44</v>
      </c>
      <c r="B89" s="181">
        <f>'Données projet'!D92</f>
        <v>64.476923076923072</v>
      </c>
      <c r="C89" s="191">
        <v>50</v>
      </c>
      <c r="D89" s="179">
        <f t="shared" si="6"/>
        <v>3223.8461538461534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52</v>
      </c>
      <c r="B90" s="181">
        <f>'Données projet'!D93</f>
        <v>61.784615384615378</v>
      </c>
      <c r="C90" s="191">
        <v>50</v>
      </c>
      <c r="D90" s="179">
        <f t="shared" si="6"/>
        <v>3089.2307692307691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60</v>
      </c>
      <c r="B91" s="181">
        <f>'Données projet'!D94</f>
        <v>353.5</v>
      </c>
      <c r="C91" s="191">
        <v>50</v>
      </c>
      <c r="D91" s="179">
        <f t="shared" si="6"/>
        <v>17675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2024-12-19T17:02:48Z</dcterms:modified>
</cp:coreProperties>
</file>